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defaultThemeVersion="124226"/>
  <mc:AlternateContent xmlns:mc="http://schemas.openxmlformats.org/markup-compatibility/2006">
    <mc:Choice Requires="x15">
      <x15ac:absPath xmlns:x15ac="http://schemas.microsoft.com/office/spreadsheetml/2010/11/ac" url="F:\F DRIVE\ALL\ALEXY\schedule of values template\"/>
    </mc:Choice>
  </mc:AlternateContent>
  <bookViews>
    <workbookView xWindow="0" yWindow="0" windowWidth="20490" windowHeight="7755" tabRatio="674" activeTab="3"/>
  </bookViews>
  <sheets>
    <sheet name="Commentary" sheetId="11" r:id="rId1"/>
    <sheet name="Project Info" sheetId="2" r:id="rId2"/>
    <sheet name="Record Docs" sheetId="7" r:id="rId3"/>
    <sheet name="App For Payment-Template" sheetId="6" r:id="rId4"/>
    <sheet name="Certificates For Payment" sheetId="9" r:id="rId5"/>
    <sheet name="Cert For Pay (Annual or Phased)" sheetId="13" r:id="rId6"/>
    <sheet name="Lookups" sheetId="12" r:id="rId7"/>
    <sheet name="Sheet1" sheetId="8" state="hidden" r:id="rId8"/>
  </sheets>
  <definedNames>
    <definedName name="Act">'Project Info'!$C$36</definedName>
    <definedName name="AfP_Num" localSheetId="3">'App For Payment-Template'!$H$3</definedName>
    <definedName name="AmtDeferred" localSheetId="3">'App For Payment-Template'!$E$173</definedName>
    <definedName name="CertQualifier" localSheetId="3">'App For Payment-Template'!$C$141</definedName>
    <definedName name="CfP_Purpose">Lookups!$K$4:$K$14</definedName>
    <definedName name="ChangesToDate" localSheetId="3">'App For Payment-Template'!$C$123</definedName>
    <definedName name="Completed_to_Date" localSheetId="3">'App For Payment-Template'!$G$6:$G$123</definedName>
    <definedName name="Contract_Amount">'Project Info'!$C$30</definedName>
    <definedName name="DeficiencyRetainage" localSheetId="3">'App For Payment-Template'!$G$147</definedName>
    <definedName name="DOW">Lookups!$A$11:$B$17</definedName>
    <definedName name="GST">Lookups!$E$20</definedName>
    <definedName name="HB_Release">Lookups!$O$4:$O$8</definedName>
    <definedName name="HbCurRel" localSheetId="3">'App For Payment-Template'!$F$153</definedName>
    <definedName name="HbPrevRel" localSheetId="3">'App For Payment-Template'!$F$152</definedName>
    <definedName name="IssueDate" localSheetId="3">'App For Payment-Template'!$H$4</definedName>
    <definedName name="Legislation">Lookups!$AE$31:$AE$44</definedName>
    <definedName name="PayableToDate" localSheetId="3">'App For Payment-Template'!$G$155</definedName>
    <definedName name="Percent_to_Date" localSheetId="3">'App For Payment-Template'!$D$6:$D$123</definedName>
    <definedName name="PeriodEnding" localSheetId="3">'App For Payment-Template'!$H$5</definedName>
    <definedName name="PreviouslyPayable" localSheetId="3">'App For Payment-Template'!$G$156</definedName>
    <definedName name="_xlnm.Print_Area" localSheetId="3">'App For Payment-Template'!$A$1:$H$138</definedName>
    <definedName name="_xlnm.Print_Area" localSheetId="5">'Cert For Pay (Annual or Phased)'!$A$1:$J$43</definedName>
    <definedName name="_xlnm.Print_Area" localSheetId="4">'Certificates For Payment'!$A$1:$J$44</definedName>
    <definedName name="Province">'Project Info'!$C$35</definedName>
    <definedName name="ProvinceList">Lookups!$G$4:$G$16</definedName>
    <definedName name="QST">Lookups!$E$21</definedName>
    <definedName name="QST_Blended">Lookups!$E$22</definedName>
    <definedName name="RecDocMax">'Record Docs'!$G$32</definedName>
    <definedName name="RecDocMin">'Record Docs'!$G$39</definedName>
    <definedName name="StartDate">'Project Info'!$C$31</definedName>
    <definedName name="StatFinHoldback">'App For Payment-Template'!$G$149</definedName>
    <definedName name="StatHoldback" localSheetId="3">'App For Payment-Template'!$G$148</definedName>
    <definedName name="TaxesThisIssue" localSheetId="3">'App For Payment-Template'!$G$158</definedName>
    <definedName name="TotalHbRel" localSheetId="3">'App For Payment-Template'!$G$154</definedName>
    <definedName name="TotalPayable" localSheetId="3">'App For Payment-Template'!$G$161</definedName>
    <definedName name="WorkFinished" localSheetId="3">'App For Payment-Template'!$G$143</definedName>
  </definedNames>
  <calcPr calcId="152511"/>
</workbook>
</file>

<file path=xl/calcChain.xml><?xml version="1.0" encoding="utf-8"?>
<calcChain xmlns="http://schemas.openxmlformats.org/spreadsheetml/2006/main">
  <c r="G98" i="12" l="1"/>
  <c r="G99" i="12"/>
  <c r="G100" i="12"/>
  <c r="G101" i="12"/>
  <c r="C31" i="12"/>
  <c r="Y30" i="12" s="1"/>
  <c r="C32" i="12"/>
  <c r="Z30" i="12"/>
  <c r="E194" i="6" s="1"/>
  <c r="R30" i="12"/>
  <c r="S30" i="12"/>
  <c r="D169" i="6" s="1"/>
  <c r="F32" i="12"/>
  <c r="F30" i="12" s="1"/>
  <c r="C42" i="2" s="1"/>
  <c r="C99" i="6"/>
  <c r="C143" i="6"/>
  <c r="C166" i="6"/>
  <c r="G132" i="6"/>
  <c r="H132" i="6"/>
  <c r="H137" i="6"/>
  <c r="G94" i="6"/>
  <c r="H94" i="6"/>
  <c r="H99" i="6"/>
  <c r="H143" i="6"/>
  <c r="E172" i="6"/>
  <c r="E174" i="6"/>
  <c r="G137" i="6"/>
  <c r="G99" i="6"/>
  <c r="G143" i="6"/>
  <c r="AC30" i="12"/>
  <c r="C33" i="12"/>
  <c r="C34" i="12"/>
  <c r="F31" i="12"/>
  <c r="F34" i="12"/>
  <c r="C35" i="12"/>
  <c r="C36" i="12"/>
  <c r="C37" i="12"/>
  <c r="C38"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C39" i="12"/>
  <c r="G39" i="12"/>
  <c r="H39" i="12" s="1"/>
  <c r="C40" i="12"/>
  <c r="C41" i="12"/>
  <c r="C42" i="12"/>
  <c r="C43" i="12"/>
  <c r="C44" i="12"/>
  <c r="E33" i="12"/>
  <c r="G33" i="12"/>
  <c r="H33" i="12"/>
  <c r="G34" i="12"/>
  <c r="H34" i="12"/>
  <c r="G35" i="12"/>
  <c r="H35" i="12"/>
  <c r="G36" i="12"/>
  <c r="H36" i="12"/>
  <c r="G37" i="12"/>
  <c r="H37" i="12"/>
  <c r="G42" i="12"/>
  <c r="H42" i="12"/>
  <c r="G43" i="12"/>
  <c r="H43" i="12"/>
  <c r="G44" i="12"/>
  <c r="H44" i="12"/>
  <c r="B40" i="2"/>
  <c r="D148" i="6"/>
  <c r="G149" i="6"/>
  <c r="N1" i="13"/>
  <c r="N1" i="9"/>
  <c r="E22" i="12"/>
  <c r="E28" i="13"/>
  <c r="H19" i="13"/>
  <c r="A19" i="13"/>
  <c r="N2" i="13"/>
  <c r="C31" i="2"/>
  <c r="C12" i="13"/>
  <c r="C10" i="13"/>
  <c r="C9" i="13"/>
  <c r="H4" i="6"/>
  <c r="C8" i="13"/>
  <c r="C7" i="13"/>
  <c r="I6" i="13"/>
  <c r="C6" i="13"/>
  <c r="A4" i="13"/>
  <c r="A3" i="13"/>
  <c r="A2" i="13"/>
  <c r="A1" i="13"/>
  <c r="G22" i="6"/>
  <c r="H22" i="6"/>
  <c r="F22" i="6"/>
  <c r="G21" i="6"/>
  <c r="H21" i="6"/>
  <c r="F21" i="6"/>
  <c r="G20" i="6"/>
  <c r="H20" i="6"/>
  <c r="F20" i="6"/>
  <c r="G17" i="6"/>
  <c r="H17" i="6"/>
  <c r="F17" i="6"/>
  <c r="G16" i="6"/>
  <c r="H16" i="6"/>
  <c r="F16" i="6"/>
  <c r="E3" i="7"/>
  <c r="E12" i="7" s="1"/>
  <c r="F12" i="7" s="1"/>
  <c r="G12" i="7" s="1"/>
  <c r="E11" i="7"/>
  <c r="G7" i="6"/>
  <c r="H7" i="6"/>
  <c r="G8" i="6"/>
  <c r="H8" i="6"/>
  <c r="G9" i="6"/>
  <c r="H9" i="6"/>
  <c r="G10" i="6"/>
  <c r="H10" i="6"/>
  <c r="G11" i="6"/>
  <c r="H11" i="6"/>
  <c r="G12" i="6"/>
  <c r="H12" i="6"/>
  <c r="G13" i="6"/>
  <c r="H13" i="6"/>
  <c r="G14" i="6"/>
  <c r="H14" i="6"/>
  <c r="G15" i="6"/>
  <c r="H15" i="6"/>
  <c r="G18" i="6"/>
  <c r="H18" i="6"/>
  <c r="G19" i="6"/>
  <c r="H19" i="6"/>
  <c r="G23" i="6"/>
  <c r="H23" i="6"/>
  <c r="G24" i="6"/>
  <c r="H24" i="6"/>
  <c r="G25" i="6"/>
  <c r="H25" i="6"/>
  <c r="G26" i="6"/>
  <c r="H26" i="6"/>
  <c r="G27" i="6"/>
  <c r="H27" i="6"/>
  <c r="G28" i="6"/>
  <c r="H28" i="6"/>
  <c r="G29" i="6"/>
  <c r="H29" i="6"/>
  <c r="G30" i="6"/>
  <c r="H30" i="6"/>
  <c r="G31" i="6"/>
  <c r="H31" i="6"/>
  <c r="G32" i="6"/>
  <c r="H32" i="6"/>
  <c r="G33" i="6"/>
  <c r="H33" i="6"/>
  <c r="G34" i="6"/>
  <c r="H34" i="6"/>
  <c r="G35" i="6"/>
  <c r="H35" i="6"/>
  <c r="G36" i="6"/>
  <c r="H36" i="6"/>
  <c r="G37" i="6"/>
  <c r="H37" i="6"/>
  <c r="G38" i="6"/>
  <c r="H38" i="6"/>
  <c r="G39" i="6"/>
  <c r="H39" i="6"/>
  <c r="G40" i="6"/>
  <c r="H40" i="6"/>
  <c r="G41" i="6"/>
  <c r="H41" i="6"/>
  <c r="G42" i="6"/>
  <c r="H42" i="6"/>
  <c r="G43" i="6"/>
  <c r="H43" i="6"/>
  <c r="G44" i="6"/>
  <c r="H44" i="6"/>
  <c r="G45" i="6"/>
  <c r="H45" i="6"/>
  <c r="G46" i="6"/>
  <c r="H46" i="6"/>
  <c r="G47" i="6"/>
  <c r="H47" i="6"/>
  <c r="G48" i="6"/>
  <c r="H48" i="6"/>
  <c r="G49" i="6"/>
  <c r="H49" i="6"/>
  <c r="G50" i="6"/>
  <c r="H50" i="6"/>
  <c r="G51" i="6"/>
  <c r="H51" i="6"/>
  <c r="G52" i="6"/>
  <c r="H52" i="6"/>
  <c r="G53" i="6"/>
  <c r="H53" i="6"/>
  <c r="H54" i="6"/>
  <c r="G56" i="6"/>
  <c r="H56" i="6"/>
  <c r="G57" i="6"/>
  <c r="H57" i="6"/>
  <c r="G58" i="6"/>
  <c r="H58" i="6"/>
  <c r="G59" i="6"/>
  <c r="H59" i="6"/>
  <c r="G60" i="6"/>
  <c r="H60" i="6"/>
  <c r="G61" i="6"/>
  <c r="H61" i="6"/>
  <c r="G62" i="6"/>
  <c r="H62" i="6"/>
  <c r="G64" i="6"/>
  <c r="H64" i="6"/>
  <c r="G65" i="6"/>
  <c r="H65" i="6"/>
  <c r="G66" i="6"/>
  <c r="H66" i="6"/>
  <c r="G67" i="6"/>
  <c r="H67" i="6"/>
  <c r="G68" i="6"/>
  <c r="H68" i="6"/>
  <c r="G69" i="6"/>
  <c r="H69" i="6"/>
  <c r="G71" i="6"/>
  <c r="H71" i="6"/>
  <c r="G72" i="6"/>
  <c r="H72" i="6"/>
  <c r="G73" i="6"/>
  <c r="H73" i="6"/>
  <c r="G74" i="6"/>
  <c r="H74" i="6"/>
  <c r="G75" i="6"/>
  <c r="H75" i="6"/>
  <c r="G76" i="6"/>
  <c r="H76" i="6"/>
  <c r="G77" i="6"/>
  <c r="H77" i="6"/>
  <c r="G78" i="6"/>
  <c r="H78" i="6"/>
  <c r="G79" i="6"/>
  <c r="H79" i="6"/>
  <c r="G80" i="6"/>
  <c r="H80" i="6"/>
  <c r="G81" i="6"/>
  <c r="H81" i="6"/>
  <c r="G82" i="6"/>
  <c r="H82" i="6"/>
  <c r="G83" i="6"/>
  <c r="H83" i="6"/>
  <c r="H84" i="6"/>
  <c r="G86" i="6"/>
  <c r="H86" i="6"/>
  <c r="G87" i="6"/>
  <c r="H87" i="6"/>
  <c r="G88" i="6"/>
  <c r="H88" i="6"/>
  <c r="G89" i="6"/>
  <c r="H89" i="6"/>
  <c r="G90" i="6"/>
  <c r="H90" i="6"/>
  <c r="G91" i="6"/>
  <c r="H91" i="6"/>
  <c r="G92" i="6"/>
  <c r="H92" i="6"/>
  <c r="G93" i="6"/>
  <c r="H93" i="6"/>
  <c r="G95" i="6"/>
  <c r="H95" i="6"/>
  <c r="G97" i="6"/>
  <c r="H97" i="6"/>
  <c r="G98" i="6"/>
  <c r="H98" i="6"/>
  <c r="G104" i="6"/>
  <c r="H104" i="6"/>
  <c r="G105" i="6"/>
  <c r="H105" i="6"/>
  <c r="G106" i="6"/>
  <c r="H106" i="6"/>
  <c r="H107" i="6"/>
  <c r="C113" i="6"/>
  <c r="G113" i="6"/>
  <c r="H113" i="6"/>
  <c r="C114" i="6"/>
  <c r="G114" i="6"/>
  <c r="H114" i="6"/>
  <c r="C115" i="6"/>
  <c r="G115" i="6"/>
  <c r="H115" i="6"/>
  <c r="C116" i="6"/>
  <c r="G116" i="6"/>
  <c r="H116" i="6"/>
  <c r="C117" i="6"/>
  <c r="G117" i="6"/>
  <c r="H117" i="6"/>
  <c r="C118" i="6"/>
  <c r="G118" i="6"/>
  <c r="H118" i="6"/>
  <c r="C119" i="6"/>
  <c r="G119" i="6"/>
  <c r="H119" i="6"/>
  <c r="C120" i="6"/>
  <c r="G120" i="6"/>
  <c r="H120" i="6"/>
  <c r="C121" i="6"/>
  <c r="G121" i="6"/>
  <c r="H121" i="6"/>
  <c r="C122" i="6"/>
  <c r="G122" i="6"/>
  <c r="H122" i="6"/>
  <c r="H123" i="6"/>
  <c r="C127" i="6"/>
  <c r="G127" i="6"/>
  <c r="H127" i="6"/>
  <c r="C128" i="6"/>
  <c r="G128" i="6"/>
  <c r="H128" i="6"/>
  <c r="C129" i="6"/>
  <c r="G129" i="6"/>
  <c r="H129" i="6"/>
  <c r="C130" i="6"/>
  <c r="G130" i="6"/>
  <c r="H130" i="6"/>
  <c r="C131" i="6"/>
  <c r="G131" i="6"/>
  <c r="H131" i="6"/>
  <c r="C132" i="6"/>
  <c r="C133" i="6"/>
  <c r="G133" i="6"/>
  <c r="H133" i="6"/>
  <c r="C134" i="6"/>
  <c r="G134" i="6"/>
  <c r="H134" i="6"/>
  <c r="C135" i="6"/>
  <c r="G135" i="6"/>
  <c r="H135" i="6"/>
  <c r="C136" i="6"/>
  <c r="G136" i="6"/>
  <c r="H136" i="6"/>
  <c r="G54" i="6"/>
  <c r="G84" i="6"/>
  <c r="G96" i="6"/>
  <c r="G107" i="6"/>
  <c r="G123" i="6"/>
  <c r="F7" i="6"/>
  <c r="F8" i="6"/>
  <c r="F9" i="6"/>
  <c r="F10" i="6"/>
  <c r="F11" i="6"/>
  <c r="F12" i="6"/>
  <c r="F13" i="6"/>
  <c r="F14" i="6"/>
  <c r="F15" i="6"/>
  <c r="F18" i="6"/>
  <c r="F19"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6" i="6"/>
  <c r="F57" i="6"/>
  <c r="F58" i="6"/>
  <c r="F59" i="6"/>
  <c r="F60" i="6"/>
  <c r="F61" i="6"/>
  <c r="F62" i="6"/>
  <c r="F64" i="6"/>
  <c r="F65" i="6"/>
  <c r="F66" i="6"/>
  <c r="F67" i="6"/>
  <c r="F68" i="6"/>
  <c r="F69" i="6"/>
  <c r="F71" i="6"/>
  <c r="F72" i="6"/>
  <c r="F73" i="6"/>
  <c r="F74" i="6"/>
  <c r="F75" i="6"/>
  <c r="F76" i="6"/>
  <c r="F77" i="6"/>
  <c r="F78" i="6"/>
  <c r="F79" i="6"/>
  <c r="F80" i="6"/>
  <c r="F81" i="6"/>
  <c r="F82" i="6"/>
  <c r="F83" i="6"/>
  <c r="F84" i="6"/>
  <c r="F86" i="6"/>
  <c r="F87" i="6"/>
  <c r="F88" i="6"/>
  <c r="F89" i="6"/>
  <c r="F90" i="6"/>
  <c r="F91" i="6"/>
  <c r="F92" i="6"/>
  <c r="F93" i="6"/>
  <c r="F94" i="6"/>
  <c r="F95" i="6"/>
  <c r="F97" i="6"/>
  <c r="F98" i="6"/>
  <c r="F99" i="6"/>
  <c r="F104" i="6"/>
  <c r="F105" i="6"/>
  <c r="F106" i="6"/>
  <c r="F107" i="6"/>
  <c r="F113" i="6"/>
  <c r="F114" i="6"/>
  <c r="F115" i="6"/>
  <c r="F116" i="6"/>
  <c r="F117" i="6"/>
  <c r="F118" i="6"/>
  <c r="F119" i="6"/>
  <c r="F120" i="6"/>
  <c r="F121" i="6"/>
  <c r="F122" i="6"/>
  <c r="F123" i="6"/>
  <c r="F127" i="6"/>
  <c r="F128" i="6"/>
  <c r="F129" i="6"/>
  <c r="F130" i="6"/>
  <c r="F131" i="6"/>
  <c r="F132" i="6"/>
  <c r="F133" i="6"/>
  <c r="F134" i="6"/>
  <c r="F135" i="6"/>
  <c r="F136" i="6"/>
  <c r="F137" i="6"/>
  <c r="F143" i="6"/>
  <c r="E54" i="6"/>
  <c r="E84" i="6"/>
  <c r="E99" i="6"/>
  <c r="E107" i="6"/>
  <c r="E123" i="6"/>
  <c r="E137" i="6"/>
  <c r="E143" i="6"/>
  <c r="C54" i="6"/>
  <c r="C84" i="6"/>
  <c r="C107" i="6"/>
  <c r="C123" i="6"/>
  <c r="C137" i="6"/>
  <c r="F101" i="6"/>
  <c r="F109" i="6"/>
  <c r="F124" i="6"/>
  <c r="F138" i="6"/>
  <c r="G101" i="6"/>
  <c r="G109" i="6"/>
  <c r="G124" i="6"/>
  <c r="G138" i="6"/>
  <c r="H101" i="6"/>
  <c r="H109" i="6"/>
  <c r="H124" i="6"/>
  <c r="H138" i="6"/>
  <c r="E101" i="6"/>
  <c r="E109" i="6"/>
  <c r="E124" i="6"/>
  <c r="E138" i="6"/>
  <c r="C101" i="6"/>
  <c r="C109" i="6"/>
  <c r="C124" i="6"/>
  <c r="C138" i="6"/>
  <c r="D138" i="6"/>
  <c r="L137" i="6"/>
  <c r="J137" i="6"/>
  <c r="D137" i="6"/>
  <c r="H153" i="6"/>
  <c r="D181" i="6"/>
  <c r="C181" i="6" s="1"/>
  <c r="G181" i="6"/>
  <c r="C165" i="6"/>
  <c r="C192" i="6"/>
  <c r="B195" i="6"/>
  <c r="B194" i="6"/>
  <c r="B38" i="7"/>
  <c r="T30" i="12"/>
  <c r="AF30" i="12"/>
  <c r="D30" i="12"/>
  <c r="E30" i="12"/>
  <c r="G30" i="12"/>
  <c r="I30" i="12"/>
  <c r="J30" i="12"/>
  <c r="K30" i="12"/>
  <c r="L30" i="12"/>
  <c r="M30" i="12"/>
  <c r="B37" i="7"/>
  <c r="H32" i="12"/>
  <c r="A33" i="9"/>
  <c r="E182" i="6"/>
  <c r="D182" i="6"/>
  <c r="C182" i="6" s="1"/>
  <c r="H31" i="12"/>
  <c r="H41" i="12"/>
  <c r="H40" i="12"/>
  <c r="H38" i="12"/>
  <c r="M40" i="12"/>
  <c r="M38" i="12"/>
  <c r="B30" i="12"/>
  <c r="B2" i="12"/>
  <c r="A4" i="9"/>
  <c r="A45" i="2"/>
  <c r="A46" i="2" s="1"/>
  <c r="A47" i="2" s="1"/>
  <c r="A48" i="2" s="1"/>
  <c r="A49" i="2" s="1"/>
  <c r="A50" i="2" s="1"/>
  <c r="A51" i="2" s="1"/>
  <c r="A55" i="2" s="1"/>
  <c r="A56" i="2" s="1"/>
  <c r="A57" i="2" s="1"/>
  <c r="A58" i="2" s="1"/>
  <c r="E141" i="6"/>
  <c r="N2" i="9"/>
  <c r="E28" i="9"/>
  <c r="H19" i="9"/>
  <c r="A19" i="9"/>
  <c r="C9" i="9"/>
  <c r="C10" i="9"/>
  <c r="A3" i="9"/>
  <c r="A2" i="9"/>
  <c r="C12" i="9"/>
  <c r="A1" i="9"/>
  <c r="C8" i="9"/>
  <c r="C7" i="9"/>
  <c r="C6" i="9"/>
  <c r="I6" i="9"/>
  <c r="H199" i="6"/>
  <c r="C184" i="6"/>
  <c r="H169" i="6"/>
  <c r="H170" i="6"/>
  <c r="H167" i="6"/>
  <c r="H197" i="6"/>
  <c r="H196" i="6"/>
  <c r="H194" i="6"/>
  <c r="H195" i="6"/>
  <c r="H168" i="6"/>
  <c r="J123" i="6"/>
  <c r="D123" i="6"/>
  <c r="A1" i="6"/>
  <c r="D17" i="7"/>
  <c r="E17" i="7"/>
  <c r="E16" i="7"/>
  <c r="E15" i="7"/>
  <c r="E14" i="7"/>
  <c r="D16" i="7"/>
  <c r="D15" i="7"/>
  <c r="D14" i="7"/>
  <c r="E9" i="7"/>
  <c r="E8" i="7"/>
  <c r="E7" i="7"/>
  <c r="E10" i="7"/>
  <c r="E6" i="7"/>
  <c r="E13" i="7"/>
  <c r="B10" i="7"/>
  <c r="C16" i="7"/>
  <c r="C15" i="7"/>
  <c r="C14" i="7"/>
  <c r="B16" i="7"/>
  <c r="B15" i="7"/>
  <c r="B14" i="7"/>
  <c r="B9" i="7"/>
  <c r="B8" i="7"/>
  <c r="B7" i="7"/>
  <c r="F14" i="7"/>
  <c r="B3" i="6"/>
  <c r="B5" i="6"/>
  <c r="B2" i="6"/>
  <c r="D84" i="6"/>
  <c r="G154" i="6"/>
  <c r="C142" i="6"/>
  <c r="D142" i="6"/>
  <c r="E142" i="6"/>
  <c r="F142" i="6"/>
  <c r="G142" i="6"/>
  <c r="H142" i="6"/>
  <c r="H156" i="6"/>
  <c r="B4" i="6"/>
  <c r="D107" i="6"/>
  <c r="E35" i="7"/>
  <c r="F16" i="7"/>
  <c r="C180" i="6"/>
  <c r="C102" i="6"/>
  <c r="D99" i="6"/>
  <c r="D54" i="6"/>
  <c r="D143" i="6"/>
  <c r="D101" i="6"/>
  <c r="D124" i="6"/>
  <c r="D109" i="6"/>
  <c r="F15" i="7"/>
  <c r="E188" i="6"/>
  <c r="N5" i="9"/>
  <c r="M59" i="12"/>
  <c r="M100" i="12"/>
  <c r="E32" i="13"/>
  <c r="N4" i="9"/>
  <c r="M96" i="12"/>
  <c r="M79" i="12"/>
  <c r="M58" i="12"/>
  <c r="M57" i="12"/>
  <c r="H40" i="9"/>
  <c r="M51" i="12"/>
  <c r="I8" i="13"/>
  <c r="M94" i="12"/>
  <c r="M93" i="12"/>
  <c r="M88" i="12"/>
  <c r="E31" i="9"/>
  <c r="M65" i="12"/>
  <c r="M92" i="12"/>
  <c r="M87" i="12"/>
  <c r="M56" i="12"/>
  <c r="M75" i="12"/>
  <c r="M54" i="12"/>
  <c r="M53" i="12"/>
  <c r="I8" i="9"/>
  <c r="E29" i="9"/>
  <c r="M95" i="12"/>
  <c r="M74" i="12"/>
  <c r="M73" i="12"/>
  <c r="M64" i="12"/>
  <c r="M67" i="12"/>
  <c r="M98" i="12"/>
  <c r="E36" i="9"/>
  <c r="E33" i="13"/>
  <c r="E34" i="9"/>
  <c r="E37" i="9"/>
  <c r="M81" i="12"/>
  <c r="M50" i="12"/>
  <c r="M72" i="12"/>
  <c r="M91" i="12"/>
  <c r="M70" i="12"/>
  <c r="M69" i="12"/>
  <c r="M60" i="12"/>
  <c r="M101" i="12"/>
  <c r="E29" i="13"/>
  <c r="M90" i="12"/>
  <c r="M89" i="12"/>
  <c r="M80" i="12"/>
  <c r="M83" i="12"/>
  <c r="M62" i="12"/>
  <c r="M61" i="12"/>
  <c r="M52" i="12"/>
  <c r="M55" i="12"/>
  <c r="M82" i="12"/>
  <c r="M97" i="12"/>
  <c r="M66" i="12"/>
  <c r="H39" i="13"/>
  <c r="M86" i="12"/>
  <c r="M63" i="12"/>
  <c r="E32" i="9"/>
  <c r="E31" i="13"/>
  <c r="M68" i="12"/>
  <c r="M99" i="12"/>
  <c r="E36" i="13"/>
  <c r="M85" i="12"/>
  <c r="M76" i="12"/>
  <c r="M84" i="12"/>
  <c r="N5" i="13"/>
  <c r="N4" i="13"/>
  <c r="M78" i="12"/>
  <c r="M77" i="12"/>
  <c r="M71" i="12"/>
  <c r="E35" i="13"/>
  <c r="A60" i="2" l="1"/>
  <c r="A63" i="2" s="1"/>
  <c r="A64" i="2" s="1"/>
  <c r="A67" i="2" s="1"/>
  <c r="A75" i="2" s="1"/>
  <c r="A80" i="2" s="1"/>
  <c r="A83" i="2" s="1"/>
  <c r="A59" i="2"/>
  <c r="F17" i="7"/>
  <c r="F18" i="7" s="1"/>
  <c r="G18" i="7" s="1"/>
  <c r="E28" i="7"/>
  <c r="B17" i="7"/>
  <c r="C17" i="7"/>
  <c r="AA30" i="12"/>
  <c r="A191" i="6" s="1"/>
  <c r="B31" i="7"/>
  <c r="N30" i="12"/>
  <c r="G166" i="6" s="1"/>
  <c r="AB30" i="12"/>
  <c r="F196" i="6" s="1"/>
  <c r="B169" i="6"/>
  <c r="H30" i="12"/>
  <c r="C41" i="2" s="1"/>
  <c r="D158" i="6" s="1"/>
  <c r="C144" i="6" s="1"/>
  <c r="C145" i="6" s="1"/>
  <c r="Q30" i="12"/>
  <c r="AE30" i="12"/>
  <c r="E191" i="6" s="1"/>
  <c r="F31" i="7"/>
  <c r="W30" i="12"/>
  <c r="C38" i="2" s="1"/>
  <c r="A33" i="13" s="1"/>
  <c r="V30" i="12"/>
  <c r="P30" i="12"/>
  <c r="C167" i="6" s="1"/>
  <c r="AD30" i="12"/>
  <c r="F192" i="6" s="1"/>
  <c r="F36" i="7"/>
  <c r="D193" i="6"/>
  <c r="E198" i="6" s="1"/>
  <c r="G36" i="7"/>
  <c r="U30" i="12"/>
  <c r="F165" i="6" s="1"/>
  <c r="O30" i="12"/>
  <c r="F29" i="7" s="1"/>
  <c r="X30" i="12"/>
  <c r="G193" i="6" s="1"/>
  <c r="G37" i="7"/>
  <c r="C183" i="6"/>
  <c r="C185" i="6" s="1"/>
  <c r="G27" i="7"/>
  <c r="G34" i="7"/>
  <c r="E164" i="6"/>
  <c r="B168" i="6"/>
  <c r="E31" i="7"/>
  <c r="G31" i="7" s="1"/>
  <c r="B30" i="7"/>
  <c r="E30" i="9"/>
  <c r="H30" i="9" s="1"/>
  <c r="O96" i="12"/>
  <c r="O92" i="12"/>
  <c r="O88" i="12"/>
  <c r="O80" i="12"/>
  <c r="O76" i="12"/>
  <c r="O72" i="12"/>
  <c r="O68" i="12"/>
  <c r="O64" i="12"/>
  <c r="O60" i="12"/>
  <c r="O56" i="12"/>
  <c r="O52" i="12"/>
  <c r="E37" i="13"/>
  <c r="H37" i="13" s="1"/>
  <c r="N6" i="13"/>
  <c r="O97" i="12"/>
  <c r="O93" i="12"/>
  <c r="O89" i="12"/>
  <c r="O85" i="12"/>
  <c r="O81" i="12"/>
  <c r="O77" i="12"/>
  <c r="O73" i="12"/>
  <c r="O69" i="12"/>
  <c r="O65" i="12"/>
  <c r="O61" i="12"/>
  <c r="O57" i="12"/>
  <c r="O53" i="12"/>
  <c r="O99" i="12"/>
  <c r="E38" i="9"/>
  <c r="H38" i="9" s="1"/>
  <c r="N6" i="9"/>
  <c r="O94" i="12"/>
  <c r="O90" i="12"/>
  <c r="O86" i="12"/>
  <c r="O82" i="12"/>
  <c r="O78" i="12"/>
  <c r="O74" i="12"/>
  <c r="O70" i="12"/>
  <c r="O66" i="12"/>
  <c r="O62" i="12"/>
  <c r="O58" i="12"/>
  <c r="O54" i="12"/>
  <c r="O50" i="12"/>
  <c r="O98" i="12"/>
  <c r="O84" i="12"/>
  <c r="O100" i="12"/>
  <c r="E30" i="13"/>
  <c r="H30" i="13" s="1"/>
  <c r="E34" i="13"/>
  <c r="H34" i="13" s="1"/>
  <c r="O95" i="12"/>
  <c r="O91" i="12"/>
  <c r="O87" i="12"/>
  <c r="O83" i="12"/>
  <c r="O79" i="12"/>
  <c r="O75" i="12"/>
  <c r="O71" i="12"/>
  <c r="O67" i="12"/>
  <c r="O63" i="12"/>
  <c r="O59" i="12"/>
  <c r="O55" i="12"/>
  <c r="O51" i="12"/>
  <c r="O101" i="12"/>
  <c r="C158" i="6"/>
  <c r="B144" i="6"/>
  <c r="H7" i="13"/>
  <c r="H7" i="9"/>
  <c r="D149" i="6" l="1"/>
  <c r="A41" i="13"/>
  <c r="A42" i="9"/>
  <c r="A179" i="6"/>
  <c r="A34" i="9"/>
  <c r="D168" i="6"/>
  <c r="F30" i="7"/>
  <c r="E30" i="7"/>
  <c r="E29" i="7"/>
  <c r="G29" i="7" s="1"/>
  <c r="C168" i="6"/>
  <c r="E168" i="6" s="1"/>
  <c r="C169" i="6"/>
  <c r="E169" i="6" s="1"/>
  <c r="E193" i="6"/>
  <c r="E196" i="6" s="1"/>
  <c r="F198" i="6" s="1"/>
  <c r="B29" i="7"/>
  <c r="D167" i="6"/>
  <c r="E167" i="6" s="1"/>
  <c r="B167" i="6"/>
  <c r="G39" i="7"/>
  <c r="B22" i="7" s="1"/>
  <c r="Q59" i="12"/>
  <c r="P59" i="12"/>
  <c r="Q75" i="12"/>
  <c r="P75" i="12"/>
  <c r="P91" i="12"/>
  <c r="Q91" i="12"/>
  <c r="Q63" i="12"/>
  <c r="P63" i="12"/>
  <c r="P95" i="12"/>
  <c r="Q95" i="12"/>
  <c r="Q84" i="12"/>
  <c r="P84" i="12"/>
  <c r="Q61" i="12"/>
  <c r="P61" i="12"/>
  <c r="P58" i="12"/>
  <c r="Q58" i="12"/>
  <c r="P74" i="12"/>
  <c r="Q74" i="12"/>
  <c r="Q90" i="12"/>
  <c r="P90" i="12"/>
  <c r="P99" i="12"/>
  <c r="Q99" i="12"/>
  <c r="Q65" i="12"/>
  <c r="P65" i="12"/>
  <c r="P81" i="12"/>
  <c r="Q81" i="12"/>
  <c r="P97" i="12"/>
  <c r="Q97" i="12"/>
  <c r="P56" i="12"/>
  <c r="Q56" i="12"/>
  <c r="P72" i="12"/>
  <c r="Q72" i="12"/>
  <c r="Q92" i="12"/>
  <c r="P92" i="12"/>
  <c r="P100" i="12"/>
  <c r="Q100" i="12"/>
  <c r="I47" i="12"/>
  <c r="P50" i="12"/>
  <c r="Q50" i="12"/>
  <c r="P66" i="12"/>
  <c r="Q66" i="12"/>
  <c r="Q82" i="12"/>
  <c r="P82" i="12"/>
  <c r="P101" i="12"/>
  <c r="Q101" i="12"/>
  <c r="Q79" i="12"/>
  <c r="P79" i="12"/>
  <c r="P54" i="12"/>
  <c r="Q54" i="12"/>
  <c r="P70" i="12"/>
  <c r="Q70" i="12"/>
  <c r="Q86" i="12"/>
  <c r="P86" i="12"/>
  <c r="Q77" i="12"/>
  <c r="P77" i="12"/>
  <c r="P93" i="12"/>
  <c r="Q93" i="12"/>
  <c r="P52" i="12"/>
  <c r="Q52" i="12"/>
  <c r="P68" i="12"/>
  <c r="Q68" i="12"/>
  <c r="Q88" i="12"/>
  <c r="P88" i="12"/>
  <c r="Q51" i="12"/>
  <c r="P51" i="12"/>
  <c r="Q67" i="12"/>
  <c r="P67" i="12"/>
  <c r="P83" i="12"/>
  <c r="Q83" i="12"/>
  <c r="Q55" i="12"/>
  <c r="P55" i="12"/>
  <c r="Q71" i="12"/>
  <c r="P71" i="12"/>
  <c r="P87" i="12"/>
  <c r="Q87" i="12"/>
  <c r="Q98" i="12"/>
  <c r="P98" i="12"/>
  <c r="P62" i="12"/>
  <c r="Q62" i="12"/>
  <c r="P78" i="12"/>
  <c r="Q78" i="12"/>
  <c r="Q94" i="12"/>
  <c r="P94" i="12"/>
  <c r="Q53" i="12"/>
  <c r="P53" i="12"/>
  <c r="Q69" i="12"/>
  <c r="P69" i="12"/>
  <c r="P85" i="12"/>
  <c r="Q85" i="12"/>
  <c r="P60" i="12"/>
  <c r="Q60" i="12"/>
  <c r="P76" i="12"/>
  <c r="Q76" i="12"/>
  <c r="Q96" i="12"/>
  <c r="P96" i="12"/>
  <c r="Q57" i="12"/>
  <c r="P57" i="12"/>
  <c r="Q73" i="12"/>
  <c r="P73" i="12"/>
  <c r="P89" i="12"/>
  <c r="Q89" i="12"/>
  <c r="P64" i="12"/>
  <c r="Q64" i="12"/>
  <c r="P80" i="12"/>
  <c r="Q80" i="12"/>
  <c r="G30" i="7" l="1"/>
  <c r="G32" i="7" s="1"/>
  <c r="B20" i="7" s="1"/>
  <c r="E170" i="6"/>
  <c r="D176" i="6"/>
  <c r="I38" i="12"/>
  <c r="I40" i="12"/>
  <c r="F174" i="6" l="1"/>
  <c r="F172" i="6"/>
  <c r="E175" i="6"/>
  <c r="G148" i="6" l="1"/>
  <c r="F175" i="6"/>
  <c r="E181" i="6"/>
  <c r="E33" i="9"/>
  <c r="E35" i="9" l="1"/>
  <c r="H35" i="9" s="1"/>
  <c r="G150" i="6"/>
  <c r="G155" i="6" s="1"/>
  <c r="H38" i="13"/>
  <c r="H39" i="9"/>
  <c r="H40" i="13" l="1"/>
  <c r="H41" i="9"/>
  <c r="G157" i="6"/>
  <c r="G158" i="6" s="1"/>
  <c r="G159" i="6" s="1"/>
  <c r="G161" i="6" s="1"/>
  <c r="H42" i="9"/>
  <c r="H41" i="13"/>
  <c r="H42" i="13"/>
  <c r="H43" i="9"/>
  <c r="A14" i="9"/>
  <c r="A14" i="13"/>
</calcChain>
</file>

<file path=xl/comments1.xml><?xml version="1.0" encoding="utf-8"?>
<comments xmlns="http://schemas.openxmlformats.org/spreadsheetml/2006/main">
  <authors>
    <author>Allen Humphries</author>
    <author>allen.humphries</author>
  </authors>
  <commentList>
    <comment ref="C141" authorId="0" shapeId="0">
      <text>
        <r>
          <rPr>
            <b/>
            <sz val="9"/>
            <color indexed="81"/>
            <rFont val="Tahoma"/>
            <family val="2"/>
          </rPr>
          <t>This label shows on the Certificate for Payment</t>
        </r>
      </text>
    </comment>
    <comment ref="F160" authorId="0" shapeId="0">
      <text>
        <r>
          <rPr>
            <b/>
            <sz val="9"/>
            <color indexed="81"/>
            <rFont val="Tahoma"/>
            <family val="2"/>
          </rPr>
          <t>This line is provided to adjust the amount up or down to account for rounding errors.</t>
        </r>
      </text>
    </comment>
    <comment ref="H168" authorId="1" shapeId="0">
      <text>
        <r>
          <rPr>
            <b/>
            <sz val="8"/>
            <color indexed="81"/>
            <rFont val="Tahoma"/>
            <family val="2"/>
          </rPr>
          <t>If the lien period ends on a Saturday, Sunday, or Statutory Holiday, extend it to the next business day, &amp; release holdback the day following.</t>
        </r>
      </text>
    </comment>
    <comment ref="H195" authorId="1" shapeId="0">
      <text>
        <r>
          <rPr>
            <b/>
            <sz val="8"/>
            <color indexed="81"/>
            <rFont val="Tahoma"/>
            <family val="2"/>
          </rPr>
          <t>If the lien period ends on a Saturday, Sunday, or Statutory Holiday, extend it to the next business day, &amp; release holdback the day following.</t>
        </r>
      </text>
    </comment>
  </commentList>
</comments>
</file>

<file path=xl/sharedStrings.xml><?xml version="1.0" encoding="utf-8"?>
<sst xmlns="http://schemas.openxmlformats.org/spreadsheetml/2006/main" count="682" uniqueCount="509">
  <si>
    <t>Contract Amount</t>
  </si>
  <si>
    <t>General</t>
  </si>
  <si>
    <t>Insurance</t>
  </si>
  <si>
    <t>Mobilization</t>
  </si>
  <si>
    <t>Supervision</t>
  </si>
  <si>
    <t>Disposal</t>
  </si>
  <si>
    <t>Labour</t>
  </si>
  <si>
    <t>General Conditions</t>
  </si>
  <si>
    <t>Cutting &amp; Patching</t>
  </si>
  <si>
    <t>Metal Fabrications</t>
  </si>
  <si>
    <t>Rough Carpentry</t>
  </si>
  <si>
    <t>HM Doors/Frames</t>
  </si>
  <si>
    <t>Resilient Flooring</t>
  </si>
  <si>
    <t>Painting</t>
  </si>
  <si>
    <t>Corner Guards</t>
  </si>
  <si>
    <t>TV/VCR Mount</t>
  </si>
  <si>
    <t>Roller Shades</t>
  </si>
  <si>
    <t>Grilles/diffusers</t>
  </si>
  <si>
    <t>Ductwork</t>
  </si>
  <si>
    <t>Controls</t>
  </si>
  <si>
    <t>Installation</t>
  </si>
  <si>
    <t>Baseboard Heaters</t>
  </si>
  <si>
    <t>Sub Total</t>
  </si>
  <si>
    <t>Spec. Section</t>
  </si>
  <si>
    <t>Item</t>
  </si>
  <si>
    <t>Previous Amount</t>
  </si>
  <si>
    <t>Total Contract</t>
  </si>
  <si>
    <t>Substantial Performance:</t>
  </si>
  <si>
    <t>Balance to Complete per schedule of values</t>
  </si>
  <si>
    <t>Maximum outstanding per lien act</t>
  </si>
  <si>
    <t>Sliding percentage:</t>
  </si>
  <si>
    <t>Piping</t>
  </si>
  <si>
    <t>Fixtures</t>
  </si>
  <si>
    <t>Plumbing - other</t>
  </si>
  <si>
    <t>Electrical - other</t>
  </si>
  <si>
    <t>Architectural Woodwork</t>
  </si>
  <si>
    <t>General Installations</t>
  </si>
  <si>
    <t>Aluminum Sliding Doors</t>
  </si>
  <si>
    <t>Gypsum Board Assemblies</t>
  </si>
  <si>
    <t>Acoustical Ceilings</t>
  </si>
  <si>
    <t>Bonding</t>
  </si>
  <si>
    <t>Air Balancing</t>
  </si>
  <si>
    <t>Joint Sealants</t>
  </si>
  <si>
    <t>Initial Contract Amount</t>
  </si>
  <si>
    <t>Plumbing - Labour</t>
  </si>
  <si>
    <t>HVAC - Labour</t>
  </si>
  <si>
    <t>Insulation</t>
  </si>
  <si>
    <t>Electrical - Labour</t>
  </si>
  <si>
    <t>Manuals/Documentation/As-builts</t>
  </si>
  <si>
    <t>Lighting - Rough-in</t>
  </si>
  <si>
    <t>Lighting Fixtures</t>
  </si>
  <si>
    <t>Power - Rough-in</t>
  </si>
  <si>
    <t>Devices</t>
  </si>
  <si>
    <t>Clean up</t>
  </si>
  <si>
    <t>Deficiency retainage</t>
  </si>
  <si>
    <t>Current work less holdbacks</t>
  </si>
  <si>
    <t>Holdback previously released</t>
  </si>
  <si>
    <t>Total holdback released</t>
  </si>
  <si>
    <t>Payable to date</t>
  </si>
  <si>
    <t>Payable this issue</t>
  </si>
  <si>
    <t>Holdback released this issue</t>
  </si>
  <si>
    <t>Revised Contract Amount</t>
  </si>
  <si>
    <t>Total payable:</t>
  </si>
  <si>
    <t>Electrical subtotal:</t>
  </si>
  <si>
    <t>Mechanical subtotal:</t>
  </si>
  <si>
    <t>Architectural subtotal:</t>
  </si>
  <si>
    <t>Change Order subtotal:</t>
  </si>
  <si>
    <t>Base Contract subtotal:</t>
  </si>
  <si>
    <t>Adjustment to match invoice:</t>
  </si>
  <si>
    <t>Total:</t>
  </si>
  <si>
    <t>Approved</t>
  </si>
  <si>
    <t xml:space="preserve">Application for Payment #: </t>
  </si>
  <si>
    <t>Fill in the initial information in the green shaded cells below.</t>
  </si>
  <si>
    <t>Initial Instructions:</t>
  </si>
  <si>
    <t>Usage Instructions:</t>
  </si>
  <si>
    <t>Enter the percent complete into the green shaded cells in the "% to Date" column.</t>
  </si>
  <si>
    <t>Ensure the formulas are copied into the newly inserted lines.</t>
  </si>
  <si>
    <t>Compare the totals and certificate values with the Contractor's application for payment.</t>
  </si>
  <si>
    <t>Deemed Completion:</t>
  </si>
  <si>
    <t>The deemed completion section below the substantial performance section automatically calculates and displays the status of the project.</t>
  </si>
  <si>
    <t>The substantial performance section below the schedule of values section automatically calculates and displays the status of the project.</t>
  </si>
  <si>
    <t>Change Orders:</t>
  </si>
  <si>
    <t>Change orders are handled the same way as line items in the schedule of values section with one major difference.</t>
  </si>
  <si>
    <t>There is a formula in the contract amount column</t>
  </si>
  <si>
    <t>CO Amount</t>
  </si>
  <si>
    <t>This causes the amount to be displayed in the "Contract Amount" column.</t>
  </si>
  <si>
    <t>The difference allows you to enter the change order information when it is issued, but not have it affect the contract amount until approved.</t>
  </si>
  <si>
    <t>The change order amount is initially entered in the green shaded "CO Amount" column.</t>
  </si>
  <si>
    <t>When the change order is signed by the Owner and Contractor, an entry is made in the green shaded "Approved" column.</t>
  </si>
  <si>
    <t>Margin</t>
  </si>
  <si>
    <t>Maximum outstanding per lien act (lesser of A and B)</t>
  </si>
  <si>
    <t>Contractor</t>
  </si>
  <si>
    <t>Contractor:</t>
  </si>
  <si>
    <t>Lien Period:</t>
  </si>
  <si>
    <t>days</t>
  </si>
  <si>
    <t>DOW</t>
  </si>
  <si>
    <t>Sunday</t>
  </si>
  <si>
    <t>Monday</t>
  </si>
  <si>
    <t>Tuesday</t>
  </si>
  <si>
    <t>Wednesday</t>
  </si>
  <si>
    <t>Thursday</t>
  </si>
  <si>
    <t>Friday</t>
  </si>
  <si>
    <t>Saturday</t>
  </si>
  <si>
    <t>Name</t>
  </si>
  <si>
    <t>Expiry of Lien Period:</t>
  </si>
  <si>
    <t>yyyy-mm-dd</t>
  </si>
  <si>
    <t>Release of Holdback:</t>
  </si>
  <si>
    <t>Project Name</t>
  </si>
  <si>
    <t>Project Type</t>
  </si>
  <si>
    <t>Adjusted Balance to Complete</t>
  </si>
  <si>
    <t>Issued Change Orders:</t>
  </si>
  <si>
    <t>01 73 29</t>
  </si>
  <si>
    <t>05 50 00</t>
  </si>
  <si>
    <t>06 40 23</t>
  </si>
  <si>
    <t>06 90 00</t>
  </si>
  <si>
    <t>08 11 13</t>
  </si>
  <si>
    <t>08 71 00</t>
  </si>
  <si>
    <t>Door Hardware Supply</t>
  </si>
  <si>
    <t>Glass Glazing/Mirrors</t>
  </si>
  <si>
    <t>08 81 00/08 83 13</t>
  </si>
  <si>
    <t>08 87 00</t>
  </si>
  <si>
    <t>09 21 16</t>
  </si>
  <si>
    <t>09 51 00</t>
  </si>
  <si>
    <t>09 65 00</t>
  </si>
  <si>
    <t>09 68 13</t>
  </si>
  <si>
    <t>Tile Carpeting</t>
  </si>
  <si>
    <t>09 91 00</t>
  </si>
  <si>
    <t>10 21 13.13</t>
  </si>
  <si>
    <t>Metal Toilet Compartments</t>
  </si>
  <si>
    <t>10 26 13</t>
  </si>
  <si>
    <t>12 24 13</t>
  </si>
  <si>
    <t>06 10 00</t>
  </si>
  <si>
    <t>07 92 00</t>
  </si>
  <si>
    <t>11 52 13</t>
  </si>
  <si>
    <t>12 48 16</t>
  </si>
  <si>
    <t>Entrance Floor Grilles</t>
  </si>
  <si>
    <t>Projection Screens</t>
  </si>
  <si>
    <t>22 00 00</t>
  </si>
  <si>
    <t>23 00 00</t>
  </si>
  <si>
    <t>26 00 00</t>
  </si>
  <si>
    <t>As-Built Value</t>
  </si>
  <si>
    <t>Initial Contract Value</t>
  </si>
  <si>
    <t>Rounded</t>
  </si>
  <si>
    <t>Limits</t>
  </si>
  <si>
    <t>Percentage</t>
  </si>
  <si>
    <t>Differential</t>
  </si>
  <si>
    <t>Initial Contract Value:</t>
  </si>
  <si>
    <t>Initial Contract Value Range</t>
  </si>
  <si>
    <t>Hide these 2 columns</t>
  </si>
  <si>
    <t>11 52 23</t>
  </si>
  <si>
    <t>Glazing Surface Film</t>
  </si>
  <si>
    <t>Project Name:</t>
  </si>
  <si>
    <t>Project Number:</t>
  </si>
  <si>
    <t>SCHEDULE OF VALUES</t>
  </si>
  <si>
    <t>08 11 16/08 43 29</t>
  </si>
  <si>
    <t>Consultant:</t>
  </si>
  <si>
    <t>Consultant</t>
  </si>
  <si>
    <t>Client Name</t>
  </si>
  <si>
    <t>Project Number</t>
  </si>
  <si>
    <t>Tax Rate</t>
  </si>
  <si>
    <t>HST</t>
  </si>
  <si>
    <t>CO title</t>
  </si>
  <si>
    <t>03 45 00</t>
  </si>
  <si>
    <t>Precast Concrete</t>
  </si>
  <si>
    <t>04 22 00</t>
  </si>
  <si>
    <t>05 73 00</t>
  </si>
  <si>
    <t>Handrail Railings</t>
  </si>
  <si>
    <t>EIFS</t>
  </si>
  <si>
    <t>07 24 15</t>
  </si>
  <si>
    <t>07 51 00</t>
  </si>
  <si>
    <t>Roofing</t>
  </si>
  <si>
    <t>07 62 00</t>
  </si>
  <si>
    <t>Sheet Metal Flashing &amp; Trim</t>
  </si>
  <si>
    <t>08 51 13</t>
  </si>
  <si>
    <t>Aluminum Windows</t>
  </si>
  <si>
    <t>08 41 13</t>
  </si>
  <si>
    <t>Aluminum Framed Entrances</t>
  </si>
  <si>
    <t>09 90 00</t>
  </si>
  <si>
    <t>Painting &amp; Coating</t>
  </si>
  <si>
    <t>10 26 16</t>
  </si>
  <si>
    <t>Bumper Guards</t>
  </si>
  <si>
    <t>32 12 16</t>
  </si>
  <si>
    <t>Asphalt Paving</t>
  </si>
  <si>
    <t>32 31 13</t>
  </si>
  <si>
    <t>Chain Link Fencing</t>
  </si>
  <si>
    <t>Cash Allowances:</t>
  </si>
  <si>
    <t>Cash Allowance subtotal:</t>
  </si>
  <si>
    <t>Previously payable  (from payable to date on previous certificate)</t>
  </si>
  <si>
    <t xml:space="preserve"> Ontario </t>
  </si>
  <si>
    <t>Province</t>
  </si>
  <si>
    <t>Tax Type</t>
  </si>
  <si>
    <t>Repeat across all columns.</t>
  </si>
  <si>
    <t>Add to skip weekend</t>
  </si>
  <si>
    <t>A  % of contract amount</t>
  </si>
  <si>
    <t>Balance to complete per Schedule of Values</t>
  </si>
  <si>
    <t>B  Previously released:</t>
  </si>
  <si>
    <t>C Holdback remaining:</t>
  </si>
  <si>
    <t>27 10 00</t>
  </si>
  <si>
    <t>27 51 19</t>
  </si>
  <si>
    <t>Contract subtotal:</t>
  </si>
  <si>
    <t>Contract amount:</t>
  </si>
  <si>
    <t>Favourite Client Company</t>
  </si>
  <si>
    <t>Award Winner</t>
  </si>
  <si>
    <t>Sustainable Office</t>
  </si>
  <si>
    <t>Quality Contractors Inc.</t>
  </si>
  <si>
    <t>Click on the "Create a new Schedule of Values" button to create one.</t>
  </si>
  <si>
    <t>Amount agreed to be deferred</t>
  </si>
  <si>
    <t xml:space="preserve">For Period Ending: </t>
  </si>
  <si>
    <t>Completed 
to Date</t>
  </si>
  <si>
    <t>Amount
This Draw</t>
  </si>
  <si>
    <t>%
to Date</t>
  </si>
  <si>
    <t>Balance
to Complete</t>
  </si>
  <si>
    <t>Copy the agreed upon contract breakdown values provided by the Contractor into the "Contract Amount" column.</t>
  </si>
  <si>
    <t>21 00 00</t>
  </si>
  <si>
    <t>Fire Supression - other</t>
  </si>
  <si>
    <t>Fire Supression - Labour</t>
  </si>
  <si>
    <t>Supports</t>
  </si>
  <si>
    <t>Sprinkler heads</t>
  </si>
  <si>
    <t>Fire Stopping/Sealants</t>
  </si>
  <si>
    <t>Project Record Docs (Manuals/Docs/ As-builts)</t>
  </si>
  <si>
    <t>Building Permit Number</t>
  </si>
  <si>
    <t xml:space="preserve">Deemed Completion: </t>
  </si>
  <si>
    <r>
      <t xml:space="preserve">Document </t>
    </r>
    <r>
      <rPr>
        <b/>
        <sz val="9"/>
        <rFont val="Arial"/>
        <family val="2"/>
      </rPr>
      <t>00 62 73</t>
    </r>
  </si>
  <si>
    <t>Data Cabling</t>
  </si>
  <si>
    <t xml:space="preserve">Sound Masking </t>
  </si>
  <si>
    <t>Visionary Architects</t>
  </si>
  <si>
    <t>If all agrees,  prepare a Certificate For Payment.</t>
  </si>
  <si>
    <t>If there are differences, advise the Contractor and attempt to resolve them.</t>
  </si>
  <si>
    <t>Submit a PDF of the schedule of values portion of the worksheet with the Certificate for Payment.</t>
  </si>
  <si>
    <t xml:space="preserve">Insert or delete line items as needed to reflect the current project in the schedule of values on the "App For Payment-Template" tab. </t>
  </si>
  <si>
    <t>Use the Record Docs tab to determine an appropriate value for the entire record documents.</t>
  </si>
  <si>
    <t>Divide the total as appropriate across the various disciplines.</t>
  </si>
  <si>
    <t>If not already included as part of the bid documents, send a PDF copy of the schedule of values portion of the worksheet</t>
  </si>
  <si>
    <t>to the Contractor as a template for their use in submitting the contract breakdown.</t>
  </si>
  <si>
    <t>To change any of the calculation parameters, unhide columns C and D.</t>
  </si>
  <si>
    <t>The appropriate record document value will vary depending on the nature of the project. Enter the desired value in the Schedule of Values before sending to the Contractor.</t>
  </si>
  <si>
    <t>Proposed Value of As-Builts/Close-out Documents</t>
  </si>
  <si>
    <t>Schedule of Values/Certificate for Payment workbook</t>
  </si>
  <si>
    <t>Project:</t>
  </si>
  <si>
    <t>Owner:</t>
  </si>
  <si>
    <t>Enter the number of the Application for Payment for which you want to show the Certificate for Payment:</t>
  </si>
  <si>
    <t>Address line 1</t>
  </si>
  <si>
    <t>Address line 2</t>
  </si>
  <si>
    <t>Attention:</t>
  </si>
  <si>
    <t>Original Contract Amount</t>
  </si>
  <si>
    <t>Total Changes to Date</t>
  </si>
  <si>
    <t>Current Contract Amount</t>
  </si>
  <si>
    <t>Value of Work Finished</t>
  </si>
  <si>
    <t>Deficiency Retainage</t>
  </si>
  <si>
    <t>Current Work less Holdbacks</t>
  </si>
  <si>
    <t>Holdback Previously Released</t>
  </si>
  <si>
    <t>Total Holdback Released</t>
  </si>
  <si>
    <t>Payable to Date</t>
  </si>
  <si>
    <t>Less Previously Payable</t>
  </si>
  <si>
    <t>Payable This Issue</t>
  </si>
  <si>
    <t>Holdback Released This Issue</t>
  </si>
  <si>
    <t>Total Payable This Issue</t>
  </si>
  <si>
    <t>By law, the amount certified is subject to reduction by the amount of any lien of which you have received written notice. The certificate is not negotiable, and is payable to the payee named in it. Issuance, payment, and acceptance are without prejudice to any rights of the Owner or Contractor under their contract.</t>
  </si>
  <si>
    <t>Consultant's Signature:</t>
  </si>
  <si>
    <t>Contractor's Acknowledgement</t>
  </si>
  <si>
    <t>Certificate for Payment</t>
  </si>
  <si>
    <t>Certificate for Payment:</t>
  </si>
  <si>
    <t>Issue Date:</t>
  </si>
  <si>
    <t>File:</t>
  </si>
  <si>
    <t>Client Representative</t>
  </si>
  <si>
    <t>Favourite Person</t>
  </si>
  <si>
    <t>Consultant Address 1</t>
  </si>
  <si>
    <t>Consultant Address 2</t>
  </si>
  <si>
    <t>Consultant Telephone</t>
  </si>
  <si>
    <t>Consultant Fax</t>
  </si>
  <si>
    <t>(999) 123-4567</t>
  </si>
  <si>
    <t>(000) 987-6543</t>
  </si>
  <si>
    <t>Client Address 1</t>
  </si>
  <si>
    <t>Client Address 2</t>
  </si>
  <si>
    <t>Date</t>
  </si>
  <si>
    <t>Per:</t>
  </si>
  <si>
    <t>Start of First Payment Period</t>
  </si>
  <si>
    <t>Year</t>
  </si>
  <si>
    <t>Month</t>
  </si>
  <si>
    <t>Day</t>
  </si>
  <si>
    <t>YYYY</t>
  </si>
  <si>
    <t>MM</t>
  </si>
  <si>
    <t>DD</t>
  </si>
  <si>
    <t>Convert the Date Issued field on the schedule of values from a formula to a date value (Copy and Paste values)</t>
  </si>
  <si>
    <t xml:space="preserve">Issue Date:  </t>
  </si>
  <si>
    <t>The Deficiency Retainage line item on the certificates for payment is provided for those who use this method.</t>
  </si>
  <si>
    <t>Enter any holdback released or deficiency amounts into the green boxes in the Certificate section.</t>
  </si>
  <si>
    <t>Substantial Performance</t>
  </si>
  <si>
    <t>Trial Certificate For Payment:</t>
  </si>
  <si>
    <t>Trial Certificate of Substantial Performance:</t>
  </si>
  <si>
    <t>The latter method makes it explicit to the general contractor and the sub-contractors which items are deficient.</t>
  </si>
  <si>
    <t>It also makes it easier to adjust the schedule of values as the deficiencies are completed.</t>
  </si>
  <si>
    <t xml:space="preserve"> Northwest Territory </t>
  </si>
  <si>
    <t xml:space="preserve"> Nunavut </t>
  </si>
  <si>
    <t xml:space="preserve"> Yukon </t>
  </si>
  <si>
    <t xml:space="preserve"> Newfoundland </t>
  </si>
  <si>
    <t xml:space="preserve"> Prince Edward Island </t>
  </si>
  <si>
    <t xml:space="preserve"> Nova Scotia </t>
  </si>
  <si>
    <t xml:space="preserve"> New Brunswick </t>
  </si>
  <si>
    <t xml:space="preserve"> Manitoba </t>
  </si>
  <si>
    <t xml:space="preserve"> Saskatchewan </t>
  </si>
  <si>
    <t xml:space="preserve"> Alberta </t>
  </si>
  <si>
    <t xml:space="preserve"> British Columbia </t>
  </si>
  <si>
    <t>based on common practice</t>
  </si>
  <si>
    <t xml:space="preserve"> Quebec </t>
  </si>
  <si>
    <t>Comments</t>
  </si>
  <si>
    <t>GST</t>
  </si>
  <si>
    <t>Project location:</t>
  </si>
  <si>
    <t>Province/Territory</t>
  </si>
  <si>
    <t>%</t>
  </si>
  <si>
    <t>Limit</t>
  </si>
  <si>
    <t xml:space="preserve"> Lien Period </t>
  </si>
  <si>
    <t>Lien Period Trigger</t>
  </si>
  <si>
    <t>Document Issued/Status Achieved</t>
  </si>
  <si>
    <t xml:space="preserve">Finishing Holdback </t>
  </si>
  <si>
    <t xml:space="preserve">Finishing Lien Period </t>
  </si>
  <si>
    <t>Legislation</t>
  </si>
  <si>
    <t>X</t>
  </si>
  <si>
    <t>Certificate of Substantial Performance</t>
  </si>
  <si>
    <t>Deemed Completion</t>
  </si>
  <si>
    <t>Substantially Performed</t>
  </si>
  <si>
    <t>Deemed Complete</t>
  </si>
  <si>
    <t>Certificat d'achevement substantiel de l'ouvrage</t>
  </si>
  <si>
    <t>Certificate of Completion</t>
  </si>
  <si>
    <t>No Finishing Holdback</t>
  </si>
  <si>
    <t>Completed</t>
  </si>
  <si>
    <t>Completion</t>
  </si>
  <si>
    <t>Complete</t>
  </si>
  <si>
    <t>$3,000 min or 20% if contract is &lt; $15,000.00</t>
  </si>
  <si>
    <t>Finishing holdback is 2.5% of work done, not of work remaining</t>
  </si>
  <si>
    <t>NB</t>
  </si>
  <si>
    <t>PEI</t>
  </si>
  <si>
    <t>Schedule of Values-</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</si>
  <si>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</si>
  <si>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</si>
  <si>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</si>
  <si>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</si>
  <si>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</si>
  <si>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</si>
  <si>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</si>
  <si>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</si>
  <si>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</si>
  <si>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</si>
  <si>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</si>
  <si>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</si>
  <si>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</si>
  <si>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</si>
  <si>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</si>
  <si>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</si>
  <si>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</si>
  <si>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</si>
  <si>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</si>
  <si>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</si>
  <si>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</si>
  <si>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</si>
  <si>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</si>
  <si>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</si>
  <si>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</si>
  <si>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</si>
  <si>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</si>
  <si>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</si>
  <si>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</si>
  <si>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</si>
  <si>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</si>
  <si>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</si>
  <si>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</si>
  <si>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</si>
  <si>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</si>
  <si>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</si>
  <si>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Selected:</t>
  </si>
  <si>
    <t>QST</t>
  </si>
  <si>
    <t>Location Selected</t>
  </si>
  <si>
    <t>Calculation of Substantial Performance</t>
  </si>
  <si>
    <t>The information in this table must be manually updated to reflect any changes in the applicable lien legislation or tax rates.</t>
  </si>
  <si>
    <t>Change of Rate Threshold</t>
  </si>
  <si>
    <t>Basic Holdback %</t>
  </si>
  <si>
    <t>Minimum Holdback @ Rate Change</t>
  </si>
  <si>
    <t>Calculation of Basic Holdback</t>
  </si>
  <si>
    <t>Calculation of Finishing Holdback</t>
  </si>
  <si>
    <t>Release of Basic Holdback</t>
  </si>
  <si>
    <t>Release of Finishing Holdback</t>
  </si>
  <si>
    <t>Completed to date calculation for NB &amp; PEI due to sliding scale of holdback percentages</t>
  </si>
  <si>
    <t>Sheet name</t>
  </si>
  <si>
    <t>Named range</t>
  </si>
  <si>
    <t>Cert #</t>
  </si>
  <si>
    <t>Concatenation of cell address</t>
  </si>
  <si>
    <t>37</t>
  </si>
  <si>
    <t>38</t>
  </si>
  <si>
    <t>39</t>
  </si>
  <si>
    <t>40</t>
  </si>
  <si>
    <t>41</t>
  </si>
  <si>
    <t>42</t>
  </si>
  <si>
    <t>43</t>
  </si>
  <si>
    <t>44</t>
  </si>
  <si>
    <t>45</t>
  </si>
  <si>
    <t>46</t>
  </si>
  <si>
    <t>47</t>
  </si>
  <si>
    <t>48</t>
  </si>
  <si>
    <t>VAT Tax Type</t>
  </si>
  <si>
    <t>Prov Tax Type</t>
  </si>
  <si>
    <t>Prov Tax Rate</t>
  </si>
  <si>
    <t>VAT Tax Rate</t>
  </si>
  <si>
    <t>Civil Code Quebec article 2727</t>
  </si>
  <si>
    <t>The information was valid when first entered, but must be confirmed in each jurisdiction prior to use for that jurisdiction.</t>
  </si>
  <si>
    <t>Finishing Holdback %</t>
  </si>
  <si>
    <t>Limit of Outstanding Work</t>
  </si>
  <si>
    <t>Basic holdback of</t>
  </si>
  <si>
    <t>Finishing holdback of</t>
  </si>
  <si>
    <t>A1 Basic holdback:</t>
  </si>
  <si>
    <t>A2 Finishing holdback:</t>
  </si>
  <si>
    <t>When substantial performance has been achieved, enter the value of the work completed at substantial performance in the cell indicated.</t>
  </si>
  <si>
    <t>Doing so allows the finishing holdback to be calculated at a different rate where required by the jurisdiction of the place of the work.</t>
  </si>
  <si>
    <t>The proper functioning of this workbook depends on the operation of macro programming written using Visual Basic for Applications (VBA). The VBA language is a part of the applications in the Microsoft Office suite. Unless macros are enabled, this workbook will not function properly.</t>
  </si>
  <si>
    <t>If used with malicious intent, VBA macros can  be used to attack or damage computer files. The macros used in this workbook copy tabs and information between tabs. They do not access any other file or the internet, nor have they caused any known issues with other programs.</t>
  </si>
  <si>
    <t>Revision History</t>
  </si>
  <si>
    <t>May 2017</t>
  </si>
  <si>
    <t>The Certificate For Payment was reorganized to better reflect that the certification is of the value of the work completed to date and the amount owing to the contractor this payment period. The calculation are provided for convenience and information, and are themselves not being certified.</t>
  </si>
  <si>
    <t>The calculation of statutory holdback has been changed to explicitly show separate line items for basic and finishing holdback. This requires one additional step by the user for projects in Ontario: to enter the amount of work complete at Substantial Performance (In the labelled cell that is part of the Trial Certificate of Substantial Performance). It does however permit the workbook to be used for projects being done in other provinces or territories where there may be no finishing holdback or a different calculation may be required.</t>
  </si>
  <si>
    <t>Roof top units</t>
  </si>
  <si>
    <t>Chillers</t>
  </si>
  <si>
    <t>Condensors</t>
  </si>
  <si>
    <t>Switchgear</t>
  </si>
  <si>
    <t>Panels</t>
  </si>
  <si>
    <t>Transformers</t>
  </si>
  <si>
    <t>Applicable Legislation</t>
  </si>
  <si>
    <t>Insert above this row</t>
  </si>
  <si>
    <t>ProvinceList</t>
  </si>
  <si>
    <t xml:space="preserve"> Quebec</t>
  </si>
  <si>
    <t>5 CLA</t>
  </si>
  <si>
    <t>5 CA</t>
  </si>
  <si>
    <t>Construction Lien Act, Ontario</t>
  </si>
  <si>
    <t>Construction Act, Ontario</t>
  </si>
  <si>
    <t xml:space="preserve">Builders Lien Act, BC </t>
  </si>
  <si>
    <t>Builder's Lien Act, Alberta</t>
  </si>
  <si>
    <t>Builders Lien Act, Saskatchewan</t>
  </si>
  <si>
    <t>The Builders' Liens Act, Manitoba</t>
  </si>
  <si>
    <t>Mechanics' Lien Act, New Brunswick</t>
  </si>
  <si>
    <t>Builders Lien Act, Nova Scotia</t>
  </si>
  <si>
    <t>Mechanics' Lien Act, P.E.I.</t>
  </si>
  <si>
    <t>Mechanics' Lien Act, Newfoundland</t>
  </si>
  <si>
    <t>Lien Act, Yukon</t>
  </si>
  <si>
    <t>Mechanics Lien, Nunavut</t>
  </si>
  <si>
    <t>Lien Act, NWT</t>
  </si>
  <si>
    <t>Maximum outstanding per Act (lesser of A and B)</t>
  </si>
  <si>
    <t xml:space="preserve">Substantial Performance: </t>
  </si>
  <si>
    <t>Maximum outstanding per Act</t>
  </si>
  <si>
    <t>18 111999 BLD 00 BA</t>
  </si>
  <si>
    <t>It is preferable to reflect the value to correct deficient work in the appropriate line items of the schedule of values</t>
  </si>
  <si>
    <t>so that you are only certifying the value of work completed in accordance with the contract documents.</t>
  </si>
  <si>
    <t>18.32001.00</t>
  </si>
  <si>
    <t>Date of Issuance</t>
  </si>
  <si>
    <t>Date of Achievement</t>
  </si>
  <si>
    <t>Date of Publication</t>
  </si>
  <si>
    <t>CfP_Purpose</t>
  </si>
  <si>
    <t>-</t>
  </si>
  <si>
    <t>Progress Payment</t>
  </si>
  <si>
    <t>Release of Holdback</t>
  </si>
  <si>
    <t>Achevement substantiel de l'ouvrage</t>
  </si>
  <si>
    <t>Release of Holdback (Annual)</t>
  </si>
  <si>
    <t>Release of Holdback (Phased)</t>
  </si>
  <si>
    <t>History</t>
  </si>
  <si>
    <t>The issue of this Certificate for Payment shall not be taken as a representation that the Consultant has made any examination to ascertain how and for what purpose the Contractor has used monies paid on account of the contract or that the Contractor has discharged the obligations imposed on him/her by law under the Worker's Compensation Act, or other applicable statutes, non-compliance with which may render the Client personaly liable for the Contractor's default.</t>
  </si>
  <si>
    <t>Issued Change Directives:</t>
  </si>
  <si>
    <t>Undisputed Amount</t>
  </si>
  <si>
    <t>CD title</t>
  </si>
  <si>
    <t>Change Directive subtotal:</t>
  </si>
  <si>
    <t>Estimated CD Amount</t>
  </si>
  <si>
    <t>July 2018</t>
  </si>
  <si>
    <t>The version was updated to work with the new Construction Act, and at the same time was expanded to work with the lien legislation of the other jurisdictions in Canada. It is made available through the OAA's PAR committee.</t>
  </si>
  <si>
    <t>To avoid anyone easily tampering with the macros and circulating an infected file, access to the macros is protected. To protect yourself, you should download a copy of the workbook directly from the OAA web site. This also ensures you have the latest version of the workbook complete with any bug fixes and enhancements.</t>
  </si>
  <si>
    <t>The first public version was made available through the OAA's CCA committee. It worked with the Construction Lien Act of Ontario only.</t>
  </si>
  <si>
    <t>Calculations of value based on percentage of initial contract value</t>
  </si>
  <si>
    <t>Calc 1</t>
  </si>
  <si>
    <t>Calc 2</t>
  </si>
  <si>
    <t>01 77 00</t>
  </si>
  <si>
    <t>03 33 00</t>
  </si>
  <si>
    <t>Cast-in-Place Concrete (below grade)</t>
  </si>
  <si>
    <t>Cast-in-Place Concrete (above grade)</t>
  </si>
  <si>
    <t>04 21 13</t>
  </si>
  <si>
    <t>Brick Masonry</t>
  </si>
  <si>
    <t>Concrete Unit Masonry</t>
  </si>
  <si>
    <t>05 12 00</t>
  </si>
  <si>
    <t>Structural Steel Framing</t>
  </si>
  <si>
    <t>05 31 00</t>
  </si>
  <si>
    <t>Steel Decking</t>
  </si>
  <si>
    <t>QST_Blended</t>
  </si>
  <si>
    <t>template</t>
  </si>
  <si>
    <t>Basis of Holdback Release</t>
  </si>
  <si>
    <t>HB_Release</t>
  </si>
  <si>
    <t>Annual Release</t>
  </si>
  <si>
    <t>Phased Release</t>
  </si>
  <si>
    <t>Holdback</t>
  </si>
  <si>
    <t>Finishing Holdback</t>
  </si>
  <si>
    <t>App For Payment-</t>
  </si>
  <si>
    <t>'!WorkFinished</t>
  </si>
  <si>
    <t>49</t>
  </si>
  <si>
    <t>50</t>
  </si>
  <si>
    <t>51</t>
  </si>
  <si>
    <t>52</t>
  </si>
  <si>
    <t>A line was added to the lookup table so the workbook works in Ontario with either the old Construction Lien Act or the new Construction Act. The lookup tables have been expanded with parameters from the other jurisdictions in Canada besides Ontario for use on projects in those jurisdictions. In addition the labels on the tabs have been enhanced to reflect the terminology/parameters of the selected jurisdiction.</t>
  </si>
  <si>
    <t>asdf</t>
  </si>
  <si>
    <t>If the sheet is protected, go to the Review tab and click on Unprotect Sheet.</t>
  </si>
  <si>
    <t>When complete, go to the Review tab and click on Protect Sheet.</t>
  </si>
  <si>
    <t>The original version of this workbook was developed 30 years ago to assist the author in checking applications for payment.</t>
  </si>
  <si>
    <t>Before this workbook will function, you wil need to enable macros by clicking on the button below the menu bar or by declaring this file to be a trusted file or by putting it in a trusted folder.</t>
  </si>
  <si>
    <t>When protected, you should be able to enter data into any of the green shaded cells. It is recommended that you protect the sheets to avoid accidentally changing or deleting formulas.</t>
  </si>
  <si>
    <t>Rev. 2019 01</t>
  </si>
  <si>
    <t>The instructions were expanded to address protecting and unprotecting sheets.</t>
  </si>
  <si>
    <t>Jan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</si>
</sst>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4" formatCode="_(&quot;$&quot;* #,##0.00_);_(&quot;$&quot;* \(#,##0.00\);_(&quot;$&quot;* &quot;-&quot;??_);_(@_)"/>
    <numFmt numFmtId="43" formatCode="_(* #,##0.00_);_(* \(#,##0.00\);_(* &quot;-&quot;??_);_(@_)"/>
    <numFmt numFmtId="164" formatCode="_-&quot;$&quot;* #,##0.00_-;\-&quot;$&quot;* #,##0.00_-;_-&quot;$&quot;* &quot;-&quot;??_-;_-@_-"/>
    <numFmt numFmtId="165" formatCode="0.0%"/>
    <numFmt numFmtId="166" formatCode="[$-1009]mmmm\ d\,\ yyyy;@"/>
    <numFmt numFmtId="167" formatCode="_(* #,##0_);_(* \(#,##0\);_(* &quot;-&quot;??_);_(@_)"/>
    <numFmt numFmtId="168" formatCode="yyyy\ mm\ dd;@"/>
    <numFmt numFmtId="169" formatCode="&quot;$&quot;#,##0.00"/>
    <numFmt numFmtId="170" formatCode="0.000%"/>
    <numFmt numFmtId="171" formatCode="_-[$$-1009]* #,##0.00_-;\-[$$-1009]* #,##0.00_-;_-[$$-1009]* &quot;-&quot;??_-;_-@_-"/>
  </numFmts>
  <fonts count="43">
    <font>
      <sz val="9"/>
      <name val="Geneva"/>
    </font>
    <font>
      <b/>
      <sz val="9"/>
      <name val="Geneva"/>
    </font>
    <font>
      <sz val="9"/>
      <name val="Geneva"/>
      <family val="2"/>
    </font>
    <font>
      <b/>
      <sz val="9"/>
      <name val="Geneva"/>
      <family val="2"/>
    </font>
    <font>
      <sz val="10"/>
      <color indexed="12"/>
      <name val="Arial"/>
      <family val="2"/>
    </font>
    <font>
      <sz val="9"/>
      <name val="Geneva"/>
      <family val="2"/>
    </font>
    <font>
      <b/>
      <sz val="8"/>
      <color indexed="81"/>
      <name val="Tahoma"/>
      <family val="2"/>
    </font>
    <font>
      <b/>
      <sz val="10"/>
      <name val="Arial"/>
      <family val="2"/>
    </font>
    <font>
      <sz val="14"/>
      <name val="Arial"/>
      <family val="2"/>
    </font>
    <font>
      <b/>
      <sz val="12"/>
      <name val="Arial"/>
      <family val="2"/>
    </font>
    <font>
      <b/>
      <sz val="14"/>
      <name val="Arial"/>
      <family val="2"/>
    </font>
    <font>
      <b/>
      <sz val="12"/>
      <name val="Arial Narrow"/>
      <family val="2"/>
    </font>
    <font>
      <b/>
      <sz val="10"/>
      <name val="Arial Narrow"/>
      <family val="2"/>
    </font>
    <font>
      <b/>
      <sz val="16"/>
      <name val="Geneva"/>
      <family val="2"/>
    </font>
    <font>
      <sz val="9"/>
      <color indexed="53"/>
      <name val="Geneva"/>
      <family val="2"/>
    </font>
    <font>
      <sz val="8"/>
      <name val="Geneva"/>
      <family val="2"/>
    </font>
    <font>
      <sz val="9"/>
      <name val="HOK Sans"/>
    </font>
    <font>
      <sz val="9"/>
      <name val="Arial"/>
      <family val="2"/>
    </font>
    <font>
      <b/>
      <sz val="9"/>
      <name val="Arial"/>
      <family val="2"/>
    </font>
    <font>
      <sz val="9"/>
      <color indexed="10"/>
      <name val="Arial"/>
      <family val="2"/>
    </font>
    <font>
      <b/>
      <sz val="11"/>
      <name val="Arial"/>
      <family val="2"/>
    </font>
    <font>
      <sz val="10"/>
      <name val="Arial Narrow"/>
      <family val="2"/>
    </font>
    <font>
      <sz val="9"/>
      <color indexed="10"/>
      <name val="Arial Narrow"/>
      <family val="2"/>
    </font>
    <font>
      <sz val="9"/>
      <name val="Geneva"/>
    </font>
    <font>
      <sz val="6"/>
      <name val="Arial"/>
      <family val="2"/>
    </font>
    <font>
      <sz val="11"/>
      <name val="Arial"/>
      <family val="2"/>
    </font>
    <font>
      <sz val="10"/>
      <name val="Arial"/>
      <family val="2"/>
    </font>
    <font>
      <sz val="12"/>
      <name val="Arial"/>
      <family val="2"/>
    </font>
    <font>
      <sz val="18"/>
      <name val="Arial"/>
      <family val="2"/>
    </font>
    <font>
      <sz val="8"/>
      <name val="Arial"/>
      <family val="2"/>
    </font>
    <font>
      <sz val="8"/>
      <name val="Geneva"/>
    </font>
    <font>
      <sz val="10"/>
      <name val="Geneva"/>
    </font>
    <font>
      <sz val="7"/>
      <name val="Arial"/>
      <family val="2"/>
    </font>
    <font>
      <sz val="11"/>
      <color theme="1"/>
      <name val="Calibri"/>
      <family val="2"/>
      <scheme val="minor"/>
    </font>
    <font>
      <sz val="11"/>
      <color theme="1"/>
      <name val="Arial"/>
      <family val="2"/>
    </font>
    <font>
      <sz val="9"/>
      <color theme="1"/>
      <name val="Geneva"/>
      <family val="2"/>
    </font>
    <font>
      <u/>
      <sz val="11"/>
      <color theme="10"/>
      <name val="Calibri"/>
      <family val="2"/>
    </font>
    <font>
      <sz val="9"/>
      <color indexed="8"/>
      <name val="Geneva"/>
      <family val="2"/>
    </font>
    <font>
      <sz val="9"/>
      <color indexed="9"/>
      <name val="Geneva"/>
      <family val="2"/>
    </font>
    <font>
      <sz val="9"/>
      <color theme="1"/>
      <name val="Geneva"/>
    </font>
    <font>
      <sz val="11"/>
      <name val="Calibri"/>
      <family val="2"/>
    </font>
    <font>
      <b/>
      <sz val="9"/>
      <color indexed="81"/>
      <name val="Tahoma"/>
      <family val="2"/>
    </font>
    <font>
      <b/>
      <sz val="10"/>
      <name val="Geneva"/>
      <family val="2"/>
    </font>
  </fonts>
  <fills count="17">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indexed="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10"/>
        <bgColor indexed="64"/>
      </patternFill>
    </fill>
    <fill>
      <patternFill patternType="solid">
        <fgColor indexed="44"/>
        <bgColor indexed="64"/>
      </patternFill>
    </fill>
    <fill>
      <patternFill patternType="solid">
        <fgColor indexed="29"/>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0000"/>
        <bgColor indexed="64"/>
      </patternFill>
    </fill>
  </fills>
  <borders count="31">
    <border>
      <left/>
      <right/>
      <top/>
      <bottom/>
      <diagonal/>
    </border>
    <border>
      <left/>
      <right/>
      <top style="thin">
        <color indexed="64"/>
      </top>
      <bottom/>
      <diagonal/>
    </border>
    <border>
      <left style="dashed">
        <color indexed="64"/>
      </left>
      <right/>
      <top style="dashed">
        <color indexed="64"/>
      </top>
      <bottom/>
      <diagonal/>
    </border>
    <border>
      <left style="dashed">
        <color indexed="64"/>
      </left>
      <right/>
      <top/>
      <bottom/>
      <diagonal/>
    </border>
    <border>
      <left style="dashed">
        <color indexed="64"/>
      </left>
      <right/>
      <top/>
      <bottom style="dashed">
        <color indexed="64"/>
      </bottom>
      <diagonal/>
    </border>
    <border>
      <left/>
      <right/>
      <top style="double">
        <color indexed="64"/>
      </top>
      <bottom/>
      <diagonal/>
    </border>
    <border>
      <left style="medium">
        <color indexed="64"/>
      </left>
      <right style="medium">
        <color indexed="64"/>
      </right>
      <top style="medium">
        <color indexed="64"/>
      </top>
      <bottom/>
      <diagonal/>
    </border>
    <border>
      <left/>
      <right/>
      <top/>
      <bottom style="double">
        <color indexed="64"/>
      </bottom>
      <diagonal/>
    </border>
    <border>
      <left/>
      <right/>
      <top style="double">
        <color indexed="64"/>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style="dashed">
        <color indexed="64"/>
      </right>
      <top style="dashed">
        <color indexed="64"/>
      </top>
      <bottom/>
      <diagonal/>
    </border>
    <border>
      <left/>
      <right style="dashed">
        <color indexed="64"/>
      </right>
      <top/>
      <bottom/>
      <diagonal/>
    </border>
    <border>
      <left/>
      <right style="dashed">
        <color indexed="64"/>
      </right>
      <top/>
      <bottom style="dashed">
        <color indexed="64"/>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double">
        <color indexed="64"/>
      </bottom>
      <diagonal/>
    </border>
  </borders>
  <cellStyleXfs count="7">
    <xf numFmtId="0" fontId="0" fillId="0" borderId="0"/>
    <xf numFmtId="43" fontId="2" fillId="0" borderId="0" applyFont="0" applyFill="0" applyBorder="0" applyAlignment="0" applyProtection="0"/>
    <xf numFmtId="44" fontId="2" fillId="0" borderId="0" applyFont="0" applyFill="0" applyBorder="0" applyAlignment="0" applyProtection="0"/>
    <xf numFmtId="164" fontId="33" fillId="0" borderId="0" applyFont="0" applyFill="0" applyBorder="0" applyAlignment="0" applyProtection="0"/>
    <xf numFmtId="0" fontId="33" fillId="0" borderId="0"/>
    <xf numFmtId="9" fontId="2" fillId="0" borderId="0" applyFont="0" applyFill="0" applyBorder="0" applyAlignment="0" applyProtection="0"/>
    <xf numFmtId="0" fontId="36" fillId="0" borderId="0" applyNumberFormat="0" applyFill="0" applyBorder="0" applyAlignment="0" applyProtection="0">
      <alignment vertical="top"/>
      <protection locked="0"/>
    </xf>
  </cellStyleXfs>
  <cellXfs count="359">
    <xf numFmtId="0" fontId="0" fillId="0" borderId="0" xfId="0"/>
    <xf numFmtId="0" fontId="0" fillId="0" borderId="0" xfId="0" applyAlignment="1">
      <alignment horizontal="left"/>
    </xf>
    <xf numFmtId="43" fontId="0" fillId="0" borderId="0" xfId="1" applyFont="1"/>
    <xf numFmtId="9" fontId="0" fillId="0" borderId="0" xfId="5" applyFont="1"/>
    <xf numFmtId="0" fontId="0" fillId="0" borderId="0" xfId="0" applyAlignment="1">
      <alignment horizontal="center" wrapText="1"/>
    </xf>
    <xf numFmtId="0" fontId="0" fillId="0" borderId="0" xfId="0" applyAlignment="1">
      <alignment horizontal="right"/>
    </xf>
    <xf numFmtId="0" fontId="3" fillId="0" borderId="0" xfId="0" applyFont="1" applyAlignment="1">
      <alignment horizontal="left"/>
    </xf>
    <xf numFmtId="0" fontId="4" fillId="0" borderId="0" xfId="0" applyFont="1" applyAlignment="1">
      <alignment horizontal="center" wrapText="1"/>
    </xf>
    <xf numFmtId="0" fontId="4" fillId="0" borderId="0" xfId="0" applyFont="1" applyAlignment="1">
      <alignment wrapText="1"/>
    </xf>
    <xf numFmtId="43" fontId="0" fillId="0" borderId="0" xfId="0" applyNumberFormat="1"/>
    <xf numFmtId="10" fontId="0" fillId="0" borderId="0" xfId="5" applyNumberFormat="1" applyFont="1"/>
    <xf numFmtId="0" fontId="1" fillId="0" borderId="0" xfId="0" applyFont="1" applyAlignment="1">
      <alignment horizontal="left"/>
    </xf>
    <xf numFmtId="0" fontId="0" fillId="2" borderId="0" xfId="0" applyFill="1"/>
    <xf numFmtId="0" fontId="2" fillId="2" borderId="0" xfId="0" applyFont="1" applyFill="1" applyAlignment="1">
      <alignment horizontal="center"/>
    </xf>
    <xf numFmtId="0" fontId="2" fillId="2" borderId="0" xfId="0" applyFont="1" applyFill="1" applyAlignment="1">
      <alignment horizontal="center" wrapText="1"/>
    </xf>
    <xf numFmtId="0" fontId="0" fillId="0" borderId="0" xfId="0" applyProtection="1">
      <protection locked="0"/>
    </xf>
    <xf numFmtId="0" fontId="0" fillId="0" borderId="0" xfId="0" applyAlignment="1" applyProtection="1">
      <alignment horizontal="center" wrapText="1"/>
      <protection locked="0"/>
    </xf>
    <xf numFmtId="0" fontId="0" fillId="0" borderId="0" xfId="0" applyAlignment="1" applyProtection="1">
      <alignment horizontal="left"/>
      <protection locked="0"/>
    </xf>
    <xf numFmtId="43" fontId="2" fillId="0" borderId="0" xfId="1" applyProtection="1">
      <protection locked="0"/>
    </xf>
    <xf numFmtId="0" fontId="4" fillId="0" borderId="0" xfId="0" applyFont="1" applyAlignment="1" applyProtection="1">
      <alignment wrapText="1"/>
      <protection locked="0"/>
    </xf>
    <xf numFmtId="0" fontId="4" fillId="0" borderId="0" xfId="0" applyFont="1" applyAlignment="1" applyProtection="1">
      <alignment horizontal="center" wrapText="1"/>
      <protection locked="0"/>
    </xf>
    <xf numFmtId="9" fontId="2" fillId="0" borderId="0" xfId="5" applyProtection="1">
      <protection locked="0"/>
    </xf>
    <xf numFmtId="43" fontId="2" fillId="3" borderId="0" xfId="1" applyFill="1" applyProtection="1"/>
    <xf numFmtId="0" fontId="0" fillId="3" borderId="0" xfId="0" applyFill="1" applyProtection="1"/>
    <xf numFmtId="9" fontId="2" fillId="3" borderId="0" xfId="5" applyFill="1" applyProtection="1"/>
    <xf numFmtId="44" fontId="2" fillId="3" borderId="0" xfId="2" applyFill="1" applyProtection="1"/>
    <xf numFmtId="0" fontId="5" fillId="3" borderId="0" xfId="0" applyFont="1" applyFill="1" applyProtection="1"/>
    <xf numFmtId="43" fontId="3" fillId="3" borderId="0" xfId="1" applyFont="1" applyFill="1" applyProtection="1"/>
    <xf numFmtId="44" fontId="3" fillId="3" borderId="1" xfId="2" applyFont="1" applyFill="1" applyBorder="1" applyProtection="1"/>
    <xf numFmtId="0" fontId="0" fillId="0" borderId="0" xfId="0" applyProtection="1"/>
    <xf numFmtId="0" fontId="0" fillId="0" borderId="0" xfId="0" applyAlignment="1" applyProtection="1">
      <alignment horizontal="right"/>
    </xf>
    <xf numFmtId="43" fontId="2" fillId="3" borderId="2" xfId="1" applyFill="1" applyBorder="1" applyProtection="1"/>
    <xf numFmtId="43" fontId="2" fillId="3" borderId="3" xfId="1" applyFill="1" applyBorder="1" applyProtection="1"/>
    <xf numFmtId="43" fontId="2" fillId="3" borderId="4" xfId="1" applyFill="1" applyBorder="1" applyProtection="1"/>
    <xf numFmtId="43" fontId="2" fillId="0" borderId="0" xfId="1" applyProtection="1"/>
    <xf numFmtId="9" fontId="2" fillId="0" borderId="0" xfId="5" applyProtection="1"/>
    <xf numFmtId="0" fontId="3" fillId="0" borderId="0" xfId="0" applyFont="1" applyProtection="1"/>
    <xf numFmtId="9" fontId="2" fillId="3" borderId="0" xfId="5" applyFill="1" applyBorder="1" applyProtection="1"/>
    <xf numFmtId="43" fontId="0" fillId="3" borderId="0" xfId="1" applyFont="1" applyFill="1" applyProtection="1"/>
    <xf numFmtId="44" fontId="0" fillId="3" borderId="5" xfId="2" applyFont="1" applyFill="1" applyBorder="1" applyProtection="1"/>
    <xf numFmtId="44" fontId="3" fillId="3" borderId="6" xfId="2" applyFont="1" applyFill="1" applyBorder="1" applyProtection="1"/>
    <xf numFmtId="165" fontId="0" fillId="0" borderId="0" xfId="5" applyNumberFormat="1" applyFont="1"/>
    <xf numFmtId="165" fontId="2" fillId="3" borderId="0" xfId="5" applyNumberFormat="1" applyFill="1" applyBorder="1" applyAlignment="1" applyProtection="1">
      <alignment horizontal="center" vertical="center"/>
    </xf>
    <xf numFmtId="165" fontId="0" fillId="3" borderId="0" xfId="5" applyNumberFormat="1" applyFont="1" applyFill="1" applyProtection="1"/>
    <xf numFmtId="165" fontId="3" fillId="0" borderId="0" xfId="5" applyNumberFormat="1" applyFont="1" applyProtection="1"/>
    <xf numFmtId="165" fontId="5" fillId="3" borderId="0" xfId="5" applyNumberFormat="1" applyFont="1" applyFill="1" applyProtection="1"/>
    <xf numFmtId="0" fontId="14" fillId="4" borderId="0" xfId="0" applyNumberFormat="1" applyFont="1" applyFill="1" applyProtection="1">
      <protection locked="0"/>
    </xf>
    <xf numFmtId="44" fontId="14" fillId="4" borderId="0" xfId="2" applyFont="1" applyFill="1" applyProtection="1">
      <protection locked="0"/>
    </xf>
    <xf numFmtId="169" fontId="10" fillId="0" borderId="0" xfId="0" applyNumberFormat="1" applyFont="1" applyAlignment="1" applyProtection="1">
      <alignment horizontal="left"/>
    </xf>
    <xf numFmtId="169" fontId="8" fillId="0" borderId="0" xfId="0" applyNumberFormat="1" applyFont="1" applyAlignment="1" applyProtection="1">
      <alignment horizontal="left"/>
    </xf>
    <xf numFmtId="165" fontId="8" fillId="0" borderId="0" xfId="5" applyNumberFormat="1" applyFont="1" applyAlignment="1" applyProtection="1">
      <alignment horizontal="left"/>
    </xf>
    <xf numFmtId="169" fontId="7" fillId="0" borderId="0" xfId="0" applyNumberFormat="1" applyFont="1" applyAlignment="1" applyProtection="1">
      <alignment horizontal="left"/>
    </xf>
    <xf numFmtId="44" fontId="0" fillId="0" borderId="0" xfId="2" applyFont="1" applyProtection="1"/>
    <xf numFmtId="169" fontId="0" fillId="0" borderId="0" xfId="0" applyNumberFormat="1" applyProtection="1"/>
    <xf numFmtId="165" fontId="0" fillId="0" borderId="0" xfId="5" applyNumberFormat="1" applyFont="1" applyProtection="1"/>
    <xf numFmtId="169" fontId="11" fillId="0" borderId="7" xfId="0" applyNumberFormat="1" applyFont="1" applyBorder="1" applyAlignment="1" applyProtection="1">
      <alignment horizontal="left"/>
    </xf>
    <xf numFmtId="169" fontId="9" fillId="0" borderId="7" xfId="0" applyNumberFormat="1" applyFont="1" applyBorder="1" applyAlignment="1" applyProtection="1">
      <alignment horizontal="left"/>
    </xf>
    <xf numFmtId="165" fontId="9" fillId="0" borderId="7" xfId="5" applyNumberFormat="1" applyFont="1" applyBorder="1" applyAlignment="1" applyProtection="1">
      <alignment horizontal="left"/>
    </xf>
    <xf numFmtId="169" fontId="12" fillId="0" borderId="8" xfId="0" applyNumberFormat="1" applyFont="1" applyBorder="1" applyAlignment="1" applyProtection="1">
      <alignment horizontal="left"/>
    </xf>
    <xf numFmtId="43" fontId="12" fillId="0" borderId="8" xfId="1" applyFont="1" applyBorder="1" applyAlignment="1" applyProtection="1"/>
    <xf numFmtId="165" fontId="12" fillId="0" borderId="8" xfId="5" applyNumberFormat="1" applyFont="1" applyBorder="1" applyAlignment="1" applyProtection="1">
      <alignment horizontal="left"/>
    </xf>
    <xf numFmtId="169" fontId="12" fillId="0" borderId="8" xfId="0" applyNumberFormat="1" applyFont="1" applyBorder="1" applyAlignment="1" applyProtection="1">
      <alignment horizontal="center"/>
    </xf>
    <xf numFmtId="43" fontId="2" fillId="4" borderId="0" xfId="1" applyFont="1" applyFill="1" applyProtection="1"/>
    <xf numFmtId="165" fontId="2" fillId="4" borderId="0" xfId="5" applyNumberFormat="1" applyFont="1" applyFill="1" applyAlignment="1" applyProtection="1">
      <alignment horizontal="center"/>
    </xf>
    <xf numFmtId="0" fontId="0" fillId="0" borderId="0" xfId="0" applyBorder="1" applyProtection="1"/>
    <xf numFmtId="0" fontId="5" fillId="0" borderId="0" xfId="0" applyFont="1" applyProtection="1"/>
    <xf numFmtId="44" fontId="0" fillId="0" borderId="0" xfId="2" applyFont="1" applyBorder="1" applyProtection="1"/>
    <xf numFmtId="169" fontId="12" fillId="0" borderId="9" xfId="0" applyNumberFormat="1" applyFont="1" applyBorder="1" applyAlignment="1" applyProtection="1">
      <alignment horizontal="left"/>
    </xf>
    <xf numFmtId="43" fontId="12" fillId="0" borderId="9" xfId="1" applyFont="1" applyBorder="1" applyAlignment="1" applyProtection="1"/>
    <xf numFmtId="165" fontId="12" fillId="0" borderId="9" xfId="5" applyNumberFormat="1" applyFont="1" applyBorder="1" applyAlignment="1" applyProtection="1">
      <alignment horizontal="left"/>
    </xf>
    <xf numFmtId="169" fontId="12" fillId="0" borderId="9" xfId="0" applyNumberFormat="1" applyFont="1" applyBorder="1" applyAlignment="1" applyProtection="1">
      <alignment horizontal="center"/>
    </xf>
    <xf numFmtId="0" fontId="0" fillId="0" borderId="10" xfId="0" applyBorder="1" applyProtection="1"/>
    <xf numFmtId="0" fontId="5" fillId="0" borderId="11" xfId="0" applyFont="1" applyBorder="1" applyProtection="1"/>
    <xf numFmtId="165" fontId="0" fillId="0" borderId="0" xfId="5" applyNumberFormat="1" applyFont="1" applyBorder="1" applyProtection="1"/>
    <xf numFmtId="0" fontId="0" fillId="0" borderId="12" xfId="0" applyBorder="1" applyProtection="1"/>
    <xf numFmtId="0" fontId="0" fillId="0" borderId="11" xfId="0" applyBorder="1" applyProtection="1"/>
    <xf numFmtId="0" fontId="0" fillId="0" borderId="0" xfId="0" applyAlignment="1" applyProtection="1">
      <alignment horizontal="left"/>
    </xf>
    <xf numFmtId="165" fontId="0" fillId="0" borderId="0" xfId="5" applyNumberFormat="1" applyFont="1" applyAlignment="1" applyProtection="1">
      <alignment horizontal="left"/>
    </xf>
    <xf numFmtId="44" fontId="14" fillId="4" borderId="0" xfId="2" applyFont="1" applyFill="1" applyAlignment="1" applyProtection="1">
      <alignment horizontal="left"/>
      <protection locked="0"/>
    </xf>
    <xf numFmtId="0" fontId="13" fillId="0" borderId="0" xfId="0" applyFont="1" applyAlignment="1">
      <alignment horizontal="left"/>
    </xf>
    <xf numFmtId="0" fontId="2" fillId="0" borderId="0" xfId="0" applyFont="1"/>
    <xf numFmtId="0" fontId="0" fillId="0" borderId="0" xfId="0" applyAlignment="1">
      <alignment vertical="top"/>
    </xf>
    <xf numFmtId="0" fontId="2" fillId="3" borderId="0" xfId="0" applyFont="1" applyFill="1" applyProtection="1"/>
    <xf numFmtId="43" fontId="0" fillId="0" borderId="0" xfId="1" applyFont="1" applyProtection="1"/>
    <xf numFmtId="0" fontId="3" fillId="0" borderId="0" xfId="0" applyFont="1" applyBorder="1" applyAlignment="1">
      <alignment horizontal="left"/>
    </xf>
    <xf numFmtId="43" fontId="0" fillId="0" borderId="0" xfId="1" applyFont="1" applyBorder="1" applyProtection="1"/>
    <xf numFmtId="43" fontId="2" fillId="0" borderId="0" xfId="1" applyFont="1" applyBorder="1" applyProtection="1"/>
    <xf numFmtId="0" fontId="0" fillId="0" borderId="0" xfId="1" applyNumberFormat="1" applyFont="1" applyAlignment="1">
      <alignment horizontal="center"/>
    </xf>
    <xf numFmtId="165" fontId="2" fillId="3" borderId="13" xfId="5" applyNumberFormat="1" applyFill="1" applyBorder="1" applyProtection="1"/>
    <xf numFmtId="165" fontId="2" fillId="3" borderId="14" xfId="5" applyNumberFormat="1" applyFill="1" applyBorder="1" applyProtection="1"/>
    <xf numFmtId="165" fontId="2" fillId="3" borderId="15" xfId="5" applyNumberFormat="1" applyFill="1" applyBorder="1" applyProtection="1"/>
    <xf numFmtId="43" fontId="2" fillId="3" borderId="0" xfId="1" applyFill="1" applyAlignment="1" applyProtection="1">
      <alignment horizontal="right"/>
    </xf>
    <xf numFmtId="0" fontId="2" fillId="0" borderId="0" xfId="0" applyFont="1" applyProtection="1">
      <protection locked="0"/>
    </xf>
    <xf numFmtId="170" fontId="0" fillId="0" borderId="0" xfId="5" applyNumberFormat="1" applyFont="1" applyBorder="1" applyAlignment="1" applyProtection="1">
      <alignment horizontal="center"/>
    </xf>
    <xf numFmtId="9" fontId="0" fillId="0" borderId="0" xfId="5" applyFont="1" applyProtection="1"/>
    <xf numFmtId="0" fontId="2" fillId="0" borderId="0" xfId="5" applyNumberFormat="1" applyFont="1" applyProtection="1"/>
    <xf numFmtId="0" fontId="2" fillId="0" borderId="0" xfId="1" applyNumberFormat="1" applyFont="1" applyProtection="1"/>
    <xf numFmtId="22" fontId="0" fillId="0" borderId="0" xfId="1" applyNumberFormat="1" applyFont="1"/>
    <xf numFmtId="14" fontId="0" fillId="0" borderId="0" xfId="1" applyNumberFormat="1" applyFont="1"/>
    <xf numFmtId="44" fontId="14" fillId="4" borderId="0" xfId="2" applyFont="1" applyFill="1" applyProtection="1"/>
    <xf numFmtId="0" fontId="16" fillId="0" borderId="0" xfId="0" applyFont="1" applyProtection="1"/>
    <xf numFmtId="0" fontId="16" fillId="0" borderId="0" xfId="0" applyFont="1" applyProtection="1">
      <protection locked="0"/>
    </xf>
    <xf numFmtId="43" fontId="16" fillId="0" borderId="0" xfId="1" applyFont="1" applyProtection="1"/>
    <xf numFmtId="0" fontId="16" fillId="0" borderId="0" xfId="0" applyFont="1" applyAlignment="1" applyProtection="1">
      <alignment horizontal="left"/>
    </xf>
    <xf numFmtId="9" fontId="16" fillId="0" borderId="0" xfId="5" applyFont="1" applyProtection="1"/>
    <xf numFmtId="0" fontId="7" fillId="3" borderId="0" xfId="0" applyFont="1" applyFill="1" applyAlignment="1" applyProtection="1">
      <alignment horizontal="left"/>
    </xf>
    <xf numFmtId="0" fontId="7" fillId="3" borderId="0" xfId="0" applyFont="1" applyFill="1" applyProtection="1"/>
    <xf numFmtId="43" fontId="17" fillId="3" borderId="0" xfId="1" applyFont="1" applyFill="1" applyProtection="1"/>
    <xf numFmtId="166" fontId="17" fillId="3" borderId="0" xfId="1" applyNumberFormat="1" applyFont="1" applyFill="1" applyAlignment="1" applyProtection="1">
      <alignment horizontal="right"/>
    </xf>
    <xf numFmtId="0" fontId="17" fillId="0" borderId="0" xfId="0" applyFont="1" applyProtection="1"/>
    <xf numFmtId="0" fontId="17" fillId="3" borderId="0" xfId="1" applyNumberFormat="1" applyFont="1" applyFill="1" applyAlignment="1" applyProtection="1"/>
    <xf numFmtId="166" fontId="7" fillId="3" borderId="0" xfId="1" applyNumberFormat="1" applyFont="1" applyFill="1" applyAlignment="1" applyProtection="1">
      <alignment horizontal="right"/>
    </xf>
    <xf numFmtId="0" fontId="17" fillId="0" borderId="0" xfId="0" applyFont="1" applyProtection="1">
      <protection locked="0"/>
    </xf>
    <xf numFmtId="0" fontId="17" fillId="3" borderId="0" xfId="0" applyFont="1" applyFill="1" applyAlignment="1" applyProtection="1">
      <alignment horizontal="left"/>
    </xf>
    <xf numFmtId="0" fontId="18" fillId="3" borderId="0" xfId="0" applyFont="1" applyFill="1" applyProtection="1"/>
    <xf numFmtId="43" fontId="17" fillId="3" borderId="0" xfId="1" applyFont="1" applyFill="1" applyAlignment="1" applyProtection="1">
      <alignment horizontal="right"/>
    </xf>
    <xf numFmtId="43" fontId="7" fillId="3" borderId="0" xfId="1" applyFont="1" applyFill="1" applyAlignment="1" applyProtection="1">
      <alignment horizontal="right"/>
    </xf>
    <xf numFmtId="0" fontId="7" fillId="4" borderId="0" xfId="1" applyNumberFormat="1" applyFont="1" applyFill="1" applyAlignment="1" applyProtection="1">
      <alignment horizontal="left"/>
      <protection locked="0"/>
    </xf>
    <xf numFmtId="0" fontId="17" fillId="3" borderId="0" xfId="1" applyNumberFormat="1" applyFont="1" applyFill="1" applyProtection="1"/>
    <xf numFmtId="0" fontId="17" fillId="3" borderId="0" xfId="0" applyFont="1" applyFill="1" applyAlignment="1" applyProtection="1">
      <alignment horizontal="right"/>
    </xf>
    <xf numFmtId="166" fontId="18" fillId="4" borderId="0" xfId="1" applyNumberFormat="1" applyFont="1" applyFill="1" applyAlignment="1" applyProtection="1">
      <alignment horizontal="right"/>
      <protection locked="0"/>
    </xf>
    <xf numFmtId="0" fontId="18" fillId="3" borderId="16" xfId="0" applyFont="1" applyFill="1" applyBorder="1" applyAlignment="1" applyProtection="1">
      <alignment horizontal="center" wrapText="1"/>
    </xf>
    <xf numFmtId="0" fontId="18" fillId="3" borderId="16" xfId="0" applyFont="1" applyFill="1" applyBorder="1" applyAlignment="1" applyProtection="1">
      <alignment horizontal="left" wrapText="1"/>
    </xf>
    <xf numFmtId="43" fontId="18" fillId="3" borderId="16" xfId="1" applyFont="1" applyFill="1" applyBorder="1" applyAlignment="1" applyProtection="1">
      <alignment horizontal="center" wrapText="1"/>
    </xf>
    <xf numFmtId="9" fontId="18" fillId="3" borderId="16" xfId="5" applyFont="1" applyFill="1" applyBorder="1" applyAlignment="1" applyProtection="1">
      <alignment horizontal="center" wrapText="1"/>
    </xf>
    <xf numFmtId="0" fontId="17" fillId="0" borderId="0" xfId="0" applyFont="1" applyAlignment="1" applyProtection="1">
      <alignment horizontal="center" wrapText="1"/>
      <protection locked="0"/>
    </xf>
    <xf numFmtId="0" fontId="17" fillId="0" borderId="0" xfId="0" applyFont="1" applyAlignment="1" applyProtection="1">
      <alignment horizontal="left" vertical="top"/>
    </xf>
    <xf numFmtId="43" fontId="17" fillId="0" borderId="0" xfId="1" applyFont="1" applyFill="1" applyProtection="1"/>
    <xf numFmtId="9" fontId="17" fillId="4" borderId="0" xfId="5" applyFont="1" applyFill="1" applyProtection="1">
      <protection locked="0"/>
    </xf>
    <xf numFmtId="43" fontId="17" fillId="0" borderId="0" xfId="1" applyFont="1" applyProtection="1"/>
    <xf numFmtId="0" fontId="17" fillId="0" borderId="0" xfId="0" applyFont="1" applyFill="1" applyAlignment="1" applyProtection="1">
      <alignment horizontal="left" vertical="top"/>
    </xf>
    <xf numFmtId="43" fontId="17" fillId="3" borderId="1" xfId="1" applyFont="1" applyFill="1" applyBorder="1" applyAlignment="1" applyProtection="1">
      <alignment horizontal="right"/>
    </xf>
    <xf numFmtId="43" fontId="17" fillId="3" borderId="1" xfId="1" applyFont="1" applyFill="1" applyBorder="1" applyProtection="1"/>
    <xf numFmtId="0" fontId="18" fillId="0" borderId="0" xfId="0" applyFont="1" applyAlignment="1" applyProtection="1">
      <alignment horizontal="left" vertical="top"/>
    </xf>
    <xf numFmtId="0" fontId="18" fillId="0" borderId="0" xfId="0" applyFont="1" applyAlignment="1" applyProtection="1">
      <alignment horizontal="left"/>
    </xf>
    <xf numFmtId="0" fontId="17" fillId="0" borderId="0" xfId="0" applyFont="1" applyAlignment="1" applyProtection="1">
      <alignment horizontal="left"/>
    </xf>
    <xf numFmtId="0" fontId="17" fillId="0" borderId="0" xfId="0" applyFont="1" applyAlignment="1" applyProtection="1">
      <alignment horizontal="left"/>
      <protection locked="0"/>
    </xf>
    <xf numFmtId="41" fontId="17" fillId="0" borderId="0" xfId="0" applyNumberFormat="1" applyFont="1" applyAlignment="1" applyProtection="1">
      <alignment horizontal="right" vertical="top"/>
    </xf>
    <xf numFmtId="44" fontId="17" fillId="3" borderId="1" xfId="2" applyFont="1" applyFill="1" applyBorder="1" applyProtection="1"/>
    <xf numFmtId="43" fontId="17" fillId="3" borderId="0" xfId="1" applyFont="1" applyFill="1" applyBorder="1" applyAlignment="1" applyProtection="1">
      <alignment horizontal="right"/>
    </xf>
    <xf numFmtId="44" fontId="17" fillId="3" borderId="0" xfId="2" applyFont="1" applyFill="1" applyBorder="1" applyProtection="1"/>
    <xf numFmtId="9" fontId="17" fillId="3" borderId="0" xfId="5" applyFont="1" applyFill="1" applyBorder="1" applyProtection="1"/>
    <xf numFmtId="165" fontId="17" fillId="3" borderId="1" xfId="5" applyNumberFormat="1" applyFont="1" applyFill="1" applyBorder="1" applyProtection="1"/>
    <xf numFmtId="0" fontId="18" fillId="0" borderId="0" xfId="0" applyFont="1" applyFill="1" applyAlignment="1" applyProtection="1">
      <alignment horizontal="center"/>
    </xf>
    <xf numFmtId="0" fontId="17" fillId="4" borderId="0" xfId="0" applyFont="1" applyFill="1" applyAlignment="1" applyProtection="1">
      <alignment horizontal="center"/>
      <protection locked="0"/>
    </xf>
    <xf numFmtId="43" fontId="17" fillId="4" borderId="0" xfId="1" applyFont="1" applyFill="1" applyProtection="1">
      <protection locked="0"/>
    </xf>
    <xf numFmtId="9" fontId="17" fillId="0" borderId="0" xfId="5" applyFont="1" applyProtection="1"/>
    <xf numFmtId="0" fontId="17" fillId="3" borderId="0" xfId="0" applyFont="1" applyFill="1" applyProtection="1"/>
    <xf numFmtId="43" fontId="18" fillId="3" borderId="9" xfId="0" applyNumberFormat="1" applyFont="1" applyFill="1" applyBorder="1" applyAlignment="1" applyProtection="1">
      <alignment horizontal="center" wrapText="1"/>
    </xf>
    <xf numFmtId="44" fontId="18" fillId="3" borderId="0" xfId="2" applyNumberFormat="1" applyFont="1" applyFill="1" applyProtection="1"/>
    <xf numFmtId="9" fontId="17" fillId="3" borderId="0" xfId="5" applyFont="1" applyFill="1" applyProtection="1"/>
    <xf numFmtId="9" fontId="17" fillId="3" borderId="0" xfId="0" applyNumberFormat="1" applyFont="1" applyFill="1" applyProtection="1"/>
    <xf numFmtId="43" fontId="17" fillId="3" borderId="0" xfId="1" applyNumberFormat="1" applyFont="1" applyFill="1" applyProtection="1"/>
    <xf numFmtId="10" fontId="17" fillId="3" borderId="0" xfId="5" applyNumberFormat="1" applyFont="1" applyFill="1" applyProtection="1"/>
    <xf numFmtId="43" fontId="17" fillId="3" borderId="1" xfId="1" applyNumberFormat="1" applyFont="1" applyFill="1" applyBorder="1" applyProtection="1"/>
    <xf numFmtId="43" fontId="19" fillId="3" borderId="0" xfId="1" applyFont="1" applyFill="1" applyProtection="1">
      <protection hidden="1"/>
    </xf>
    <xf numFmtId="43" fontId="18" fillId="3" borderId="0" xfId="1" applyFont="1" applyFill="1" applyProtection="1"/>
    <xf numFmtId="44" fontId="18" fillId="3" borderId="1" xfId="2" applyFont="1" applyFill="1" applyBorder="1" applyProtection="1"/>
    <xf numFmtId="0" fontId="18" fillId="0" borderId="0" xfId="0" applyFont="1" applyProtection="1"/>
    <xf numFmtId="0" fontId="17" fillId="0" borderId="0" xfId="0" applyFont="1" applyAlignment="1" applyProtection="1">
      <alignment horizontal="right"/>
    </xf>
    <xf numFmtId="44" fontId="17" fillId="3" borderId="0" xfId="2" applyFont="1" applyFill="1" applyProtection="1"/>
    <xf numFmtId="43" fontId="17" fillId="3" borderId="17" xfId="1" applyFont="1" applyFill="1" applyBorder="1" applyAlignment="1" applyProtection="1">
      <alignment horizontal="left"/>
    </xf>
    <xf numFmtId="43" fontId="17" fillId="3" borderId="18" xfId="1" applyFont="1" applyFill="1" applyBorder="1" applyProtection="1"/>
    <xf numFmtId="168" fontId="17" fillId="4" borderId="19" xfId="1" applyNumberFormat="1" applyFont="1" applyFill="1" applyBorder="1" applyProtection="1">
      <protection locked="0"/>
    </xf>
    <xf numFmtId="43" fontId="17" fillId="3" borderId="20" xfId="1" applyFont="1" applyFill="1" applyBorder="1" applyProtection="1"/>
    <xf numFmtId="167" fontId="17" fillId="3" borderId="0" xfId="1" applyNumberFormat="1" applyFont="1" applyFill="1" applyBorder="1" applyProtection="1"/>
    <xf numFmtId="43" fontId="17" fillId="3" borderId="21" xfId="1" applyFont="1" applyFill="1" applyBorder="1" applyProtection="1"/>
    <xf numFmtId="43" fontId="17" fillId="3" borderId="2" xfId="1" applyFont="1" applyFill="1" applyBorder="1" applyProtection="1"/>
    <xf numFmtId="165" fontId="17" fillId="3" borderId="13" xfId="5" applyNumberFormat="1" applyFont="1" applyFill="1" applyBorder="1" applyProtection="1"/>
    <xf numFmtId="43" fontId="17" fillId="3" borderId="0" xfId="1" applyFont="1" applyFill="1" applyBorder="1" applyProtection="1"/>
    <xf numFmtId="166" fontId="17" fillId="3" borderId="21" xfId="1" applyNumberFormat="1" applyFont="1" applyFill="1" applyBorder="1" applyAlignment="1" applyProtection="1">
      <alignment horizontal="left"/>
    </xf>
    <xf numFmtId="43" fontId="17" fillId="3" borderId="3" xfId="1" applyFont="1" applyFill="1" applyBorder="1" applyProtection="1"/>
    <xf numFmtId="165" fontId="17" fillId="3" borderId="14" xfId="5" applyNumberFormat="1" applyFont="1" applyFill="1" applyBorder="1" applyProtection="1"/>
    <xf numFmtId="0" fontId="17" fillId="3" borderId="21" xfId="1" applyNumberFormat="1" applyFont="1" applyFill="1" applyBorder="1" applyProtection="1"/>
    <xf numFmtId="43" fontId="17" fillId="3" borderId="4" xfId="1" applyFont="1" applyFill="1" applyBorder="1" applyProtection="1"/>
    <xf numFmtId="165" fontId="17" fillId="3" borderId="15" xfId="5" applyNumberFormat="1" applyFont="1" applyFill="1" applyBorder="1" applyProtection="1"/>
    <xf numFmtId="166" fontId="18" fillId="3" borderId="21" xfId="1" applyNumberFormat="1" applyFont="1" applyFill="1" applyBorder="1" applyAlignment="1" applyProtection="1">
      <alignment horizontal="left"/>
    </xf>
    <xf numFmtId="43" fontId="17" fillId="3" borderId="22" xfId="1" applyFont="1" applyFill="1" applyBorder="1" applyProtection="1"/>
    <xf numFmtId="43" fontId="17" fillId="3" borderId="23" xfId="1" applyFont="1" applyFill="1" applyBorder="1" applyProtection="1"/>
    <xf numFmtId="0" fontId="18" fillId="3" borderId="24" xfId="1" applyNumberFormat="1" applyFont="1" applyFill="1" applyBorder="1" applyProtection="1"/>
    <xf numFmtId="44" fontId="17" fillId="4" borderId="9" xfId="2" applyFont="1" applyFill="1" applyBorder="1" applyProtection="1">
      <protection locked="0"/>
    </xf>
    <xf numFmtId="43" fontId="20" fillId="3" borderId="0" xfId="1" applyFont="1" applyFill="1" applyProtection="1"/>
    <xf numFmtId="44" fontId="18" fillId="3" borderId="0" xfId="2" applyFont="1" applyFill="1" applyProtection="1"/>
    <xf numFmtId="165" fontId="17" fillId="3" borderId="0" xfId="5" applyNumberFormat="1" applyFont="1" applyFill="1" applyBorder="1" applyProtection="1"/>
    <xf numFmtId="2" fontId="18" fillId="3" borderId="0" xfId="2" applyNumberFormat="1" applyFont="1" applyFill="1" applyProtection="1"/>
    <xf numFmtId="0" fontId="5" fillId="2" borderId="0" xfId="0" applyFont="1" applyFill="1" applyAlignment="1">
      <alignment horizontal="center"/>
    </xf>
    <xf numFmtId="0" fontId="3" fillId="2" borderId="9" xfId="0" applyFont="1" applyFill="1" applyBorder="1" applyAlignment="1">
      <alignment horizontal="left"/>
    </xf>
    <xf numFmtId="0" fontId="1" fillId="2" borderId="9" xfId="0" applyFont="1" applyFill="1" applyBorder="1"/>
    <xf numFmtId="0" fontId="2" fillId="2" borderId="9" xfId="0" applyFont="1" applyFill="1" applyBorder="1" applyAlignment="1">
      <alignment horizontal="left" wrapText="1"/>
    </xf>
    <xf numFmtId="0" fontId="3" fillId="0" borderId="0" xfId="0" applyFont="1" applyAlignment="1" applyProtection="1">
      <alignment horizontal="left"/>
      <protection locked="0"/>
    </xf>
    <xf numFmtId="43" fontId="0" fillId="0" borderId="0" xfId="1" applyFont="1" applyProtection="1">
      <protection locked="0"/>
    </xf>
    <xf numFmtId="9" fontId="0" fillId="0" borderId="0" xfId="5" applyFont="1" applyProtection="1">
      <protection locked="0"/>
    </xf>
    <xf numFmtId="0" fontId="2" fillId="0" borderId="0" xfId="0" applyFont="1" applyProtection="1"/>
    <xf numFmtId="0" fontId="0" fillId="0" borderId="0" xfId="0" applyFont="1"/>
    <xf numFmtId="169" fontId="17" fillId="0" borderId="0" xfId="0" applyNumberFormat="1" applyFont="1" applyAlignment="1" applyProtection="1">
      <alignment horizontal="left"/>
    </xf>
    <xf numFmtId="43" fontId="24" fillId="0" borderId="0" xfId="1" applyFont="1" applyAlignment="1" applyProtection="1">
      <alignment horizontal="right"/>
    </xf>
    <xf numFmtId="43" fontId="24" fillId="0" borderId="0" xfId="1" applyFont="1" applyAlignment="1">
      <alignment horizontal="right"/>
    </xf>
    <xf numFmtId="0" fontId="26" fillId="0" borderId="0" xfId="0" applyFont="1"/>
    <xf numFmtId="0" fontId="25" fillId="0" borderId="0" xfId="0" applyFont="1"/>
    <xf numFmtId="0" fontId="28" fillId="0" borderId="0" xfId="0" applyFont="1"/>
    <xf numFmtId="0" fontId="7" fillId="0" borderId="0" xfId="0" applyFont="1"/>
    <xf numFmtId="0" fontId="9" fillId="0" borderId="0" xfId="0" applyFont="1"/>
    <xf numFmtId="0" fontId="29" fillId="0" borderId="0" xfId="0" applyFont="1"/>
    <xf numFmtId="0" fontId="29" fillId="0" borderId="1" xfId="0" applyFont="1" applyBorder="1"/>
    <xf numFmtId="15" fontId="0" fillId="0" borderId="0" xfId="1" applyNumberFormat="1" applyFont="1" applyProtection="1"/>
    <xf numFmtId="166" fontId="0" fillId="0" borderId="0" xfId="5" applyNumberFormat="1" applyFont="1" applyProtection="1"/>
    <xf numFmtId="1" fontId="14" fillId="4" borderId="0" xfId="2" applyNumberFormat="1" applyFont="1" applyFill="1" applyProtection="1">
      <protection locked="0"/>
    </xf>
    <xf numFmtId="0" fontId="30" fillId="0" borderId="0" xfId="0" applyFont="1"/>
    <xf numFmtId="0" fontId="31" fillId="0" borderId="0" xfId="0" applyFont="1"/>
    <xf numFmtId="44" fontId="7" fillId="0" borderId="0" xfId="2" applyFont="1"/>
    <xf numFmtId="0" fontId="26" fillId="0" borderId="1" xfId="0" applyFont="1" applyBorder="1"/>
    <xf numFmtId="44" fontId="7" fillId="0" borderId="1" xfId="0" applyNumberFormat="1" applyFont="1" applyBorder="1"/>
    <xf numFmtId="44" fontId="26" fillId="0" borderId="0" xfId="2" applyFont="1"/>
    <xf numFmtId="44" fontId="26" fillId="0" borderId="1" xfId="0" applyNumberFormat="1" applyFont="1" applyBorder="1"/>
    <xf numFmtId="44" fontId="26" fillId="0" borderId="1" xfId="2" applyFont="1" applyBorder="1"/>
    <xf numFmtId="44" fontId="7" fillId="0" borderId="1" xfId="2" applyFont="1" applyBorder="1"/>
    <xf numFmtId="0" fontId="30" fillId="0" borderId="9" xfId="0" applyFont="1" applyBorder="1"/>
    <xf numFmtId="0" fontId="17" fillId="0" borderId="0" xfId="0" applyFont="1" applyAlignment="1">
      <alignment vertical="center" wrapText="1"/>
    </xf>
    <xf numFmtId="166" fontId="17" fillId="4" borderId="0" xfId="1" applyNumberFormat="1" applyFont="1" applyFill="1" applyAlignment="1" applyProtection="1">
      <alignment horizontal="right"/>
      <protection locked="0"/>
    </xf>
    <xf numFmtId="0" fontId="25" fillId="6" borderId="0" xfId="0" applyFont="1" applyFill="1"/>
    <xf numFmtId="0" fontId="29" fillId="6" borderId="0" xfId="0" applyFont="1" applyFill="1"/>
    <xf numFmtId="0" fontId="26" fillId="6" borderId="0" xfId="0" applyFont="1" applyFill="1"/>
    <xf numFmtId="0" fontId="0" fillId="6" borderId="0" xfId="0" applyFill="1"/>
    <xf numFmtId="0" fontId="30" fillId="6" borderId="0" xfId="0" applyFont="1" applyFill="1"/>
    <xf numFmtId="166" fontId="26" fillId="0" borderId="0" xfId="1" applyNumberFormat="1" applyFont="1" applyFill="1" applyAlignment="1" applyProtection="1">
      <alignment horizontal="center" vertical="center"/>
      <protection locked="0"/>
    </xf>
    <xf numFmtId="166" fontId="17" fillId="0" borderId="0" xfId="1" applyNumberFormat="1" applyFont="1" applyFill="1" applyAlignment="1" applyProtection="1">
      <alignment horizontal="left"/>
    </xf>
    <xf numFmtId="0" fontId="0" fillId="0" borderId="0" xfId="0" applyFont="1" applyAlignment="1">
      <alignment horizontal="right"/>
    </xf>
    <xf numFmtId="0" fontId="8" fillId="4" borderId="0" xfId="1" applyNumberFormat="1" applyFont="1" applyFill="1" applyAlignment="1" applyProtection="1">
      <alignment horizontal="center" vertical="center"/>
      <protection locked="0"/>
    </xf>
    <xf numFmtId="0" fontId="9" fillId="0" borderId="0" xfId="0" applyFont="1" applyAlignment="1">
      <alignment horizontal="center"/>
    </xf>
    <xf numFmtId="0" fontId="26" fillId="0" borderId="0" xfId="0" applyFont="1" applyAlignment="1">
      <alignment horizontal="center"/>
    </xf>
    <xf numFmtId="0" fontId="8" fillId="6" borderId="0" xfId="0" applyFont="1" applyFill="1"/>
    <xf numFmtId="165" fontId="0" fillId="0" borderId="0" xfId="0" applyNumberFormat="1"/>
    <xf numFmtId="165" fontId="35" fillId="0" borderId="0" xfId="0" applyNumberFormat="1" applyFont="1"/>
    <xf numFmtId="0" fontId="35" fillId="0" borderId="0" xfId="0" applyFont="1"/>
    <xf numFmtId="0" fontId="0" fillId="7" borderId="0" xfId="0" applyFill="1"/>
    <xf numFmtId="0" fontId="0" fillId="8" borderId="0" xfId="0" applyFill="1"/>
    <xf numFmtId="165" fontId="0" fillId="8" borderId="0" xfId="0" applyNumberFormat="1" applyFill="1"/>
    <xf numFmtId="0" fontId="35" fillId="0" borderId="0" xfId="0" applyFont="1" applyAlignment="1">
      <alignment horizontal="right"/>
    </xf>
    <xf numFmtId="0" fontId="0" fillId="9" borderId="0" xfId="0" applyFill="1" applyAlignment="1">
      <alignment horizontal="center"/>
    </xf>
    <xf numFmtId="165" fontId="37" fillId="9" borderId="16" xfId="0" applyNumberFormat="1" applyFont="1" applyFill="1" applyBorder="1" applyAlignment="1">
      <alignment vertical="top"/>
    </xf>
    <xf numFmtId="165" fontId="37" fillId="9" borderId="16" xfId="0" applyNumberFormat="1" applyFont="1" applyFill="1" applyBorder="1" applyAlignment="1">
      <alignment horizontal="left" vertical="top" wrapText="1"/>
    </xf>
    <xf numFmtId="165" fontId="37" fillId="9" borderId="16" xfId="0" applyNumberFormat="1" applyFont="1" applyFill="1" applyBorder="1" applyAlignment="1">
      <alignment horizontal="center" vertical="top"/>
    </xf>
    <xf numFmtId="0" fontId="37" fillId="9" borderId="16" xfId="0" applyFont="1" applyFill="1" applyBorder="1" applyAlignment="1">
      <alignment vertical="top" wrapText="1"/>
    </xf>
    <xf numFmtId="0" fontId="37" fillId="9" borderId="16" xfId="0" applyFont="1" applyFill="1" applyBorder="1" applyAlignment="1">
      <alignment horizontal="center" vertical="top" wrapText="1"/>
    </xf>
    <xf numFmtId="165" fontId="37" fillId="9" borderId="16" xfId="0" applyNumberFormat="1" applyFont="1" applyFill="1" applyBorder="1" applyAlignment="1">
      <alignment vertical="top" wrapText="1"/>
    </xf>
    <xf numFmtId="0" fontId="35" fillId="9" borderId="16" xfId="0" applyFont="1" applyFill="1" applyBorder="1" applyAlignment="1">
      <alignment vertical="top" wrapText="1"/>
    </xf>
    <xf numFmtId="0" fontId="0" fillId="9" borderId="16" xfId="0" applyFill="1" applyBorder="1" applyAlignment="1">
      <alignment vertical="top"/>
    </xf>
    <xf numFmtId="165" fontId="35" fillId="10" borderId="30" xfId="0" applyNumberFormat="1" applyFont="1" applyFill="1" applyBorder="1" applyAlignment="1">
      <alignment vertical="top"/>
    </xf>
    <xf numFmtId="165" fontId="35" fillId="10" borderId="30" xfId="0" applyNumberFormat="1" applyFont="1" applyFill="1" applyBorder="1" applyAlignment="1">
      <alignment horizontal="center" vertical="top"/>
    </xf>
    <xf numFmtId="0" fontId="2" fillId="10" borderId="30" xfId="1" applyNumberFormat="1" applyFont="1" applyFill="1" applyBorder="1" applyAlignment="1">
      <alignment horizontal="center"/>
    </xf>
    <xf numFmtId="43" fontId="3" fillId="0" borderId="0" xfId="1" applyFont="1" applyAlignment="1">
      <alignment horizontal="center"/>
    </xf>
    <xf numFmtId="165" fontId="37" fillId="0" borderId="0" xfId="0" applyNumberFormat="1" applyFont="1"/>
    <xf numFmtId="167" fontId="0" fillId="0" borderId="0" xfId="1" applyNumberFormat="1" applyFont="1"/>
    <xf numFmtId="0" fontId="35" fillId="0" borderId="0" xfId="0" applyFont="1" applyAlignment="1">
      <alignment horizontal="center"/>
    </xf>
    <xf numFmtId="9" fontId="35" fillId="0" borderId="0" xfId="5" applyFont="1" applyAlignment="1">
      <alignment horizontal="center"/>
    </xf>
    <xf numFmtId="167" fontId="35" fillId="0" borderId="0" xfId="1" applyNumberFormat="1" applyFont="1" applyAlignment="1">
      <alignment horizontal="center"/>
    </xf>
    <xf numFmtId="0" fontId="35" fillId="0" borderId="0" xfId="0" applyFont="1" applyAlignment="1">
      <alignment horizontal="left"/>
    </xf>
    <xf numFmtId="0" fontId="36" fillId="0" borderId="0" xfId="6" applyAlignment="1" applyProtection="1">
      <protection locked="0"/>
    </xf>
    <xf numFmtId="167" fontId="0" fillId="12" borderId="0" xfId="1" applyNumberFormat="1" applyFont="1" applyFill="1"/>
    <xf numFmtId="0" fontId="0" fillId="8" borderId="0" xfId="0" applyFill="1" applyAlignment="1">
      <alignment horizontal="center"/>
    </xf>
    <xf numFmtId="9" fontId="2" fillId="8" borderId="0" xfId="5" applyFont="1" applyFill="1" applyAlignment="1">
      <alignment horizontal="center"/>
    </xf>
    <xf numFmtId="167" fontId="2" fillId="8" borderId="0" xfId="1" applyNumberFormat="1" applyFont="1" applyFill="1" applyAlignment="1">
      <alignment horizontal="center"/>
    </xf>
    <xf numFmtId="0" fontId="2" fillId="8" borderId="0" xfId="0" applyFont="1" applyFill="1" applyAlignment="1">
      <alignment horizontal="left"/>
    </xf>
    <xf numFmtId="0" fontId="2" fillId="8" borderId="0" xfId="0" applyFont="1" applyFill="1" applyAlignment="1">
      <alignment horizontal="center"/>
    </xf>
    <xf numFmtId="0" fontId="0" fillId="0" borderId="0" xfId="0" applyAlignment="1">
      <alignment horizontal="center"/>
    </xf>
    <xf numFmtId="0" fontId="2" fillId="0" borderId="0" xfId="0" applyFont="1" applyAlignment="1">
      <alignment horizontal="left"/>
    </xf>
    <xf numFmtId="9" fontId="0" fillId="0" borderId="0" xfId="5" applyFont="1" applyAlignment="1">
      <alignment horizontal="center"/>
    </xf>
    <xf numFmtId="167" fontId="0" fillId="0" borderId="0" xfId="1" applyNumberFormat="1" applyFont="1" applyAlignment="1">
      <alignment horizontal="center"/>
    </xf>
    <xf numFmtId="165" fontId="0" fillId="13" borderId="0" xfId="0" applyNumberFormat="1" applyFill="1"/>
    <xf numFmtId="167" fontId="0" fillId="13" borderId="0" xfId="1" applyNumberFormat="1" applyFont="1" applyFill="1"/>
    <xf numFmtId="165" fontId="0" fillId="0" borderId="0" xfId="5" applyNumberFormat="1" applyFont="1" applyAlignment="1">
      <alignment horizontal="center"/>
    </xf>
    <xf numFmtId="43" fontId="3" fillId="0" borderId="0" xfId="1" quotePrefix="1" applyFont="1" applyAlignment="1">
      <alignment horizontal="center"/>
    </xf>
    <xf numFmtId="0" fontId="3" fillId="2" borderId="0" xfId="0" applyFont="1" applyFill="1" applyAlignment="1">
      <alignment horizontal="left"/>
    </xf>
    <xf numFmtId="0" fontId="1" fillId="2" borderId="0" xfId="0" applyFont="1" applyFill="1"/>
    <xf numFmtId="0" fontId="2" fillId="2" borderId="0" xfId="0" applyFont="1" applyFill="1" applyAlignment="1">
      <alignment horizontal="left"/>
    </xf>
    <xf numFmtId="9" fontId="37" fillId="9" borderId="16" xfId="0" applyNumberFormat="1" applyFont="1" applyFill="1" applyBorder="1" applyAlignment="1">
      <alignment horizontal="center" vertical="top" wrapText="1"/>
    </xf>
    <xf numFmtId="0" fontId="37" fillId="10" borderId="16" xfId="0" applyFont="1" applyFill="1" applyBorder="1" applyAlignment="1">
      <alignment horizontal="center" vertical="top" wrapText="1"/>
    </xf>
    <xf numFmtId="0" fontId="37" fillId="10" borderId="16" xfId="0" applyFont="1" applyFill="1" applyBorder="1" applyAlignment="1">
      <alignment vertical="top" wrapText="1"/>
    </xf>
    <xf numFmtId="165" fontId="37" fillId="9" borderId="16" xfId="0" applyNumberFormat="1" applyFont="1" applyFill="1" applyBorder="1" applyAlignment="1">
      <alignment horizontal="center" vertical="top" wrapText="1"/>
    </xf>
    <xf numFmtId="43" fontId="2" fillId="10" borderId="30" xfId="1" applyFont="1" applyFill="1" applyBorder="1" applyAlignment="1">
      <alignment horizontal="left"/>
    </xf>
    <xf numFmtId="165" fontId="2" fillId="10" borderId="30" xfId="5" applyNumberFormat="1" applyFont="1" applyFill="1" applyBorder="1" applyAlignment="1">
      <alignment horizontal="center"/>
    </xf>
    <xf numFmtId="167" fontId="2" fillId="10" borderId="30" xfId="1" applyNumberFormat="1" applyFont="1" applyFill="1" applyBorder="1" applyAlignment="1">
      <alignment horizontal="left"/>
    </xf>
    <xf numFmtId="0" fontId="35" fillId="9" borderId="0" xfId="0" applyFont="1" applyFill="1"/>
    <xf numFmtId="43" fontId="23" fillId="9" borderId="0" xfId="1" applyFont="1" applyFill="1" applyAlignment="1">
      <alignment horizontal="right"/>
    </xf>
    <xf numFmtId="9" fontId="0" fillId="9" borderId="0" xfId="5" applyFont="1" applyFill="1"/>
    <xf numFmtId="165" fontId="35" fillId="9" borderId="0" xfId="0" applyNumberFormat="1" applyFont="1" applyFill="1"/>
    <xf numFmtId="165" fontId="0" fillId="9" borderId="0" xfId="0" applyNumberFormat="1" applyFill="1"/>
    <xf numFmtId="167" fontId="0" fillId="9" borderId="0" xfId="1" applyNumberFormat="1" applyFont="1" applyFill="1" applyAlignment="1">
      <alignment horizontal="center"/>
    </xf>
    <xf numFmtId="167" fontId="0" fillId="9" borderId="0" xfId="1" applyNumberFormat="1" applyFont="1" applyFill="1"/>
    <xf numFmtId="43" fontId="23" fillId="0" borderId="0" xfId="1" applyFont="1" applyAlignment="1">
      <alignment horizontal="center"/>
    </xf>
    <xf numFmtId="165" fontId="35" fillId="0" borderId="0" xfId="5" applyNumberFormat="1" applyFont="1"/>
    <xf numFmtId="165" fontId="23" fillId="0" borderId="0" xfId="5" applyNumberFormat="1" applyFont="1" applyAlignment="1">
      <alignment horizontal="center"/>
    </xf>
    <xf numFmtId="170" fontId="38" fillId="11" borderId="0" xfId="5" applyNumberFormat="1" applyFont="1" applyFill="1"/>
    <xf numFmtId="10" fontId="2" fillId="15" borderId="0" xfId="5" applyNumberFormat="1" applyFont="1" applyFill="1" applyAlignment="1">
      <alignment horizontal="center"/>
    </xf>
    <xf numFmtId="0" fontId="0" fillId="5" borderId="0" xfId="0" applyFill="1"/>
    <xf numFmtId="0" fontId="1" fillId="5" borderId="0" xfId="0" applyFont="1" applyFill="1"/>
    <xf numFmtId="9" fontId="14" fillId="0" borderId="0" xfId="5" applyFont="1" applyFill="1" applyAlignment="1" applyProtection="1">
      <alignment horizontal="center"/>
      <protection locked="0"/>
    </xf>
    <xf numFmtId="44" fontId="14" fillId="0" borderId="0" xfId="2" applyFont="1" applyFill="1" applyProtection="1"/>
    <xf numFmtId="171" fontId="26" fillId="4" borderId="19" xfId="1" applyNumberFormat="1" applyFont="1" applyFill="1" applyBorder="1" applyProtection="1">
      <protection locked="0"/>
    </xf>
    <xf numFmtId="0" fontId="17" fillId="3" borderId="0" xfId="0" applyFont="1" applyFill="1" applyAlignment="1" applyProtection="1">
      <alignment vertical="top"/>
    </xf>
    <xf numFmtId="43" fontId="17" fillId="3" borderId="0" xfId="1" applyFont="1" applyFill="1" applyAlignment="1" applyProtection="1">
      <alignment vertical="top"/>
    </xf>
    <xf numFmtId="9" fontId="17" fillId="3" borderId="0" xfId="5" applyFont="1" applyFill="1" applyBorder="1" applyAlignment="1" applyProtection="1">
      <alignment vertical="top"/>
    </xf>
    <xf numFmtId="43" fontId="17" fillId="3" borderId="9" xfId="1" applyFont="1" applyFill="1" applyBorder="1" applyProtection="1"/>
    <xf numFmtId="0" fontId="3" fillId="0" borderId="0" xfId="0" applyFont="1" applyAlignment="1">
      <alignment horizontal="left" vertical="top"/>
    </xf>
    <xf numFmtId="0" fontId="29" fillId="0" borderId="0" xfId="0" applyFont="1" applyBorder="1"/>
    <xf numFmtId="49" fontId="0" fillId="0" borderId="0" xfId="0" applyNumberFormat="1" applyAlignment="1">
      <alignment vertical="top"/>
    </xf>
    <xf numFmtId="0" fontId="35" fillId="6" borderId="0" xfId="0" applyFont="1" applyFill="1"/>
    <xf numFmtId="0" fontId="17" fillId="0" borderId="0" xfId="0" applyFont="1" applyAlignment="1" applyProtection="1">
      <alignment horizontal="left"/>
    </xf>
    <xf numFmtId="0" fontId="40" fillId="16" borderId="0" xfId="6" applyFont="1" applyFill="1" applyAlignment="1" applyProtection="1">
      <protection locked="0"/>
    </xf>
    <xf numFmtId="0" fontId="35" fillId="10" borderId="0" xfId="0" applyFont="1" applyFill="1"/>
    <xf numFmtId="0" fontId="0" fillId="10" borderId="0" xfId="0" applyFill="1"/>
    <xf numFmtId="0" fontId="39" fillId="10" borderId="0" xfId="0" applyFont="1" applyFill="1"/>
    <xf numFmtId="167" fontId="2" fillId="10" borderId="30" xfId="1" applyNumberFormat="1" applyFont="1" applyFill="1" applyBorder="1" applyAlignment="1"/>
    <xf numFmtId="9" fontId="2" fillId="10" borderId="30" xfId="5" applyFont="1" applyFill="1" applyBorder="1" applyAlignment="1">
      <alignment horizontal="center"/>
    </xf>
    <xf numFmtId="167" fontId="2" fillId="10" borderId="30" xfId="1" applyNumberFormat="1" applyFont="1" applyFill="1" applyBorder="1" applyAlignment="1">
      <alignment horizontal="center"/>
    </xf>
    <xf numFmtId="170" fontId="2" fillId="10" borderId="30" xfId="5" applyNumberFormat="1" applyFont="1" applyFill="1" applyBorder="1" applyAlignment="1">
      <alignment horizontal="center"/>
    </xf>
    <xf numFmtId="43" fontId="2" fillId="3" borderId="0" xfId="1" applyFill="1" applyBorder="1" applyProtection="1"/>
    <xf numFmtId="0" fontId="42" fillId="0" borderId="0" xfId="0" applyFont="1" applyAlignment="1">
      <alignment horizontal="left"/>
    </xf>
    <xf numFmtId="43" fontId="31" fillId="0" borderId="0" xfId="1" applyFont="1"/>
    <xf numFmtId="9" fontId="31" fillId="0" borderId="0" xfId="5" applyFont="1"/>
    <xf numFmtId="43" fontId="26" fillId="0" borderId="0" xfId="1" applyFont="1" applyAlignment="1">
      <alignment horizontal="right"/>
    </xf>
    <xf numFmtId="0" fontId="18" fillId="0" borderId="0" xfId="0" applyFont="1" applyFill="1" applyAlignment="1" applyProtection="1">
      <alignment horizontal="center" wrapText="1"/>
    </xf>
    <xf numFmtId="44" fontId="2" fillId="3" borderId="0" xfId="2" applyFill="1" applyBorder="1" applyAlignment="1" applyProtection="1">
      <alignment horizontal="center" vertical="center"/>
    </xf>
    <xf numFmtId="0" fontId="17" fillId="15" borderId="0" xfId="0" applyFont="1" applyFill="1" applyAlignment="1" applyProtection="1">
      <alignment wrapText="1"/>
    </xf>
    <xf numFmtId="0" fontId="21" fillId="15" borderId="0" xfId="0" applyFont="1" applyFill="1" applyProtection="1"/>
    <xf numFmtId="170" fontId="2" fillId="15" borderId="0" xfId="5" applyNumberFormat="1" applyFont="1" applyFill="1" applyAlignment="1">
      <alignment horizontal="center"/>
    </xf>
    <xf numFmtId="0" fontId="31" fillId="0" borderId="0" xfId="0" applyFont="1" applyAlignment="1">
      <alignment horizontal="center"/>
    </xf>
    <xf numFmtId="165" fontId="17" fillId="4" borderId="0" xfId="5" applyNumberFormat="1" applyFont="1" applyFill="1" applyProtection="1">
      <protection locked="0"/>
    </xf>
    <xf numFmtId="165" fontId="17" fillId="3" borderId="0" xfId="1" applyNumberFormat="1" applyFont="1" applyFill="1" applyProtection="1"/>
    <xf numFmtId="165" fontId="17" fillId="0" borderId="0" xfId="0" applyNumberFormat="1" applyFont="1" applyAlignment="1" applyProtection="1">
      <alignment horizontal="left"/>
    </xf>
    <xf numFmtId="165" fontId="17" fillId="0" borderId="0" xfId="1" applyNumberFormat="1" applyFont="1" applyProtection="1"/>
    <xf numFmtId="165" fontId="17" fillId="0" borderId="0" xfId="0" applyNumberFormat="1" applyFont="1" applyProtection="1"/>
    <xf numFmtId="165" fontId="17" fillId="3" borderId="0" xfId="5" applyNumberFormat="1" applyFont="1" applyFill="1" applyProtection="1"/>
    <xf numFmtId="9" fontId="14" fillId="0" borderId="0" xfId="5" applyFont="1" applyFill="1" applyAlignment="1" applyProtection="1">
      <alignment horizontal="center"/>
    </xf>
    <xf numFmtId="165" fontId="14" fillId="0" borderId="0" xfId="5" applyNumberFormat="1" applyFont="1" applyFill="1" applyAlignment="1" applyProtection="1">
      <alignment horizontal="center"/>
    </xf>
    <xf numFmtId="165" fontId="0" fillId="0" borderId="0" xfId="0" quotePrefix="1" applyNumberFormat="1"/>
    <xf numFmtId="49" fontId="0" fillId="0" borderId="0" xfId="0" applyNumberFormat="1"/>
    <xf numFmtId="0" fontId="0" fillId="0" borderId="0" xfId="0" applyAlignment="1">
      <alignment horizontal="left" vertical="top" wrapText="1"/>
    </xf>
    <xf numFmtId="0" fontId="0" fillId="0" borderId="0" xfId="0" applyFont="1" applyAlignment="1">
      <alignment horizontal="left" wrapText="1"/>
    </xf>
    <xf numFmtId="169" fontId="22" fillId="0" borderId="0" xfId="0" applyNumberFormat="1" applyFont="1" applyAlignment="1" applyProtection="1">
      <alignment horizontal="center" vertical="center" wrapText="1"/>
    </xf>
    <xf numFmtId="0" fontId="3" fillId="0" borderId="25" xfId="0" applyFont="1" applyBorder="1" applyAlignment="1" applyProtection="1">
      <alignment horizontal="left" wrapText="1"/>
    </xf>
    <xf numFmtId="0" fontId="3" fillId="0" borderId="26" xfId="0" applyFont="1" applyBorder="1" applyAlignment="1" applyProtection="1">
      <alignment horizontal="left" wrapText="1"/>
    </xf>
    <xf numFmtId="0" fontId="3" fillId="0" borderId="27" xfId="0" applyFont="1" applyBorder="1" applyAlignment="1" applyProtection="1">
      <alignment horizontal="left" wrapText="1"/>
    </xf>
    <xf numFmtId="0" fontId="3" fillId="0" borderId="28" xfId="0" applyFont="1" applyBorder="1" applyAlignment="1" applyProtection="1">
      <alignment horizontal="left" vertical="center" wrapText="1"/>
    </xf>
    <xf numFmtId="0" fontId="3" fillId="0" borderId="29" xfId="0" applyFont="1" applyBorder="1" applyAlignment="1" applyProtection="1">
      <alignment horizontal="left" vertical="center" wrapText="1"/>
    </xf>
    <xf numFmtId="0" fontId="3" fillId="0" borderId="12" xfId="0" applyFont="1" applyBorder="1" applyAlignment="1" applyProtection="1">
      <alignment horizontal="left" vertical="center" wrapText="1"/>
    </xf>
    <xf numFmtId="0" fontId="3" fillId="0" borderId="11" xfId="0" applyFont="1" applyBorder="1" applyAlignment="1" applyProtection="1">
      <alignment horizontal="left" vertical="center" wrapText="1"/>
    </xf>
    <xf numFmtId="0" fontId="3" fillId="0" borderId="0" xfId="0" applyFont="1" applyBorder="1" applyAlignment="1" applyProtection="1">
      <alignment horizontal="left" vertical="center" wrapText="1"/>
    </xf>
    <xf numFmtId="166" fontId="17" fillId="4" borderId="0" xfId="1" applyNumberFormat="1" applyFont="1" applyFill="1" applyAlignment="1" applyProtection="1">
      <alignment horizontal="center"/>
      <protection locked="0"/>
    </xf>
    <xf numFmtId="0" fontId="17" fillId="0" borderId="0" xfId="0" applyFont="1" applyAlignment="1" applyProtection="1">
      <alignment horizontal="left"/>
    </xf>
    <xf numFmtId="43" fontId="17" fillId="3" borderId="0" xfId="1" applyFont="1" applyFill="1" applyAlignment="1" applyProtection="1">
      <alignment horizontal="left" wrapText="1"/>
    </xf>
    <xf numFmtId="0" fontId="34" fillId="0" borderId="16" xfId="0" applyFont="1" applyBorder="1" applyAlignment="1">
      <alignment horizontal="left" vertical="center" wrapText="1"/>
    </xf>
    <xf numFmtId="0" fontId="29" fillId="0" borderId="9" xfId="0" applyFont="1" applyBorder="1" applyAlignment="1">
      <alignment horizontal="left" vertical="center"/>
    </xf>
    <xf numFmtId="0" fontId="27" fillId="0" borderId="0" xfId="0" applyFont="1" applyAlignment="1">
      <alignment horizontal="left" wrapText="1"/>
    </xf>
    <xf numFmtId="0" fontId="32" fillId="0" borderId="1" xfId="0" applyFont="1" applyBorder="1" applyAlignment="1">
      <alignment horizontal="left" wrapText="1"/>
    </xf>
    <xf numFmtId="0" fontId="32" fillId="0" borderId="0" xfId="0" applyFont="1" applyAlignment="1">
      <alignment horizontal="left" wrapText="1"/>
    </xf>
    <xf numFmtId="167" fontId="0" fillId="13" borderId="0" xfId="1" applyNumberFormat="1" applyFont="1" applyFill="1" applyAlignment="1">
      <alignment horizontal="center"/>
    </xf>
    <xf numFmtId="0" fontId="0" fillId="14" borderId="0" xfId="0" applyFill="1" applyAlignment="1">
      <alignment horizontal="center"/>
    </xf>
    <xf numFmtId="0" fontId="0" fillId="10" borderId="0" xfId="0" applyFill="1" applyAlignment="1">
      <alignment horizontal="center"/>
    </xf>
  </cellXfs>
  <cellStyles count="7">
    <cellStyle name="Comma" xfId="1" builtinId="3"/>
    <cellStyle name="Currency" xfId="2" builtinId="4"/>
    <cellStyle name="Currency 2" xfId="3"/>
    <cellStyle name="Hyperlink" xfId="6" builtinId="8"/>
    <cellStyle name="Normal" xfId="0" builtinId="0"/>
    <cellStyle name="Normal 2" xfId="4"/>
    <cellStyle name="Percent" xfId="5" builtinId="5"/>
  </cellStyles>
  <dxfs count="14">
    <dxf>
      <font>
        <b/>
        <i val="0"/>
      </font>
    </dxf>
    <dxf>
      <font>
        <b/>
        <i val="0"/>
      </font>
    </dxf>
    <dxf>
      <font>
        <b/>
        <i val="0"/>
      </font>
    </dxf>
    <dxf>
      <font>
        <b/>
        <i val="0"/>
      </font>
    </dxf>
    <dxf>
      <font>
        <b/>
        <i val="0"/>
      </font>
    </dxf>
    <dxf>
      <font>
        <b/>
        <i val="0"/>
      </font>
    </dxf>
    <dxf>
      <fill>
        <patternFill>
          <bgColor rgb="FF92D050"/>
        </patternFill>
      </fill>
    </dxf>
    <dxf>
      <fill>
        <gradientFill degree="180">
          <stop position="0">
            <color theme="0"/>
          </stop>
          <stop position="1">
            <color rgb="FFFFFF00"/>
          </stop>
        </gradientFill>
      </fill>
    </dxf>
    <dxf>
      <fill>
        <patternFill>
          <bgColor rgb="FF92D050"/>
        </patternFill>
      </fill>
    </dxf>
    <dxf>
      <fill>
        <gradientFill degree="180">
          <stop position="0">
            <color theme="0"/>
          </stop>
          <stop position="1">
            <color rgb="FFFFFF00"/>
          </stop>
        </gradientFill>
      </fill>
    </dxf>
    <dxf>
      <fill>
        <gradientFill type="path" left="0.5" right="0.5" top="0.5" bottom="0.5">
          <stop position="0">
            <color rgb="FFFFC000"/>
          </stop>
          <stop position="1">
            <color rgb="FFFF0000"/>
          </stop>
        </gradientFill>
      </fill>
    </dxf>
    <dxf>
      <font>
        <b/>
        <i/>
        <strike val="0"/>
        <condense val="0"/>
        <extend val="0"/>
        <color indexed="10"/>
      </font>
    </dxf>
    <dxf>
      <fill>
        <gradientFill degree="180">
          <stop position="0">
            <color theme="0"/>
          </stop>
          <stop position="1">
            <color rgb="FFFFFF00"/>
          </stop>
        </gradientFill>
      </fill>
    </dxf>
    <dxf>
      <font>
        <b/>
        <i/>
        <strike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47625</xdr:rowOff>
    </xdr:from>
    <xdr:to>
      <xdr:col>13</xdr:col>
      <xdr:colOff>412750</xdr:colOff>
      <xdr:row>86</xdr:row>
      <xdr:rowOff>133350</xdr:rowOff>
    </xdr:to>
    <xdr:sp macro="" textlink="">
      <xdr:nvSpPr>
        <xdr:cNvPr id="3" name="TextBox 2"/>
        <xdr:cNvSpPr txBox="1"/>
      </xdr:nvSpPr>
      <xdr:spPr>
        <a:xfrm>
          <a:off x="76200" y="47625"/>
          <a:ext cx="7600950" cy="126460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Commentary on Schedules of Values</a:t>
          </a:r>
          <a:endParaRPr lang="en-US" sz="18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BY ALLEN HUMPHRIES, Architect (Retired)</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schedule of values for a project as described in CCDC 24: A Guide to Administrative Support Documents is for the purpose of  facilitating the consultant’s review of the application for payment. In CCDC 2 2008 GC 5.2, paragraphs 5.2.4 to 5.2.6 set forth the requirements for the schedule of values. It requires the contractor to prepare and submit a schedule of values to the consultant before the first application for payment. The consultant must review and either accept the schedule or request changes.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fewer items in the schedule, the less effort required of the contractor each month in updating the schedule to reflect the current status of the work. It is easiest for the contractor to provide a breakdown based on the value of the subcontracts. It is unusual for the contractor in the first instance to provide the level of detail needed to facilitate the consultant’s review of the applications for payment.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optimum breakdown of any item of work in order to facilitate review of an application for payment depends on the nature of the item of work. </a:t>
          </a:r>
        </a:p>
        <a:p>
          <a:pPr lvl="1"/>
          <a:r>
            <a:rPr lang="en-US" sz="1100">
              <a:solidFill>
                <a:schemeClr val="dk1"/>
              </a:solidFill>
              <a:effectLst/>
              <a:latin typeface="+mn-lt"/>
              <a:ea typeface="+mn-ea"/>
              <a:cs typeface="+mn-cs"/>
            </a:rPr>
            <a:t>1.	If the materials may be delivered in bulk before being installed, the labour and material costs should be identified separately in the schedule. E.g. hollow metal doors and frames, and installation/labour costs.</a:t>
          </a:r>
        </a:p>
        <a:p>
          <a:pPr lvl="1"/>
          <a:endParaRPr lang="en-US" sz="1100">
            <a:solidFill>
              <a:schemeClr val="dk1"/>
            </a:solidFill>
            <a:effectLst/>
            <a:latin typeface="+mn-lt"/>
            <a:ea typeface="+mn-ea"/>
            <a:cs typeface="+mn-cs"/>
          </a:endParaRPr>
        </a:p>
        <a:p>
          <a:pPr lvl="1"/>
          <a:r>
            <a:rPr lang="en-US" sz="1100">
              <a:solidFill>
                <a:schemeClr val="dk1"/>
              </a:solidFill>
              <a:effectLst/>
              <a:latin typeface="+mn-lt"/>
              <a:ea typeface="+mn-ea"/>
              <a:cs typeface="+mn-cs"/>
            </a:rPr>
            <a:t>2.	If a subcontract consists of different items of work with materials of different values or quantities, the materials should be identified separately. E.g. porcelain floor tiles and ceramic wall tiles.</a:t>
          </a:r>
        </a:p>
        <a:p>
          <a:pPr lvl="1"/>
          <a:endParaRPr lang="en-US" sz="1100">
            <a:solidFill>
              <a:schemeClr val="dk1"/>
            </a:solidFill>
            <a:effectLst/>
            <a:latin typeface="+mn-lt"/>
            <a:ea typeface="+mn-ea"/>
            <a:cs typeface="+mn-cs"/>
          </a:endParaRPr>
        </a:p>
        <a:p>
          <a:pPr lvl="1"/>
          <a:r>
            <a:rPr lang="en-US" sz="1100">
              <a:solidFill>
                <a:schemeClr val="dk1"/>
              </a:solidFill>
              <a:effectLst/>
              <a:latin typeface="+mn-lt"/>
              <a:ea typeface="+mn-ea"/>
              <a:cs typeface="+mn-cs"/>
            </a:rPr>
            <a:t>3.	If a subcontract consists of different items of work that will be done sequentially, the materials and the labour involved should be identified separately. E.g. ceiling grids, ceiling grid labour, ceiling tiles, and ceiling tile labour.</a:t>
          </a:r>
        </a:p>
        <a:p>
          <a:pPr lvl="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One item that is often overlooked is the value assigned to close-out documents (as-built drawings, warrantees, operation and maintenance manuals, etc.). It is often difficult get the close-out documents in a timely manner, and the end of a project is not the time to determine how much the documents are worth. The value of the close-out documents should be determined at the beginning of the project. This will avoid arguments later.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value assigned will vary with both the size and complexity of the project. The close-out documents for a warehouse shell will be simpler than for a hospital or for a data centre.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value assigned should be low enough to permit the contractor to achieve substantial performance without the close-out documents, but high enough that deemed completion cannot be reached without them. This will encourage the contractor to submit the close-out documents in a timely manner in order to acheive deemed completion 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have the finishing holdback released.</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total dollar value at the bottom of the schedule of values must match the contract value and the breakdown by discipline (Architectural, Structural, Mechanical, Electrical) should match the values on the bid form, individual items may vary from those on the bid form. This may occur for example, where a line item in the schedule includes the work of different trades, or work by the contractor’s own forces, where one trade supplies items for installation by another, or where subcontract values are adjusted to reflect a trade’s contribution to the value of close-out documents.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Although it is the contractor’s responsibility to prepare the schedule of values, a sample schedule of values can be included in the project specifications (00 43 73 Proposed Schedule of Values Form) to indicate the desired format, items of particular interest, the general level of detail expected and the value of the close-out documents. Of course, the engineering consultants should be asked to provide input about the desired breakdown for their scopes of work. Including a draft schedule of values in the specification provides a basis for discussion at the project kick-off meeting and can reduce the effort needed to come to an agreement with the contractor on an acceptable schedule of values during project start up.</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Since the schedule of values includes much repetitive arithmetic, the writer highly recommends that the consultant create a schedule of values for each project using spreadsheet software or a contract administration software package. When an application for payment is received, the percent complete for each line item can be easily entered in the software, and the totals compared with those of the contractor to determine if there are any calculation errors. Doing so has saved the writer hours of effort tracking down mistakes in applications for payment. A sample workbook is available for download from the Management of the Project pages of the OAA web site.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inclusion of change orders is a two-stage process since they exist before they are approved and may not be approved in the sequence they were created in. As change orders are issued, they should be recorded in the schedule of values. Once the change order is approved (signed by all parties), it should only then be included in the contract value. Where a change order contains only one item of work, it can be entered as a single line item in the schedule. Where a change order contains several items of work or aggregates several proposed changes, it is beneficial to include a line item for each item of work in the change order to facilitate review of the application for payment.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properly set out schedule of values will make the evaluation of the status of progress easier to determine and any amendments made by the consultant easier to explain to the owner and the contractor.</a:t>
          </a:r>
        </a:p>
        <a:p>
          <a:endParaRPr lang="en-US" sz="1100"/>
        </a:p>
        <a:p>
          <a:r>
            <a:rPr lang="en-US" sz="1100"/>
            <a:t>R9 2019-01-24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0</xdr:rowOff>
    </xdr:from>
    <xdr:to>
      <xdr:col>11</xdr:col>
      <xdr:colOff>355600</xdr:colOff>
      <xdr:row>42</xdr:row>
      <xdr:rowOff>139700</xdr:rowOff>
    </xdr:to>
    <xdr:sp macro="" textlink="">
      <xdr:nvSpPr>
        <xdr:cNvPr id="2" name="TextBox 1" descr="This sample workbook was developed by an architect for use in his office, and is made freely available for your use. It comes with no guarantee or warrantee, express or implied. Use it at your own risk. &#10;&#10;There is not a team of programmers supporting this document, so don’t expect frequent updates. If you find it useful, let the CCAC know. If you think a revision would make the document more useful to all users, suggest it to us. If you find an error, tell us about it so we can fix it.&#10;&#10;As with any software, you should check the calculations using another tool until you are confident that the software produces the correct results." title="Disclaimer"/>
        <xdr:cNvSpPr txBox="1"/>
      </xdr:nvSpPr>
      <xdr:spPr>
        <a:xfrm>
          <a:off x="3848100" y="3359150"/>
          <a:ext cx="3429000" cy="4083050"/>
        </a:xfrm>
        <a:prstGeom prst="rect">
          <a:avLst/>
        </a:prstGeom>
        <a:solidFill>
          <a:schemeClr val="accent6">
            <a:lumMod val="20000"/>
            <a:lumOff val="80000"/>
          </a:schemeClr>
        </a:solidFill>
        <a:ln w="12700" cmpd="dbl">
          <a:solidFill>
            <a:schemeClr val="lt1">
              <a:shade val="50000"/>
            </a:schemeClr>
          </a:solidFill>
        </a:ln>
        <a:effectLst>
          <a:outerShdw blurRad="50800" dist="50800" dir="5400000" algn="ctr" rotWithShape="0">
            <a:schemeClr val="bg2"/>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Disclaimer</a:t>
          </a:r>
        </a:p>
        <a:p>
          <a:endParaRPr lang="en-CA" sz="1100"/>
        </a:p>
        <a:p>
          <a:r>
            <a:rPr lang="en-CA" sz="1100"/>
            <a:t>This sample workbook was developed by an architect for use on projects he managed, and is made freely available for your use. It comes with no guarantee or warrantee, express or implied. Use it at your own risk. </a:t>
          </a:r>
        </a:p>
        <a:p>
          <a:endParaRPr lang="en-CA" sz="1100"/>
        </a:p>
        <a:p>
          <a:r>
            <a:rPr lang="en-CA" sz="1100"/>
            <a:t>There is not a team of programmers developing or supporting this document, so don’t expect frequent updates. If you find it useful, let the OAA Practice Advisory</a:t>
          </a:r>
          <a:r>
            <a:rPr lang="en-CA" sz="1100" baseline="0"/>
            <a:t> Services</a:t>
          </a:r>
          <a:r>
            <a:rPr lang="en-CA" sz="1100"/>
            <a:t> (PAS) know. If you think a revision or enhancement would make the document more useful to most users, suggest it to PAS. If you find an error, tell PAS about it so it can be fixed.</a:t>
          </a:r>
        </a:p>
        <a:p>
          <a:endParaRPr lang="en-CA" sz="1100"/>
        </a:p>
        <a:p>
          <a:r>
            <a:rPr lang="en-CA" sz="1100"/>
            <a:t>As with any software, you should check the calculations manually or by using another tool until you are confident that the software produces the correct results. This is particularly true following substantial changes</a:t>
          </a:r>
          <a:r>
            <a:rPr lang="en-CA" sz="1100" baseline="0"/>
            <a:t> such as those made for this latest version. Extensive testing of all the possible combinations of the new jurisdictions and parameters has not been possible with the resources available.</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12700</xdr:rowOff>
    </xdr:from>
    <xdr:to>
      <xdr:col>15</xdr:col>
      <xdr:colOff>76200</xdr:colOff>
      <xdr:row>34</xdr:row>
      <xdr:rowOff>50800</xdr:rowOff>
    </xdr:to>
    <xdr:sp macro="" textlink="">
      <xdr:nvSpPr>
        <xdr:cNvPr id="2" name="TextBox 1" descr="This sample workbook was developed by an architect for use in his office, and is made freely available for your use. It comes with no guarantee or warrantee, express or implied. Use it at your own risk. &#10;&#10;There is not a team of programmers supporting this document, so don’t expect frequent updates. If you find it useful, let the CCAC know. If you think a revision would make the document more useful to all users, suggest it to us. If you find an error, tell us about it so we can fix it.&#10;&#10;As with any software, you should check the calculations using another tool until you are confident that the software produces the correct results." title="Disclaimer"/>
        <xdr:cNvSpPr txBox="1"/>
      </xdr:nvSpPr>
      <xdr:spPr>
        <a:xfrm>
          <a:off x="5594350" y="755650"/>
          <a:ext cx="3429000" cy="5175250"/>
        </a:xfrm>
        <a:prstGeom prst="rect">
          <a:avLst/>
        </a:prstGeom>
        <a:solidFill>
          <a:schemeClr val="accent6">
            <a:lumMod val="20000"/>
            <a:lumOff val="80000"/>
          </a:schemeClr>
        </a:solidFill>
        <a:ln w="12700" cmpd="dbl">
          <a:solidFill>
            <a:schemeClr val="lt1">
              <a:shade val="50000"/>
            </a:schemeClr>
          </a:solidFill>
        </a:ln>
        <a:effectLst>
          <a:outerShdw blurRad="50800" dist="50800" dir="5400000" algn="ctr" rotWithShape="0">
            <a:schemeClr val="bg2"/>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Note</a:t>
          </a:r>
        </a:p>
        <a:p>
          <a:endParaRPr lang="en-CA" sz="1100"/>
        </a:p>
        <a:p>
          <a:r>
            <a:rPr lang="en-CA" sz="1100"/>
            <a:t>The purpose</a:t>
          </a:r>
          <a:r>
            <a:rPr lang="en-CA" sz="1100" baseline="0"/>
            <a:t> of the schedule of values is to assist the architect in evaluating the value of the work done to date in response to an application for payment so a certificate for payment may be prepared.</a:t>
          </a:r>
        </a:p>
        <a:p>
          <a:endParaRPr lang="en-CA" sz="1100" baseline="0"/>
        </a:p>
        <a:p>
          <a:r>
            <a:rPr lang="en-CA" sz="1100"/>
            <a:t>According to CCDC 24, it is the contractors responsibility to prepare a schedule of values and submit it to the architect for review and approval</a:t>
          </a:r>
          <a:r>
            <a:rPr lang="en-CA" sz="1100" baseline="0"/>
            <a:t> prior to the submission of the first application for payment.</a:t>
          </a:r>
        </a:p>
        <a:p>
          <a:endParaRPr lang="en-CA" sz="1100" baseline="0"/>
        </a:p>
        <a:p>
          <a:r>
            <a:rPr lang="en-CA" sz="1100" baseline="0"/>
            <a:t>This typically resulted in several rounds of revision and correction between the architect and contractor. To reduce the time spent on this exercise, the author choose to include a sample schedule of values in the bid documents as a guide to the contractor of how the architect expected the contract to be broken down.</a:t>
          </a:r>
        </a:p>
        <a:p>
          <a:endParaRPr lang="en-CA" sz="1100" baseline="0"/>
        </a:p>
        <a:p>
          <a:r>
            <a:rPr lang="en-CA" sz="1100" baseline="0"/>
            <a:t>Part of this process included adding line items for the value of the close out documents. This avoids arguments at the end of the project about the value assigned, and allows the contractor to encourage the trades to do their bit.</a:t>
          </a:r>
        </a:p>
        <a:p>
          <a:endParaRPr lang="en-CA" sz="1100" baseline="0"/>
        </a:p>
        <a:p>
          <a:r>
            <a:rPr lang="en-CA" sz="1100" baseline="0"/>
            <a:t>This process was generally accepted and reduced the amount of time spent coming to an agreement on an appropriate schedule of values.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3</xdr:col>
          <xdr:colOff>47625</xdr:colOff>
          <xdr:row>0</xdr:row>
          <xdr:rowOff>57150</xdr:rowOff>
        </xdr:from>
        <xdr:to>
          <xdr:col>5</xdr:col>
          <xdr:colOff>266700</xdr:colOff>
          <xdr:row>4</xdr:row>
          <xdr:rowOff>85725</xdr:rowOff>
        </xdr:to>
        <xdr:sp macro="" textlink="">
          <xdr:nvSpPr>
            <xdr:cNvPr id="1030" name="New_AfP_Button" hidden="1">
              <a:extLst>
                <a:ext uri="{63B3BB69-23CF-44E3-9099-C40C66FF867C}">
                  <a14:compatExt spid="_x0000_s103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0:M94"/>
  <sheetViews>
    <sheetView topLeftCell="A82" workbookViewId="0">
      <selection activeCell="B92" sqref="B92"/>
    </sheetView>
  </sheetViews>
  <sheetFormatPr defaultRowHeight="12"/>
  <sheetData>
    <row r="90" spans="1:13">
      <c r="A90" t="s">
        <v>414</v>
      </c>
    </row>
    <row r="91" spans="1:13">
      <c r="B91" s="336" t="s">
        <v>508</v>
      </c>
      <c r="C91" t="s">
        <v>507</v>
      </c>
    </row>
    <row r="92" spans="1:13" ht="51" customHeight="1">
      <c r="B92" s="305" t="s">
        <v>467</v>
      </c>
      <c r="C92" s="337" t="s">
        <v>499</v>
      </c>
      <c r="D92" s="337"/>
      <c r="E92" s="337"/>
      <c r="F92" s="337"/>
      <c r="G92" s="337"/>
      <c r="H92" s="337"/>
      <c r="I92" s="337"/>
      <c r="J92" s="337"/>
      <c r="K92" s="337"/>
      <c r="L92" s="337"/>
      <c r="M92" s="337"/>
    </row>
    <row r="93" spans="1:13" ht="39.950000000000003" customHeight="1">
      <c r="B93" s="305" t="s">
        <v>415</v>
      </c>
      <c r="C93" s="337" t="s">
        <v>416</v>
      </c>
      <c r="D93" s="337"/>
      <c r="E93" s="337"/>
      <c r="F93" s="337"/>
      <c r="G93" s="337"/>
      <c r="H93" s="337"/>
      <c r="I93" s="337"/>
      <c r="J93" s="337"/>
      <c r="K93" s="337"/>
      <c r="L93" s="337"/>
      <c r="M93" s="337"/>
    </row>
    <row r="94" spans="1:13" ht="60" customHeight="1">
      <c r="B94" s="305" t="s">
        <v>415</v>
      </c>
      <c r="C94" s="337" t="s">
        <v>417</v>
      </c>
      <c r="D94" s="337"/>
      <c r="E94" s="337"/>
      <c r="F94" s="337"/>
      <c r="G94" s="337"/>
      <c r="H94" s="337"/>
      <c r="I94" s="337"/>
      <c r="J94" s="337"/>
      <c r="K94" s="337"/>
      <c r="L94" s="337"/>
      <c r="M94" s="337"/>
    </row>
  </sheetData>
  <mergeCells count="3">
    <mergeCell ref="C93:M93"/>
    <mergeCell ref="C94:M94"/>
    <mergeCell ref="C92:M9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120"/>
  <sheetViews>
    <sheetView topLeftCell="A4" workbookViewId="0">
      <selection activeCell="P7" sqref="P7"/>
    </sheetView>
  </sheetViews>
  <sheetFormatPr defaultColWidth="11.42578125" defaultRowHeight="12"/>
  <cols>
    <col min="1" max="1" width="4.7109375" style="1" customWidth="1"/>
    <col min="2" max="2" width="25.7109375" customWidth="1"/>
    <col min="3" max="3" width="20.7109375" style="2" customWidth="1"/>
    <col min="4" max="4" width="4.7109375" style="3" customWidth="1"/>
    <col min="5" max="5" width="8" style="2" bestFit="1" customWidth="1"/>
    <col min="6" max="6" width="9.140625" style="2" bestFit="1" customWidth="1"/>
    <col min="7" max="7" width="6" style="2" bestFit="1" customWidth="1"/>
    <col min="8" max="8" width="7.85546875" style="2" bestFit="1" customWidth="1"/>
    <col min="9" max="9" width="7" style="2" bestFit="1" customWidth="1"/>
    <col min="10" max="10" width="8.28515625" style="2" bestFit="1" customWidth="1"/>
    <col min="11" max="11" width="6.85546875" style="2" bestFit="1" customWidth="1"/>
    <col min="12" max="12" width="8.85546875" style="2" bestFit="1" customWidth="1"/>
    <col min="13" max="13" width="13.85546875" style="2" bestFit="1" customWidth="1"/>
    <col min="14" max="14" width="5" style="2" bestFit="1" customWidth="1"/>
    <col min="15" max="15" width="8.5703125" style="2" bestFit="1" customWidth="1"/>
    <col min="16" max="16" width="5" style="2" bestFit="1" customWidth="1"/>
    <col min="17" max="17" width="4.7109375" style="2" bestFit="1" customWidth="1"/>
    <col min="18" max="18" width="10.7109375" style="2" customWidth="1"/>
    <col min="19" max="19" width="31.7109375" style="2" customWidth="1"/>
    <col min="20" max="20" width="8.5703125" style="2" customWidth="1"/>
    <col min="21" max="21" width="8.28515625" style="2" bestFit="1" customWidth="1"/>
    <col min="22" max="22" width="4.7109375" style="2" bestFit="1" customWidth="1"/>
    <col min="23" max="23" width="5" style="2" bestFit="1" customWidth="1"/>
    <col min="24" max="24" width="19.7109375" style="2" customWidth="1"/>
    <col min="25" max="25" width="20.7109375" style="2" customWidth="1"/>
    <col min="26" max="26" width="16.140625" style="2" bestFit="1" customWidth="1"/>
    <col min="27" max="27" width="25.5703125" style="2" bestFit="1" customWidth="1"/>
    <col min="28" max="28" width="51.7109375" bestFit="1" customWidth="1"/>
    <col min="29" max="29" width="2.7109375" customWidth="1"/>
    <col min="30" max="30" width="11.42578125" customWidth="1"/>
  </cols>
  <sheetData>
    <row r="1" spans="1:27" ht="20.25">
      <c r="A1" s="79" t="s">
        <v>237</v>
      </c>
      <c r="L1" s="196" t="s">
        <v>506</v>
      </c>
    </row>
    <row r="2" spans="1:27" s="208" customFormat="1" ht="12.75">
      <c r="A2" s="6" t="s">
        <v>460</v>
      </c>
      <c r="C2" s="318"/>
      <c r="D2" s="319"/>
      <c r="E2" s="318"/>
      <c r="F2" s="318"/>
      <c r="G2" s="318"/>
      <c r="H2" s="318"/>
      <c r="I2" s="318"/>
      <c r="J2" s="318"/>
      <c r="K2" s="318"/>
      <c r="L2" s="320"/>
      <c r="M2" s="318"/>
      <c r="N2" s="318"/>
      <c r="O2" s="318"/>
      <c r="P2" s="318"/>
      <c r="Q2" s="318"/>
      <c r="R2" s="318"/>
      <c r="S2" s="318"/>
      <c r="T2" s="318"/>
      <c r="U2" s="318"/>
      <c r="V2" s="318"/>
      <c r="W2" s="318"/>
      <c r="X2" s="318"/>
      <c r="Y2" s="318"/>
      <c r="Z2" s="318"/>
      <c r="AA2" s="318"/>
    </row>
    <row r="3" spans="1:27" s="208" customFormat="1" ht="26.1" customHeight="1">
      <c r="A3" s="317"/>
      <c r="B3" s="338" t="s">
        <v>468</v>
      </c>
      <c r="C3" s="338"/>
      <c r="D3" s="338"/>
      <c r="E3" s="338"/>
      <c r="F3" s="338"/>
      <c r="G3" s="338"/>
      <c r="H3" s="338"/>
      <c r="I3" s="338"/>
      <c r="J3" s="338"/>
      <c r="K3" s="338"/>
      <c r="L3" s="338"/>
      <c r="M3" s="318"/>
      <c r="N3" s="318"/>
      <c r="O3" s="318"/>
      <c r="P3" s="318"/>
      <c r="Q3" s="318"/>
      <c r="R3" s="318"/>
      <c r="S3" s="318"/>
      <c r="T3" s="318"/>
      <c r="U3" s="318"/>
      <c r="V3" s="318"/>
      <c r="W3" s="318"/>
      <c r="X3" s="318"/>
      <c r="Y3" s="318"/>
      <c r="Z3" s="318"/>
      <c r="AA3" s="318"/>
    </row>
    <row r="4" spans="1:27" s="208" customFormat="1" ht="12.75">
      <c r="A4" s="317"/>
      <c r="B4" s="338" t="s">
        <v>470</v>
      </c>
      <c r="C4" s="338"/>
      <c r="D4" s="338"/>
      <c r="E4" s="338"/>
      <c r="F4" s="338"/>
      <c r="G4" s="338"/>
      <c r="H4" s="338"/>
      <c r="I4" s="338"/>
      <c r="J4" s="338"/>
      <c r="K4" s="338"/>
      <c r="L4" s="338"/>
      <c r="M4" s="318"/>
      <c r="N4" s="318"/>
      <c r="O4" s="318"/>
      <c r="P4" s="318"/>
      <c r="Q4" s="318"/>
      <c r="R4" s="318"/>
      <c r="S4" s="318"/>
      <c r="T4" s="318"/>
      <c r="U4" s="318"/>
      <c r="V4" s="318"/>
      <c r="W4" s="318"/>
      <c r="X4" s="318"/>
      <c r="Y4" s="318"/>
      <c r="Z4" s="318"/>
      <c r="AA4" s="318"/>
    </row>
    <row r="5" spans="1:27" ht="12" customHeight="1">
      <c r="B5" s="338" t="s">
        <v>503</v>
      </c>
      <c r="C5" s="338"/>
      <c r="D5" s="338"/>
      <c r="E5" s="338"/>
      <c r="F5" s="338"/>
      <c r="G5" s="338"/>
      <c r="H5" s="338"/>
      <c r="I5" s="338"/>
      <c r="J5" s="338"/>
      <c r="K5" s="338"/>
      <c r="L5" s="338"/>
    </row>
    <row r="6" spans="1:27" ht="26.45" customHeight="1">
      <c r="A6" s="6" t="s">
        <v>73</v>
      </c>
    </row>
    <row r="7" spans="1:27" ht="42.95" customHeight="1">
      <c r="A7" s="303">
        <v>0</v>
      </c>
      <c r="B7" s="337" t="s">
        <v>412</v>
      </c>
      <c r="C7" s="337"/>
      <c r="D7" s="337"/>
      <c r="E7" s="337"/>
      <c r="F7" s="337"/>
      <c r="G7" s="337"/>
      <c r="H7" s="337"/>
      <c r="I7" s="337"/>
      <c r="J7" s="337"/>
      <c r="K7" s="337"/>
      <c r="L7" s="337"/>
    </row>
    <row r="8" spans="1:27" ht="31.5" customHeight="1">
      <c r="A8" s="6"/>
      <c r="B8" s="337" t="s">
        <v>413</v>
      </c>
      <c r="C8" s="337"/>
      <c r="D8" s="337"/>
      <c r="E8" s="337"/>
      <c r="F8" s="337"/>
      <c r="G8" s="337"/>
      <c r="H8" s="337"/>
      <c r="I8" s="337"/>
      <c r="J8" s="337"/>
      <c r="K8" s="337"/>
      <c r="L8" s="337"/>
    </row>
    <row r="9" spans="1:27" ht="40.5" customHeight="1">
      <c r="A9" s="6"/>
      <c r="B9" s="337" t="s">
        <v>469</v>
      </c>
      <c r="C9" s="337"/>
      <c r="D9" s="337"/>
      <c r="E9" s="337"/>
      <c r="F9" s="337"/>
      <c r="G9" s="337"/>
      <c r="H9" s="337"/>
      <c r="I9" s="337"/>
      <c r="J9" s="337"/>
      <c r="K9" s="337"/>
      <c r="L9" s="337"/>
    </row>
    <row r="10" spans="1:27" ht="28.5" customHeight="1">
      <c r="A10" s="6"/>
      <c r="B10" s="337" t="s">
        <v>504</v>
      </c>
      <c r="C10" s="337"/>
      <c r="D10" s="337"/>
      <c r="E10" s="337"/>
      <c r="F10" s="337"/>
      <c r="G10" s="337"/>
      <c r="H10" s="337"/>
      <c r="I10" s="337"/>
      <c r="J10" s="337"/>
      <c r="K10" s="337"/>
      <c r="L10" s="337"/>
    </row>
    <row r="11" spans="1:27" ht="24" customHeight="1">
      <c r="A11" s="6"/>
      <c r="B11" s="337" t="s">
        <v>505</v>
      </c>
      <c r="C11" s="337"/>
      <c r="D11" s="337"/>
      <c r="E11" s="337"/>
      <c r="F11" s="337"/>
      <c r="G11" s="337"/>
      <c r="H11" s="337"/>
      <c r="I11" s="337"/>
      <c r="J11" s="337"/>
      <c r="K11" s="337"/>
      <c r="L11" s="337"/>
      <c r="M11" s="337"/>
      <c r="N11" s="337"/>
      <c r="O11" s="337"/>
      <c r="P11" s="337"/>
      <c r="Q11" s="337"/>
      <c r="R11" s="337"/>
      <c r="S11" s="337"/>
      <c r="T11" s="337"/>
      <c r="U11" s="337"/>
      <c r="V11" s="337"/>
      <c r="W11" s="337"/>
    </row>
    <row r="12" spans="1:27">
      <c r="A12" s="6"/>
    </row>
    <row r="13" spans="1:27">
      <c r="A13" s="6"/>
    </row>
    <row r="14" spans="1:27">
      <c r="A14" s="6">
        <v>1</v>
      </c>
      <c r="B14" t="s">
        <v>72</v>
      </c>
    </row>
    <row r="16" spans="1:27">
      <c r="B16" s="6" t="s">
        <v>157</v>
      </c>
      <c r="C16" s="46" t="s">
        <v>201</v>
      </c>
      <c r="D16" s="94"/>
      <c r="E16" s="83"/>
      <c r="F16" s="83"/>
    </row>
    <row r="17" spans="2:6">
      <c r="B17" s="6" t="s">
        <v>272</v>
      </c>
      <c r="C17" s="46" t="s">
        <v>272</v>
      </c>
      <c r="D17" s="94"/>
      <c r="E17" s="83"/>
      <c r="F17" s="83"/>
    </row>
    <row r="18" spans="2:6">
      <c r="B18" s="6" t="s">
        <v>273</v>
      </c>
      <c r="C18" s="46" t="s">
        <v>273</v>
      </c>
      <c r="D18" s="94"/>
      <c r="E18" s="83"/>
      <c r="F18" s="83"/>
    </row>
    <row r="19" spans="2:6">
      <c r="B19" s="6" t="s">
        <v>264</v>
      </c>
      <c r="C19" s="46" t="s">
        <v>265</v>
      </c>
      <c r="D19" s="94"/>
      <c r="E19" s="83"/>
      <c r="F19" s="83"/>
    </row>
    <row r="20" spans="2:6">
      <c r="B20" s="6" t="s">
        <v>220</v>
      </c>
      <c r="C20" s="46" t="s">
        <v>446</v>
      </c>
      <c r="D20" s="94"/>
      <c r="E20" s="83"/>
      <c r="F20" s="83"/>
    </row>
    <row r="21" spans="2:6">
      <c r="B21" s="6" t="s">
        <v>158</v>
      </c>
      <c r="C21" s="46" t="s">
        <v>449</v>
      </c>
      <c r="D21" s="94"/>
      <c r="E21" s="83"/>
      <c r="F21" s="83"/>
    </row>
    <row r="22" spans="2:6">
      <c r="B22" s="6" t="s">
        <v>107</v>
      </c>
      <c r="C22" s="46" t="s">
        <v>202</v>
      </c>
      <c r="D22" s="94"/>
      <c r="E22" s="83"/>
      <c r="F22" s="83"/>
    </row>
    <row r="23" spans="2:6">
      <c r="B23" s="6" t="s">
        <v>108</v>
      </c>
      <c r="C23" s="46" t="s">
        <v>203</v>
      </c>
      <c r="D23" s="94"/>
      <c r="E23" s="83"/>
      <c r="F23" s="83"/>
    </row>
    <row r="24" spans="2:6">
      <c r="B24" s="6" t="s">
        <v>156</v>
      </c>
      <c r="C24" s="46" t="s">
        <v>225</v>
      </c>
      <c r="D24" s="95"/>
      <c r="E24" s="96"/>
      <c r="F24" s="83"/>
    </row>
    <row r="25" spans="2:6">
      <c r="B25" s="6" t="s">
        <v>266</v>
      </c>
      <c r="C25" s="46" t="s">
        <v>241</v>
      </c>
      <c r="D25" s="95"/>
      <c r="E25" s="96"/>
      <c r="F25" s="83"/>
    </row>
    <row r="26" spans="2:6">
      <c r="B26" s="6" t="s">
        <v>267</v>
      </c>
      <c r="C26" s="46" t="s">
        <v>242</v>
      </c>
      <c r="D26" s="95"/>
      <c r="E26" s="96"/>
      <c r="F26" s="83"/>
    </row>
    <row r="27" spans="2:6">
      <c r="B27" s="6" t="s">
        <v>268</v>
      </c>
      <c r="C27" s="46" t="s">
        <v>270</v>
      </c>
      <c r="D27" s="95"/>
      <c r="E27" s="96"/>
      <c r="F27" s="83"/>
    </row>
    <row r="28" spans="2:6">
      <c r="B28" s="6" t="s">
        <v>269</v>
      </c>
      <c r="C28" s="46" t="s">
        <v>271</v>
      </c>
      <c r="D28" s="95"/>
      <c r="E28" s="96"/>
      <c r="F28" s="83"/>
    </row>
    <row r="29" spans="2:6">
      <c r="B29" s="6" t="s">
        <v>91</v>
      </c>
      <c r="C29" s="46" t="s">
        <v>204</v>
      </c>
      <c r="D29" s="94"/>
      <c r="E29" s="83"/>
      <c r="F29" s="83"/>
    </row>
    <row r="30" spans="2:6">
      <c r="B30" s="6" t="s">
        <v>0</v>
      </c>
      <c r="C30" s="47">
        <v>1234567.8899999999</v>
      </c>
      <c r="D30" s="94"/>
      <c r="E30" s="83"/>
      <c r="F30" s="83"/>
    </row>
    <row r="31" spans="2:6">
      <c r="B31" s="6" t="s">
        <v>276</v>
      </c>
      <c r="C31" s="205">
        <f>DATE(C32,C33,C34)</f>
        <v>41820</v>
      </c>
      <c r="D31" s="94"/>
      <c r="E31" s="83"/>
      <c r="F31" s="204"/>
    </row>
    <row r="32" spans="2:6">
      <c r="B32" s="226" t="s">
        <v>277</v>
      </c>
      <c r="C32" s="206">
        <v>2018</v>
      </c>
      <c r="D32" s="94" t="s">
        <v>280</v>
      </c>
      <c r="E32" s="83"/>
      <c r="F32" s="83"/>
    </row>
    <row r="33" spans="1:27">
      <c r="B33" s="226" t="s">
        <v>278</v>
      </c>
      <c r="C33" s="206">
        <v>7</v>
      </c>
      <c r="D33" s="94" t="s">
        <v>281</v>
      </c>
      <c r="E33" s="83"/>
      <c r="F33" s="83"/>
    </row>
    <row r="34" spans="1:27">
      <c r="B34" s="226" t="s">
        <v>279</v>
      </c>
      <c r="C34" s="206">
        <v>1</v>
      </c>
      <c r="D34" s="94" t="s">
        <v>282</v>
      </c>
      <c r="E34" s="83"/>
      <c r="F34" s="83"/>
    </row>
    <row r="35" spans="1:27">
      <c r="B35" s="6" t="s">
        <v>189</v>
      </c>
      <c r="C35" s="78" t="s">
        <v>188</v>
      </c>
      <c r="D35" s="94"/>
      <c r="E35" s="83"/>
      <c r="F35" s="83"/>
      <c r="G35" s="83"/>
      <c r="H35" s="83"/>
      <c r="I35" s="83"/>
      <c r="J35" s="83"/>
      <c r="K35" s="83"/>
      <c r="L35" s="83"/>
      <c r="M35" s="83"/>
    </row>
    <row r="36" spans="1:27">
      <c r="B36" s="6" t="s">
        <v>424</v>
      </c>
      <c r="C36" s="78" t="s">
        <v>431</v>
      </c>
      <c r="D36" s="94"/>
      <c r="E36" s="83"/>
      <c r="F36" s="83"/>
      <c r="G36" s="83"/>
      <c r="H36" s="83"/>
      <c r="I36" s="83"/>
      <c r="J36" s="83"/>
      <c r="K36" s="83"/>
      <c r="L36" s="83"/>
      <c r="M36" s="83"/>
    </row>
    <row r="37" spans="1:27">
      <c r="B37" s="6" t="s">
        <v>375</v>
      </c>
      <c r="C37" s="296">
        <v>0.1</v>
      </c>
      <c r="D37" s="94"/>
      <c r="E37" s="83"/>
      <c r="F37" s="83"/>
      <c r="G37" s="83"/>
      <c r="H37" s="83"/>
      <c r="I37" s="83"/>
      <c r="J37" s="83"/>
      <c r="K37" s="83"/>
      <c r="L37" s="83"/>
      <c r="M37" s="83"/>
    </row>
    <row r="38" spans="1:27">
      <c r="B38" s="6" t="s">
        <v>404</v>
      </c>
      <c r="C38" s="333">
        <f>Lookups!W30</f>
        <v>0.1</v>
      </c>
      <c r="D38" s="94"/>
      <c r="E38" s="83"/>
      <c r="F38" s="83"/>
      <c r="G38" s="83"/>
      <c r="H38" s="83"/>
      <c r="I38" s="83"/>
      <c r="J38" s="83"/>
      <c r="K38" s="83"/>
      <c r="L38" s="83"/>
      <c r="M38" s="83"/>
    </row>
    <row r="39" spans="1:27">
      <c r="B39" s="6" t="s">
        <v>487</v>
      </c>
      <c r="C39" s="99" t="s">
        <v>454</v>
      </c>
      <c r="D39" s="94"/>
      <c r="E39" s="83"/>
      <c r="F39" s="83"/>
      <c r="G39" s="83"/>
      <c r="H39" s="83"/>
      <c r="I39" s="83"/>
      <c r="J39" s="83"/>
      <c r="K39" s="83"/>
      <c r="L39" s="83"/>
      <c r="M39" s="83"/>
    </row>
    <row r="40" spans="1:27">
      <c r="B40" s="6" t="str">
        <f>IF(C39=Lookups!O7, "Annual release date:",IF(C39=Lookups!O8,"List phases:"," "))</f>
        <v xml:space="preserve"> </v>
      </c>
      <c r="C40" s="99"/>
      <c r="D40" s="94"/>
      <c r="E40" s="83"/>
      <c r="F40" s="83"/>
      <c r="G40" s="83"/>
      <c r="H40" s="83"/>
      <c r="I40" s="83"/>
      <c r="J40" s="83"/>
      <c r="K40" s="83"/>
      <c r="L40" s="83"/>
      <c r="M40" s="83"/>
    </row>
    <row r="41" spans="1:27">
      <c r="B41" s="84" t="s">
        <v>159</v>
      </c>
      <c r="C41" s="334">
        <f>Lookups!H30</f>
        <v>0.13</v>
      </c>
      <c r="D41" s="94"/>
      <c r="E41" s="93"/>
      <c r="F41" s="85"/>
      <c r="G41" s="85"/>
      <c r="H41" s="85"/>
      <c r="I41" s="85"/>
      <c r="J41" s="85"/>
      <c r="K41" s="83"/>
      <c r="L41" s="83"/>
      <c r="M41" s="83"/>
    </row>
    <row r="42" spans="1:27">
      <c r="B42" s="84" t="s">
        <v>190</v>
      </c>
      <c r="C42" s="297" t="str">
        <f ca="1">Lookups!F30</f>
        <v>HST</v>
      </c>
      <c r="D42" s="87"/>
      <c r="E42" s="86"/>
      <c r="F42" s="86"/>
      <c r="G42" s="86"/>
      <c r="H42" s="86"/>
      <c r="I42" s="86"/>
      <c r="J42" s="85"/>
      <c r="K42" s="83"/>
      <c r="L42" s="83"/>
      <c r="M42" s="83"/>
    </row>
    <row r="43" spans="1:27">
      <c r="B43" s="84"/>
      <c r="C43" s="99"/>
      <c r="K43" s="83"/>
    </row>
    <row r="44" spans="1:27" s="15" customFormat="1">
      <c r="A44" s="189"/>
      <c r="C44" s="190"/>
      <c r="D44" s="191"/>
      <c r="E44" s="190"/>
      <c r="F44" s="190"/>
      <c r="G44" s="190"/>
      <c r="H44" s="190"/>
      <c r="I44" s="190"/>
      <c r="J44" s="190"/>
      <c r="K44" s="190"/>
      <c r="L44" s="190"/>
      <c r="M44" s="190"/>
      <c r="N44" s="190"/>
      <c r="O44" s="190"/>
      <c r="P44" s="190"/>
      <c r="Q44" s="190"/>
      <c r="R44" s="190"/>
      <c r="S44" s="190"/>
      <c r="T44" s="190"/>
      <c r="U44" s="190"/>
      <c r="V44" s="190"/>
      <c r="W44" s="190"/>
      <c r="X44" s="190"/>
      <c r="Y44" s="190"/>
      <c r="Z44" s="190"/>
      <c r="AA44" s="189"/>
    </row>
    <row r="45" spans="1:27">
      <c r="A45" s="6">
        <f>1+A14</f>
        <v>2</v>
      </c>
      <c r="B45" s="80" t="s">
        <v>229</v>
      </c>
      <c r="L45" s="98"/>
      <c r="M45" s="97"/>
    </row>
    <row r="46" spans="1:27">
      <c r="A46" s="6">
        <f>A45+1</f>
        <v>3</v>
      </c>
      <c r="B46" s="80" t="s">
        <v>501</v>
      </c>
      <c r="L46" s="98"/>
      <c r="M46" s="97"/>
    </row>
    <row r="47" spans="1:27">
      <c r="A47" s="6">
        <f t="shared" ref="A47:A51" si="0">A46+1</f>
        <v>4</v>
      </c>
      <c r="B47" t="s">
        <v>76</v>
      </c>
      <c r="L47" s="98"/>
      <c r="M47" s="98"/>
    </row>
    <row r="48" spans="1:27">
      <c r="A48" s="6">
        <f t="shared" si="0"/>
        <v>5</v>
      </c>
      <c r="B48" s="81" t="s">
        <v>191</v>
      </c>
      <c r="M48" s="98"/>
    </row>
    <row r="49" spans="1:13">
      <c r="A49" s="6">
        <f t="shared" si="0"/>
        <v>6</v>
      </c>
      <c r="B49" s="81" t="s">
        <v>230</v>
      </c>
      <c r="M49" s="98"/>
    </row>
    <row r="50" spans="1:13">
      <c r="A50" s="6">
        <f t="shared" si="0"/>
        <v>7</v>
      </c>
      <c r="B50" s="81" t="s">
        <v>231</v>
      </c>
      <c r="M50" s="98"/>
    </row>
    <row r="51" spans="1:13">
      <c r="A51" s="6">
        <f t="shared" si="0"/>
        <v>8</v>
      </c>
      <c r="B51" s="80" t="s">
        <v>232</v>
      </c>
    </row>
    <row r="52" spans="1:13">
      <c r="A52" s="6"/>
      <c r="B52" s="80" t="s">
        <v>233</v>
      </c>
    </row>
    <row r="54" spans="1:13">
      <c r="A54" s="6" t="s">
        <v>74</v>
      </c>
    </row>
    <row r="55" spans="1:13">
      <c r="A55" s="6">
        <f>A51+1</f>
        <v>9</v>
      </c>
      <c r="B55" s="80" t="s">
        <v>212</v>
      </c>
    </row>
    <row r="56" spans="1:13">
      <c r="A56" s="6">
        <f t="shared" ref="A56:A57" si="1">1+A55</f>
        <v>10</v>
      </c>
      <c r="B56" s="80" t="s">
        <v>502</v>
      </c>
    </row>
    <row r="57" spans="1:13">
      <c r="A57" s="6">
        <f t="shared" si="1"/>
        <v>11</v>
      </c>
      <c r="B57" s="80" t="s">
        <v>205</v>
      </c>
    </row>
    <row r="58" spans="1:13">
      <c r="A58" s="6">
        <f>1+A57</f>
        <v>12</v>
      </c>
      <c r="B58" t="s">
        <v>75</v>
      </c>
    </row>
    <row r="59" spans="1:13">
      <c r="A59" s="6">
        <f>1+A58</f>
        <v>13</v>
      </c>
      <c r="B59" s="81" t="s">
        <v>286</v>
      </c>
    </row>
    <row r="60" spans="1:13">
      <c r="A60" s="6">
        <f>1+A58</f>
        <v>13</v>
      </c>
      <c r="B60" t="s">
        <v>77</v>
      </c>
    </row>
    <row r="61" spans="1:13">
      <c r="A61" s="6"/>
      <c r="B61" t="s">
        <v>226</v>
      </c>
    </row>
    <row r="62" spans="1:13">
      <c r="A62" s="6"/>
      <c r="B62" t="s">
        <v>227</v>
      </c>
    </row>
    <row r="63" spans="1:13">
      <c r="A63" s="6">
        <f>1+A60</f>
        <v>14</v>
      </c>
      <c r="B63" s="80" t="s">
        <v>228</v>
      </c>
    </row>
    <row r="64" spans="1:13">
      <c r="A64" s="6">
        <f>1+A63</f>
        <v>15</v>
      </c>
      <c r="B64" s="80" t="s">
        <v>283</v>
      </c>
    </row>
    <row r="65" spans="1:2">
      <c r="A65" s="6"/>
    </row>
    <row r="66" spans="1:2">
      <c r="A66" s="6" t="s">
        <v>81</v>
      </c>
    </row>
    <row r="67" spans="1:2">
      <c r="A67" s="6">
        <f>1+A64</f>
        <v>16</v>
      </c>
      <c r="B67" t="s">
        <v>82</v>
      </c>
    </row>
    <row r="68" spans="1:2">
      <c r="A68" s="6"/>
      <c r="B68" t="s">
        <v>86</v>
      </c>
    </row>
    <row r="69" spans="1:2">
      <c r="A69" s="6"/>
      <c r="B69" t="s">
        <v>83</v>
      </c>
    </row>
    <row r="70" spans="1:2">
      <c r="A70" s="6"/>
      <c r="B70" t="s">
        <v>87</v>
      </c>
    </row>
    <row r="71" spans="1:2">
      <c r="A71" s="6"/>
      <c r="B71" t="s">
        <v>88</v>
      </c>
    </row>
    <row r="72" spans="1:2">
      <c r="A72" s="6"/>
      <c r="B72" t="s">
        <v>85</v>
      </c>
    </row>
    <row r="73" spans="1:2">
      <c r="A73" s="6"/>
    </row>
    <row r="74" spans="1:2">
      <c r="A74" s="6" t="s">
        <v>27</v>
      </c>
    </row>
    <row r="75" spans="1:2">
      <c r="A75" s="6">
        <f>1+A67</f>
        <v>17</v>
      </c>
      <c r="B75" t="s">
        <v>80</v>
      </c>
    </row>
    <row r="76" spans="1:2">
      <c r="A76" s="6"/>
      <c r="B76" t="s">
        <v>410</v>
      </c>
    </row>
    <row r="77" spans="1:2">
      <c r="A77" s="6"/>
      <c r="B77" t="s">
        <v>411</v>
      </c>
    </row>
    <row r="78" spans="1:2">
      <c r="A78" s="6"/>
    </row>
    <row r="79" spans="1:2">
      <c r="A79" s="6" t="s">
        <v>78</v>
      </c>
    </row>
    <row r="80" spans="1:2">
      <c r="A80" s="6">
        <f>1+A75</f>
        <v>18</v>
      </c>
      <c r="B80" t="s">
        <v>79</v>
      </c>
    </row>
    <row r="81" spans="1:28">
      <c r="A81" s="6"/>
    </row>
    <row r="82" spans="1:28">
      <c r="A82" s="6" t="s">
        <v>248</v>
      </c>
    </row>
    <row r="83" spans="1:28">
      <c r="A83" s="6">
        <f>1+A80</f>
        <v>19</v>
      </c>
      <c r="B83" t="s">
        <v>285</v>
      </c>
    </row>
    <row r="84" spans="1:28">
      <c r="B84" t="s">
        <v>447</v>
      </c>
    </row>
    <row r="85" spans="1:28">
      <c r="B85" t="s">
        <v>448</v>
      </c>
    </row>
    <row r="86" spans="1:28">
      <c r="B86" t="s">
        <v>290</v>
      </c>
    </row>
    <row r="87" spans="1:28">
      <c r="B87" t="s">
        <v>291</v>
      </c>
    </row>
    <row r="89" spans="1:28" s="4" customFormat="1">
      <c r="D89" s="3"/>
      <c r="E89" s="2"/>
      <c r="F89" s="2"/>
      <c r="G89" s="2"/>
      <c r="H89" s="2"/>
      <c r="I89" s="2"/>
      <c r="J89" s="2"/>
      <c r="K89" s="2"/>
      <c r="L89" s="2"/>
      <c r="M89" s="2"/>
      <c r="N89" s="2"/>
      <c r="O89" s="2"/>
      <c r="P89" s="2"/>
      <c r="Q89" s="2"/>
      <c r="R89" s="2"/>
      <c r="S89" s="2"/>
      <c r="T89" s="2"/>
      <c r="U89" s="2"/>
      <c r="V89" s="2"/>
      <c r="W89" s="2"/>
      <c r="X89" s="2"/>
      <c r="Y89" s="2"/>
      <c r="Z89" s="2"/>
      <c r="AA89" s="2"/>
      <c r="AB89"/>
    </row>
    <row r="93" spans="1:28">
      <c r="A93" s="2"/>
      <c r="B93" s="2"/>
    </row>
    <row r="94" spans="1:28">
      <c r="A94" s="2"/>
      <c r="B94" s="2"/>
    </row>
    <row r="95" spans="1:28">
      <c r="A95" s="2"/>
      <c r="B95" s="2"/>
    </row>
    <row r="98" spans="1:32">
      <c r="A98" s="6"/>
    </row>
    <row r="99" spans="1:32">
      <c r="A99" s="6"/>
    </row>
    <row r="100" spans="1:32" ht="12" customHeight="1">
      <c r="AC100" s="8"/>
      <c r="AD100" s="8"/>
      <c r="AE100" s="8"/>
      <c r="AF100" s="8"/>
    </row>
    <row r="101" spans="1:32" ht="12" customHeight="1">
      <c r="AC101" s="8"/>
      <c r="AD101" s="8"/>
      <c r="AE101" s="8"/>
      <c r="AF101" s="8"/>
    </row>
    <row r="102" spans="1:32" ht="12.75">
      <c r="AC102" s="7"/>
      <c r="AD102" s="7"/>
      <c r="AE102" s="7"/>
      <c r="AF102" s="7"/>
    </row>
    <row r="103" spans="1:32" ht="12.75">
      <c r="A103" s="11"/>
      <c r="AC103" s="7"/>
      <c r="AD103" s="7"/>
      <c r="AE103" s="7"/>
      <c r="AF103" s="7"/>
    </row>
    <row r="106" spans="1:32">
      <c r="AC106" s="9"/>
    </row>
    <row r="107" spans="1:32">
      <c r="A107" s="6"/>
    </row>
    <row r="108" spans="1:32">
      <c r="A108" s="6"/>
    </row>
    <row r="112" spans="1:32">
      <c r="AC112" s="10"/>
    </row>
    <row r="117" spans="1:1">
      <c r="A117" s="5"/>
    </row>
    <row r="118" spans="1:1">
      <c r="A118" s="5"/>
    </row>
    <row r="119" spans="1:1">
      <c r="A119" s="5"/>
    </row>
    <row r="120" spans="1:1">
      <c r="A120" s="5"/>
    </row>
  </sheetData>
  <sheetProtection formatCells="0" selectLockedCells="1"/>
  <mergeCells count="9">
    <mergeCell ref="B10:L10"/>
    <mergeCell ref="B11:L11"/>
    <mergeCell ref="M11:W11"/>
    <mergeCell ref="B3:L3"/>
    <mergeCell ref="B7:L7"/>
    <mergeCell ref="B8:L8"/>
    <mergeCell ref="B9:L9"/>
    <mergeCell ref="B5:L5"/>
    <mergeCell ref="B4:L4"/>
  </mergeCells>
  <phoneticPr fontId="0" type="noConversion"/>
  <dataValidations count="3">
    <dataValidation type="list" allowBlank="1" showInputMessage="1" showErrorMessage="1" sqref="C36">
      <formula1>Legislation</formula1>
    </dataValidation>
    <dataValidation type="list" allowBlank="1" showInputMessage="1" showErrorMessage="1" sqref="C35">
      <formula1>ProvinceList</formula1>
    </dataValidation>
    <dataValidation type="list" allowBlank="1" showInputMessage="1" showErrorMessage="1" sqref="C39">
      <formula1>HB_Release</formula1>
    </dataValidation>
  </dataValidations>
  <pageMargins left="0.75" right="0.75" top="1" bottom="1" header="0.5" footer="0.5"/>
  <pageSetup paperSize="18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43" workbookViewId="0">
      <selection activeCell="B20" sqref="B20:G20"/>
    </sheetView>
  </sheetViews>
  <sheetFormatPr defaultRowHeight="12"/>
  <cols>
    <col min="2" max="2" width="28.7109375" customWidth="1"/>
    <col min="3" max="3" width="12.42578125" hidden="1" customWidth="1"/>
    <col min="4" max="4" width="9.7109375" style="41" hidden="1" customWidth="1"/>
    <col min="5" max="5" width="14.7109375" customWidth="1"/>
    <col min="6" max="7" width="12.7109375" customWidth="1"/>
    <col min="8" max="8" width="1.7109375" customWidth="1"/>
  </cols>
  <sheetData>
    <row r="1" spans="1:11" ht="18">
      <c r="B1" s="48" t="s">
        <v>236</v>
      </c>
      <c r="C1" s="49"/>
      <c r="D1" s="50"/>
      <c r="E1" s="49"/>
      <c r="F1" s="49"/>
      <c r="G1" s="49"/>
      <c r="H1" s="49"/>
    </row>
    <row r="2" spans="1:11" ht="13.5">
      <c r="A2" s="193"/>
      <c r="B2" s="194"/>
      <c r="C2" s="339" t="s">
        <v>148</v>
      </c>
      <c r="D2" s="339"/>
      <c r="E2" s="194"/>
      <c r="F2" s="194"/>
      <c r="G2" s="194"/>
      <c r="H2" s="194"/>
      <c r="I2" s="193"/>
      <c r="J2" s="193"/>
      <c r="K2" s="193"/>
    </row>
    <row r="3" spans="1:11" ht="18">
      <c r="B3" s="51" t="s">
        <v>146</v>
      </c>
      <c r="C3" s="49"/>
      <c r="D3" s="50"/>
      <c r="E3" s="52">
        <f>'Project Info'!$C$30</f>
        <v>1234567.8899999999</v>
      </c>
      <c r="F3" s="49"/>
      <c r="G3" s="49"/>
      <c r="H3" s="49"/>
    </row>
    <row r="4" spans="1:11">
      <c r="B4" s="53"/>
      <c r="C4" s="53"/>
      <c r="D4" s="54"/>
      <c r="E4" s="53"/>
      <c r="F4" s="53"/>
      <c r="G4" s="53"/>
      <c r="H4" s="53"/>
    </row>
    <row r="5" spans="1:11" ht="16.5" thickBot="1">
      <c r="B5" s="55" t="s">
        <v>471</v>
      </c>
      <c r="C5" s="56"/>
      <c r="D5" s="57"/>
      <c r="E5" s="56"/>
      <c r="F5" s="56"/>
      <c r="G5" s="56"/>
      <c r="H5" s="53"/>
    </row>
    <row r="6" spans="1:11" ht="13.5" thickTop="1">
      <c r="A6" t="s">
        <v>472</v>
      </c>
      <c r="B6" s="58" t="s">
        <v>147</v>
      </c>
      <c r="C6" s="59" t="s">
        <v>143</v>
      </c>
      <c r="D6" s="60" t="s">
        <v>144</v>
      </c>
      <c r="E6" s="61" t="str">
        <f>D6</f>
        <v>Percentage</v>
      </c>
      <c r="F6" s="61" t="s">
        <v>140</v>
      </c>
      <c r="G6" s="61" t="s">
        <v>142</v>
      </c>
      <c r="H6" s="53"/>
    </row>
    <row r="7" spans="1:11">
      <c r="B7" s="23" t="str">
        <f>"Less than $"&amp;$C$7</f>
        <v>Less than $150000</v>
      </c>
      <c r="C7" s="62">
        <v>150000</v>
      </c>
      <c r="D7" s="63">
        <v>0.03</v>
      </c>
      <c r="E7" s="42">
        <f>$D$7</f>
        <v>0.03</v>
      </c>
      <c r="F7" s="29"/>
      <c r="G7" s="29"/>
      <c r="H7" s="53"/>
    </row>
    <row r="8" spans="1:11">
      <c r="B8" s="23" t="str">
        <f>"From $"&amp;$C$7&amp;" to $"&amp;$C$8</f>
        <v>From $150000 to $300000</v>
      </c>
      <c r="C8" s="62">
        <v>300000</v>
      </c>
      <c r="D8" s="63">
        <v>0.02</v>
      </c>
      <c r="E8" s="42">
        <f>$D$8</f>
        <v>0.02</v>
      </c>
      <c r="F8" s="29"/>
      <c r="G8" s="29"/>
      <c r="H8" s="64"/>
    </row>
    <row r="9" spans="1:11">
      <c r="B9" s="23" t="str">
        <f>"From $"&amp;$C$8&amp;" to $"&amp;$C$9</f>
        <v>From $300000 to $750000</v>
      </c>
      <c r="C9" s="62">
        <v>750000</v>
      </c>
      <c r="D9" s="63">
        <v>0.01</v>
      </c>
      <c r="E9" s="42">
        <f>$D$9</f>
        <v>0.01</v>
      </c>
      <c r="F9" s="29"/>
      <c r="G9" s="29"/>
      <c r="H9" s="64"/>
    </row>
    <row r="10" spans="1:11">
      <c r="B10" s="23" t="str">
        <f>"Greater than $"&amp;$C$9</f>
        <v>Greater than $750000</v>
      </c>
      <c r="C10" s="65"/>
      <c r="D10" s="63">
        <v>5.0000000000000001E-3</v>
      </c>
      <c r="E10" s="42">
        <f>$D$10</f>
        <v>5.0000000000000001E-3</v>
      </c>
      <c r="F10" s="29"/>
      <c r="G10" s="29"/>
      <c r="H10" s="64"/>
    </row>
    <row r="11" spans="1:11">
      <c r="B11" s="53"/>
      <c r="C11" s="53"/>
      <c r="D11" s="54"/>
      <c r="E11" s="42">
        <f>$D$10</f>
        <v>5.0000000000000001E-3</v>
      </c>
      <c r="F11" s="53"/>
      <c r="G11" s="29"/>
      <c r="H11" s="64"/>
    </row>
    <row r="12" spans="1:11">
      <c r="B12" s="52"/>
      <c r="C12" s="66"/>
      <c r="D12" s="54"/>
      <c r="E12" s="42">
        <f>IF($E$3&lt;C7,D7,IF($E$3&lt;C8,D8,IF($E$3&lt;C9,D9,D10)))</f>
        <v>5.0000000000000001E-3</v>
      </c>
      <c r="F12" s="322">
        <f>$E$3*E12</f>
        <v>6172.8394499999995</v>
      </c>
      <c r="G12" s="322">
        <f>ROUNDUP(F12,-1)</f>
        <v>6180</v>
      </c>
      <c r="H12" s="66"/>
    </row>
    <row r="13" spans="1:11" ht="12.75">
      <c r="A13" t="s">
        <v>473</v>
      </c>
      <c r="B13" s="67" t="s">
        <v>141</v>
      </c>
      <c r="C13" s="68" t="s">
        <v>145</v>
      </c>
      <c r="D13" s="69"/>
      <c r="E13" s="70" t="str">
        <f>E6</f>
        <v>Percentage</v>
      </c>
      <c r="F13" s="67" t="s">
        <v>140</v>
      </c>
      <c r="G13" s="67" t="s">
        <v>142</v>
      </c>
      <c r="H13" s="64"/>
    </row>
    <row r="14" spans="1:11">
      <c r="B14" s="23" t="str">
        <f>"On the first $"&amp;$C$7</f>
        <v>On the first $150000</v>
      </c>
      <c r="C14" s="38">
        <f>$C$7</f>
        <v>150000</v>
      </c>
      <c r="D14" s="42">
        <f>$D$7</f>
        <v>0.03</v>
      </c>
      <c r="E14" s="42">
        <f>$D$7</f>
        <v>0.03</v>
      </c>
      <c r="F14" s="38">
        <f>IF($E$3&gt;0,IF($E$3&lt;$C$7,$E$3*$D$7,$C$7*$D$7),0)</f>
        <v>4500</v>
      </c>
      <c r="G14" s="29"/>
      <c r="H14" s="29"/>
    </row>
    <row r="15" spans="1:11">
      <c r="B15" s="23" t="str">
        <f>"On the next $"&amp;$C$8-$C$7</f>
        <v>On the next $150000</v>
      </c>
      <c r="C15" s="38">
        <f>$C$8-$C$7</f>
        <v>150000</v>
      </c>
      <c r="D15" s="42">
        <f>$D$8</f>
        <v>0.02</v>
      </c>
      <c r="E15" s="42">
        <f>$D$8</f>
        <v>0.02</v>
      </c>
      <c r="F15" s="38">
        <f>IF($E$3&gt;$C$7,IF($E$3&lt;$C$8,($E$3-$C$7)*$D$8,($C$8-$C$7)*$D$8),0)</f>
        <v>3000</v>
      </c>
      <c r="G15" s="29"/>
      <c r="H15" s="29"/>
    </row>
    <row r="16" spans="1:11">
      <c r="B16" s="23" t="str">
        <f>"On the next $"&amp;$C$9-$C$8</f>
        <v>On the next $450000</v>
      </c>
      <c r="C16" s="38">
        <f>$C$9-$C$8</f>
        <v>450000</v>
      </c>
      <c r="D16" s="42">
        <f>$D$9</f>
        <v>0.01</v>
      </c>
      <c r="E16" s="42">
        <f>$D$9</f>
        <v>0.01</v>
      </c>
      <c r="F16" s="38">
        <f>IF($E$3&gt;$C$8,IF($E$3&lt;$C$9,($E$3-$C$8)*$D$9,($C$9-$C$8)*$D$9),0)</f>
        <v>4500</v>
      </c>
      <c r="G16" s="29"/>
      <c r="H16" s="29"/>
    </row>
    <row r="17" spans="2:8" ht="12.75" thickBot="1">
      <c r="B17" s="23" t="str">
        <f>"On the remaining $"&amp;IF($E$3&gt;$C$9,$E$3-$C$9,0)</f>
        <v>On the remaining $484567.89</v>
      </c>
      <c r="C17" s="38">
        <f>IF($E$3&gt;$C$9,$E$3-$C$9,0)</f>
        <v>484567.8899999999</v>
      </c>
      <c r="D17" s="42">
        <f>$D$10</f>
        <v>5.0000000000000001E-3</v>
      </c>
      <c r="E17" s="42">
        <f>$D$10</f>
        <v>5.0000000000000001E-3</v>
      </c>
      <c r="F17" s="38">
        <f>IF($E$3&lt;$C$9,0,($E$3-$C$9)*$D$10)</f>
        <v>2422.8394499999995</v>
      </c>
      <c r="G17" s="29"/>
      <c r="H17" s="29"/>
    </row>
    <row r="18" spans="2:8" ht="12.75" thickTop="1">
      <c r="B18" s="23"/>
      <c r="C18" s="23"/>
      <c r="D18" s="43"/>
      <c r="E18" s="29"/>
      <c r="F18" s="39">
        <f>SUM(F14:F17)</f>
        <v>14422.839449999999</v>
      </c>
      <c r="G18" s="40">
        <f>ROUNDUP(F18,-1)</f>
        <v>14430</v>
      </c>
      <c r="H18" s="29"/>
    </row>
    <row r="19" spans="2:8" ht="12.75" thickBot="1">
      <c r="B19" s="29"/>
      <c r="C19" s="29"/>
      <c r="D19" s="54"/>
      <c r="E19" s="29"/>
      <c r="F19" s="29"/>
      <c r="G19" s="71"/>
      <c r="H19" s="29"/>
    </row>
    <row r="20" spans="2:8" ht="24" customHeight="1">
      <c r="B20" s="343" t="str">
        <f>"If this value exceeds "&amp;TEXT($G$32,"$0,0.00")&amp;" then Substantial Performance/Completion cannot be achieved without Close-out Document completion."</f>
        <v>If this value exceeds $34,691.36 then Substantial Performance/Completion cannot be achieved without Close-out Document completion.</v>
      </c>
      <c r="C20" s="344"/>
      <c r="D20" s="344"/>
      <c r="E20" s="344"/>
      <c r="F20" s="344"/>
      <c r="G20" s="345"/>
      <c r="H20" s="29"/>
    </row>
    <row r="21" spans="2:8">
      <c r="B21" s="72"/>
      <c r="C21" s="64"/>
      <c r="D21" s="73"/>
      <c r="E21" s="64"/>
      <c r="F21" s="64"/>
      <c r="G21" s="74"/>
      <c r="H21" s="29"/>
    </row>
    <row r="22" spans="2:8" ht="24" customHeight="1">
      <c r="B22" s="346" t="str">
        <f>"If this value is less than "&amp;TEXT($G$39,"$0,0.00")&amp;" then Deemed Completion can be achieved without Close-out Documents."</f>
        <v>If this value is less than $5,000.00 then Deemed Completion can be achieved without Close-out Documents.</v>
      </c>
      <c r="C22" s="347"/>
      <c r="D22" s="347"/>
      <c r="E22" s="347"/>
      <c r="F22" s="347"/>
      <c r="G22" s="345"/>
      <c r="H22" s="29"/>
    </row>
    <row r="23" spans="2:8">
      <c r="B23" s="75"/>
      <c r="C23" s="64"/>
      <c r="D23" s="73"/>
      <c r="E23" s="64"/>
      <c r="F23" s="64"/>
      <c r="G23" s="74"/>
      <c r="H23" s="29"/>
    </row>
    <row r="24" spans="2:8" ht="36.75" customHeight="1" thickBot="1">
      <c r="B24" s="340" t="s">
        <v>235</v>
      </c>
      <c r="C24" s="341"/>
      <c r="D24" s="341"/>
      <c r="E24" s="341"/>
      <c r="F24" s="341"/>
      <c r="G24" s="342"/>
      <c r="H24" s="29"/>
    </row>
    <row r="25" spans="2:8">
      <c r="B25" s="36"/>
      <c r="C25" s="29"/>
      <c r="D25" s="54"/>
      <c r="E25" s="29"/>
      <c r="F25" s="29"/>
      <c r="G25" s="29"/>
      <c r="H25" s="29"/>
    </row>
    <row r="26" spans="2:8">
      <c r="B26" s="29"/>
      <c r="C26" s="29"/>
      <c r="D26" s="54"/>
      <c r="E26" s="29"/>
      <c r="F26" s="29"/>
      <c r="G26" s="29"/>
      <c r="H26" s="29"/>
    </row>
    <row r="27" spans="2:8">
      <c r="B27" s="36" t="s">
        <v>444</v>
      </c>
      <c r="C27" s="36"/>
      <c r="D27" s="44"/>
      <c r="E27" s="29"/>
      <c r="F27" s="29"/>
      <c r="G27" s="30" t="str">
        <f>"Based on the "&amp;Lookups!$AE$30</f>
        <v>Based on the Construction Act, Ontario</v>
      </c>
      <c r="H27" s="29"/>
    </row>
    <row r="28" spans="2:8">
      <c r="B28" s="23" t="s">
        <v>43</v>
      </c>
      <c r="C28" s="23"/>
      <c r="D28" s="43"/>
      <c r="E28" s="25">
        <f>$E$3</f>
        <v>1234567.8899999999</v>
      </c>
      <c r="F28" s="24"/>
      <c r="G28" s="22"/>
      <c r="H28" s="29"/>
    </row>
    <row r="29" spans="2:8">
      <c r="B29" s="23" t="str">
        <f>Lookups!$O$30*100&amp;"% on 1st $"&amp;Lookups!$P$30</f>
        <v>3% on 1st $1000000</v>
      </c>
      <c r="C29" s="23"/>
      <c r="D29" s="43"/>
      <c r="E29" s="31">
        <f>IF(E28&gt;Lookups!$P$30,Lookups!$P$30,E28)</f>
        <v>1000000</v>
      </c>
      <c r="F29" s="88">
        <f>Lookups!$O$30</f>
        <v>0.03</v>
      </c>
      <c r="G29" s="22">
        <f>ROUND($E29*$F29,2)</f>
        <v>30000</v>
      </c>
      <c r="H29" s="29"/>
    </row>
    <row r="30" spans="2:8">
      <c r="B30" s="23" t="str">
        <f>Lookups!$Q$30*100&amp;"% on next $"&amp;Lookups!$R$30</f>
        <v>2% on next $1000000</v>
      </c>
      <c r="C30" s="23"/>
      <c r="D30" s="43"/>
      <c r="E30" s="32">
        <f>IF(E28&gt;Lookups!$P$30+Lookups!$R$30,Lookups!$R$30,E28-E29)</f>
        <v>234567.8899999999</v>
      </c>
      <c r="F30" s="89">
        <f>Lookups!$Q$30</f>
        <v>0.02</v>
      </c>
      <c r="G30" s="22">
        <f>ROUND($E30*$F30,2)</f>
        <v>4691.3599999999997</v>
      </c>
      <c r="H30" s="29"/>
    </row>
    <row r="31" spans="2:8">
      <c r="B31" s="23" t="str">
        <f>Lookups!$S$30*100&amp;"% on remainder"</f>
        <v>1% on remainder</v>
      </c>
      <c r="C31" s="23"/>
      <c r="D31" s="43"/>
      <c r="E31" s="33">
        <f>IF(F31=0,0,IF(E28&gt;Lookups!$P$30+Lookups!$R$30,E28-E29-E30,0))</f>
        <v>0</v>
      </c>
      <c r="F31" s="90">
        <f>Lookups!$S$30</f>
        <v>0.01</v>
      </c>
      <c r="G31" s="22">
        <f>ROUND($E31*$F31,2)</f>
        <v>0</v>
      </c>
      <c r="H31" s="29"/>
    </row>
    <row r="32" spans="2:8">
      <c r="B32" s="82" t="s">
        <v>445</v>
      </c>
      <c r="C32" s="23"/>
      <c r="D32" s="43"/>
      <c r="E32" s="22"/>
      <c r="F32" s="24"/>
      <c r="G32" s="28">
        <f>SUM(G29:G31)</f>
        <v>34691.360000000001</v>
      </c>
      <c r="H32" s="29"/>
    </row>
    <row r="33" spans="2:8">
      <c r="B33" s="76"/>
      <c r="C33" s="76"/>
      <c r="D33" s="77"/>
      <c r="E33" s="29"/>
      <c r="F33" s="34"/>
      <c r="G33" s="35"/>
      <c r="H33" s="29"/>
    </row>
    <row r="34" spans="2:8">
      <c r="B34" s="36" t="s">
        <v>221</v>
      </c>
      <c r="C34" s="36"/>
      <c r="D34" s="44"/>
      <c r="E34" s="36"/>
      <c r="F34" s="29"/>
      <c r="G34" s="30" t="str">
        <f>"Based on the "&amp;Lookups!$AE$30</f>
        <v>Based on the Construction Act, Ontario</v>
      </c>
      <c r="H34" s="29"/>
    </row>
    <row r="35" spans="2:8">
      <c r="B35" s="26" t="s">
        <v>43</v>
      </c>
      <c r="C35" s="26"/>
      <c r="D35" s="45"/>
      <c r="E35" s="25">
        <f>$E$3</f>
        <v>1234567.8899999999</v>
      </c>
      <c r="F35" s="22"/>
      <c r="G35" s="22"/>
      <c r="H35" s="29"/>
    </row>
    <row r="36" spans="2:8">
      <c r="B36" s="82" t="s">
        <v>193</v>
      </c>
      <c r="C36" s="23"/>
      <c r="D36" s="43"/>
      <c r="E36" s="22"/>
      <c r="F36" s="37">
        <f>Lookups!$Y$30</f>
        <v>0.01</v>
      </c>
      <c r="G36" s="22">
        <f>ROUND(E35*F36,2)</f>
        <v>12345.68</v>
      </c>
      <c r="H36" s="29"/>
    </row>
    <row r="37" spans="2:8">
      <c r="B37" s="23" t="str">
        <f>"B  " &amp; Act</f>
        <v>B  Construction Act, Ontario</v>
      </c>
      <c r="C37" s="23"/>
      <c r="D37" s="43"/>
      <c r="E37" s="22"/>
      <c r="F37" s="22"/>
      <c r="G37" s="91">
        <f>Lookups!$Z$30</f>
        <v>5000</v>
      </c>
      <c r="H37" s="29"/>
    </row>
    <row r="38" spans="2:8">
      <c r="B38" s="23" t="str">
        <f>IF(TRIM(Province)="Ontario","  (Section 2 subsection (3) limit)","")</f>
        <v xml:space="preserve">  (Section 2 subsection (3) limit)</v>
      </c>
      <c r="C38" s="23"/>
      <c r="D38" s="43"/>
      <c r="E38" s="22"/>
      <c r="F38" s="22"/>
      <c r="G38" s="22"/>
      <c r="H38" s="29"/>
    </row>
    <row r="39" spans="2:8">
      <c r="B39" s="23" t="s">
        <v>443</v>
      </c>
      <c r="C39" s="23"/>
      <c r="D39" s="43"/>
      <c r="E39" s="22"/>
      <c r="F39" s="22"/>
      <c r="G39" s="27">
        <f>IF(G36&gt;G37,G37,G36)</f>
        <v>5000</v>
      </c>
      <c r="H39" s="29"/>
    </row>
    <row r="40" spans="2:8">
      <c r="B40" s="29"/>
      <c r="C40" s="29"/>
      <c r="D40" s="54"/>
      <c r="E40" s="29"/>
      <c r="F40" s="29"/>
      <c r="G40" s="29"/>
      <c r="H40" s="29"/>
    </row>
    <row r="41" spans="2:8">
      <c r="B41" s="29"/>
      <c r="C41" s="29"/>
      <c r="D41" s="54"/>
      <c r="E41" s="29"/>
      <c r="F41" s="29"/>
      <c r="G41" s="29"/>
      <c r="H41" s="29"/>
    </row>
    <row r="42" spans="2:8">
      <c r="B42" s="192" t="s">
        <v>234</v>
      </c>
      <c r="C42" s="29"/>
      <c r="D42" s="54"/>
      <c r="E42" s="29"/>
      <c r="F42" s="29"/>
      <c r="G42" s="29"/>
      <c r="H42" s="29"/>
    </row>
  </sheetData>
  <sheetProtection selectLockedCells="1"/>
  <mergeCells count="4">
    <mergeCell ref="C2:D2"/>
    <mergeCell ref="B24:G24"/>
    <mergeCell ref="B20:G20"/>
    <mergeCell ref="B22:G22"/>
  </mergeCells>
  <phoneticPr fontId="15" type="noConversion"/>
  <pageMargins left="0.7" right="0.7" top="0.75" bottom="0.75" header="0.3" footer="0.3"/>
  <pageSetup paperSize="3"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05"/>
  <sheetViews>
    <sheetView tabSelected="1" zoomScale="90" zoomScaleNormal="90" workbookViewId="0">
      <pane ySplit="6" topLeftCell="A7" activePane="bottomLeft" state="frozen"/>
      <selection pane="bottomLeft" activeCell="D74" sqref="D74"/>
    </sheetView>
  </sheetViews>
  <sheetFormatPr defaultColWidth="11.42578125" defaultRowHeight="12"/>
  <cols>
    <col min="1" max="1" width="17.7109375" style="17" customWidth="1"/>
    <col min="2" max="2" width="24.7109375" style="15" customWidth="1"/>
    <col min="3" max="3" width="17.85546875" style="18" customWidth="1"/>
    <col min="4" max="4" width="8.7109375" style="21" customWidth="1"/>
    <col min="5" max="7" width="16.7109375" style="18" customWidth="1"/>
    <col min="8" max="8" width="19.7109375" style="18" customWidth="1"/>
    <col min="9" max="9" width="9.7109375" style="15" customWidth="1"/>
    <col min="10" max="10" width="13.7109375" style="15" customWidth="1"/>
    <col min="11" max="11" width="3.7109375" style="15" customWidth="1"/>
    <col min="12" max="12" width="24.42578125" style="15" bestFit="1" customWidth="1"/>
    <col min="13" max="13" width="11.28515625" style="15" customWidth="1"/>
    <col min="14" max="14" width="7.5703125" style="15" customWidth="1"/>
    <col min="15" max="15" width="6.5703125" style="15" customWidth="1"/>
    <col min="16" max="16" width="9" style="15" bestFit="1" customWidth="1"/>
    <col min="17" max="19" width="3.5703125" style="15" bestFit="1" customWidth="1"/>
    <col min="20" max="16384" width="11.42578125" style="15"/>
  </cols>
  <sheetData>
    <row r="1" spans="1:12" ht="12.75">
      <c r="A1" s="105" t="str">
        <f>'Project Info'!$C$16</f>
        <v>Favourite Client Company</v>
      </c>
      <c r="B1" s="106"/>
      <c r="C1" s="107"/>
      <c r="D1" s="106"/>
      <c r="E1" s="107"/>
      <c r="F1" s="107"/>
      <c r="G1" s="107"/>
      <c r="H1" s="108" t="s">
        <v>222</v>
      </c>
      <c r="I1" s="109"/>
      <c r="J1" s="109"/>
      <c r="K1" s="29"/>
      <c r="L1" s="29"/>
    </row>
    <row r="2" spans="1:12" ht="12.75">
      <c r="A2" s="110" t="s">
        <v>151</v>
      </c>
      <c r="B2" s="106" t="str">
        <f>'Project Info'!$C$22&amp;" - "&amp;'Project Info'!$C$23</f>
        <v>Award Winner - Sustainable Office</v>
      </c>
      <c r="C2" s="107"/>
      <c r="D2" s="106"/>
      <c r="E2" s="107"/>
      <c r="F2" s="107"/>
      <c r="G2" s="107"/>
      <c r="H2" s="111" t="s">
        <v>153</v>
      </c>
      <c r="I2" s="112"/>
      <c r="J2" s="112"/>
    </row>
    <row r="3" spans="1:12" ht="12.75">
      <c r="A3" s="113" t="s">
        <v>152</v>
      </c>
      <c r="B3" s="114" t="str">
        <f>'Project Info'!$C$21</f>
        <v>18.32001.00</v>
      </c>
      <c r="C3" s="115"/>
      <c r="D3" s="106"/>
      <c r="E3" s="107"/>
      <c r="F3" s="107"/>
      <c r="G3" s="116" t="s">
        <v>71</v>
      </c>
      <c r="H3" s="117">
        <v>0</v>
      </c>
      <c r="I3" s="112"/>
      <c r="J3" s="112"/>
    </row>
    <row r="4" spans="1:12" ht="12.75">
      <c r="A4" s="118" t="s">
        <v>155</v>
      </c>
      <c r="B4" s="106" t="str">
        <f>'Project Info'!$C$24</f>
        <v>Visionary Architects</v>
      </c>
      <c r="C4" s="107"/>
      <c r="D4" s="107"/>
      <c r="E4" s="107"/>
      <c r="F4" s="107"/>
      <c r="G4" s="119" t="s">
        <v>284</v>
      </c>
      <c r="H4" s="218">
        <f ca="1">NOW()</f>
        <v>42901.533974421298</v>
      </c>
      <c r="I4" s="112"/>
      <c r="J4" s="112"/>
    </row>
    <row r="5" spans="1:12" ht="12.75">
      <c r="A5" s="113" t="s">
        <v>92</v>
      </c>
      <c r="B5" s="106" t="str">
        <f>'Project Info'!$C$29</f>
        <v>Quality Contractors Inc.</v>
      </c>
      <c r="C5" s="107"/>
      <c r="D5" s="107"/>
      <c r="E5" s="107"/>
      <c r="F5" s="107"/>
      <c r="G5" s="115" t="s">
        <v>207</v>
      </c>
      <c r="H5" s="120">
        <v>41850</v>
      </c>
      <c r="I5" s="112"/>
      <c r="J5" s="112"/>
    </row>
    <row r="6" spans="1:12" s="16" customFormat="1" ht="24">
      <c r="A6" s="121" t="s">
        <v>23</v>
      </c>
      <c r="B6" s="122" t="s">
        <v>24</v>
      </c>
      <c r="C6" s="123" t="s">
        <v>0</v>
      </c>
      <c r="D6" s="124" t="s">
        <v>210</v>
      </c>
      <c r="E6" s="123" t="s">
        <v>25</v>
      </c>
      <c r="F6" s="123" t="s">
        <v>209</v>
      </c>
      <c r="G6" s="123" t="s">
        <v>208</v>
      </c>
      <c r="H6" s="123" t="s">
        <v>211</v>
      </c>
      <c r="I6" s="125"/>
      <c r="J6" s="125"/>
    </row>
    <row r="7" spans="1:12">
      <c r="A7" s="126" t="s">
        <v>1</v>
      </c>
      <c r="B7" s="109" t="s">
        <v>2</v>
      </c>
      <c r="C7" s="127">
        <v>0</v>
      </c>
      <c r="D7" s="327">
        <v>0</v>
      </c>
      <c r="E7" s="129">
        <v>0</v>
      </c>
      <c r="F7" s="107">
        <f t="shared" ref="F7:F51" si="0">G7-E7</f>
        <v>0</v>
      </c>
      <c r="G7" s="127">
        <f t="shared" ref="G7:G51" si="1">ROUND(C7*D7,2)</f>
        <v>0</v>
      </c>
      <c r="H7" s="107">
        <f t="shared" ref="H7:H51" si="2">C7-G7</f>
        <v>0</v>
      </c>
      <c r="I7" s="112"/>
      <c r="J7" s="112"/>
    </row>
    <row r="8" spans="1:12">
      <c r="A8" s="126"/>
      <c r="B8" s="109" t="s">
        <v>40</v>
      </c>
      <c r="C8" s="127">
        <v>0</v>
      </c>
      <c r="D8" s="327">
        <v>0</v>
      </c>
      <c r="E8" s="129">
        <v>0</v>
      </c>
      <c r="F8" s="107">
        <f t="shared" si="0"/>
        <v>0</v>
      </c>
      <c r="G8" s="127">
        <f t="shared" si="1"/>
        <v>0</v>
      </c>
      <c r="H8" s="107">
        <f t="shared" si="2"/>
        <v>0</v>
      </c>
      <c r="I8" s="112"/>
      <c r="J8" s="112"/>
    </row>
    <row r="9" spans="1:12">
      <c r="A9" s="126"/>
      <c r="B9" s="109" t="s">
        <v>3</v>
      </c>
      <c r="C9" s="127">
        <v>0</v>
      </c>
      <c r="D9" s="327">
        <v>0</v>
      </c>
      <c r="E9" s="129">
        <v>0</v>
      </c>
      <c r="F9" s="107">
        <f t="shared" si="0"/>
        <v>0</v>
      </c>
      <c r="G9" s="127">
        <f t="shared" si="1"/>
        <v>0</v>
      </c>
      <c r="H9" s="107">
        <f t="shared" si="2"/>
        <v>0</v>
      </c>
      <c r="I9" s="112"/>
      <c r="J9" s="112"/>
    </row>
    <row r="10" spans="1:12">
      <c r="A10" s="126"/>
      <c r="B10" s="109" t="s">
        <v>4</v>
      </c>
      <c r="C10" s="127">
        <v>0</v>
      </c>
      <c r="D10" s="327">
        <v>0</v>
      </c>
      <c r="E10" s="129">
        <v>0</v>
      </c>
      <c r="F10" s="107">
        <f t="shared" si="0"/>
        <v>0</v>
      </c>
      <c r="G10" s="127">
        <f t="shared" si="1"/>
        <v>0</v>
      </c>
      <c r="H10" s="107">
        <f t="shared" si="2"/>
        <v>0</v>
      </c>
      <c r="I10" s="112"/>
      <c r="J10" s="112"/>
    </row>
    <row r="11" spans="1:12">
      <c r="A11" s="126"/>
      <c r="B11" s="109" t="s">
        <v>5</v>
      </c>
      <c r="C11" s="127">
        <v>0</v>
      </c>
      <c r="D11" s="327">
        <v>0</v>
      </c>
      <c r="E11" s="129">
        <v>0</v>
      </c>
      <c r="F11" s="107">
        <f t="shared" si="0"/>
        <v>0</v>
      </c>
      <c r="G11" s="127">
        <f t="shared" si="1"/>
        <v>0</v>
      </c>
      <c r="H11" s="107">
        <f t="shared" si="2"/>
        <v>0</v>
      </c>
      <c r="I11" s="112"/>
      <c r="J11" s="112"/>
    </row>
    <row r="12" spans="1:12">
      <c r="A12" s="126"/>
      <c r="B12" s="109" t="s">
        <v>6</v>
      </c>
      <c r="C12" s="127">
        <v>0</v>
      </c>
      <c r="D12" s="327">
        <v>0</v>
      </c>
      <c r="E12" s="129">
        <v>0</v>
      </c>
      <c r="F12" s="107">
        <f t="shared" si="0"/>
        <v>0</v>
      </c>
      <c r="G12" s="127">
        <f t="shared" si="1"/>
        <v>0</v>
      </c>
      <c r="H12" s="107">
        <f t="shared" si="2"/>
        <v>0</v>
      </c>
      <c r="I12" s="112"/>
      <c r="J12" s="112"/>
    </row>
    <row r="13" spans="1:12">
      <c r="A13" s="126"/>
      <c r="B13" s="109" t="s">
        <v>7</v>
      </c>
      <c r="C13" s="127">
        <v>0</v>
      </c>
      <c r="D13" s="327">
        <v>0</v>
      </c>
      <c r="E13" s="129">
        <v>0</v>
      </c>
      <c r="F13" s="107">
        <f t="shared" si="0"/>
        <v>0</v>
      </c>
      <c r="G13" s="127">
        <f t="shared" si="1"/>
        <v>0</v>
      </c>
      <c r="H13" s="107">
        <f t="shared" si="2"/>
        <v>0</v>
      </c>
      <c r="I13" s="112"/>
      <c r="J13" s="112"/>
    </row>
    <row r="14" spans="1:12">
      <c r="A14" s="126" t="s">
        <v>111</v>
      </c>
      <c r="B14" s="109" t="s">
        <v>8</v>
      </c>
      <c r="C14" s="127">
        <v>0</v>
      </c>
      <c r="D14" s="327">
        <v>0</v>
      </c>
      <c r="E14" s="129">
        <v>0</v>
      </c>
      <c r="F14" s="107">
        <f t="shared" si="0"/>
        <v>0</v>
      </c>
      <c r="G14" s="127">
        <f t="shared" si="1"/>
        <v>0</v>
      </c>
      <c r="H14" s="107">
        <f t="shared" si="2"/>
        <v>0</v>
      </c>
      <c r="I14" s="112"/>
      <c r="J14" s="112"/>
    </row>
    <row r="15" spans="1:12" ht="24">
      <c r="A15" s="126" t="s">
        <v>474</v>
      </c>
      <c r="B15" s="323" t="s">
        <v>219</v>
      </c>
      <c r="C15" s="127">
        <v>0</v>
      </c>
      <c r="D15" s="327">
        <v>0</v>
      </c>
      <c r="E15" s="129">
        <v>0</v>
      </c>
      <c r="F15" s="107">
        <f t="shared" si="0"/>
        <v>0</v>
      </c>
      <c r="G15" s="127">
        <f t="shared" si="1"/>
        <v>0</v>
      </c>
      <c r="H15" s="107">
        <f t="shared" si="2"/>
        <v>0</v>
      </c>
      <c r="I15" s="112"/>
      <c r="J15" s="112"/>
    </row>
    <row r="16" spans="1:12">
      <c r="A16" s="126" t="s">
        <v>475</v>
      </c>
      <c r="B16" s="109" t="s">
        <v>476</v>
      </c>
      <c r="C16" s="127">
        <v>0</v>
      </c>
      <c r="D16" s="327">
        <v>0</v>
      </c>
      <c r="E16" s="129">
        <v>0</v>
      </c>
      <c r="F16" s="107">
        <f>G16-E16</f>
        <v>0</v>
      </c>
      <c r="G16" s="127">
        <f>ROUND(C16*D16,2)</f>
        <v>0</v>
      </c>
      <c r="H16" s="107">
        <f>C16-G16</f>
        <v>0</v>
      </c>
      <c r="I16" s="112"/>
      <c r="J16" s="112"/>
    </row>
    <row r="17" spans="1:10">
      <c r="A17" s="126" t="s">
        <v>475</v>
      </c>
      <c r="B17" s="109" t="s">
        <v>477</v>
      </c>
      <c r="C17" s="127">
        <v>0</v>
      </c>
      <c r="D17" s="327">
        <v>0</v>
      </c>
      <c r="E17" s="129">
        <v>0</v>
      </c>
      <c r="F17" s="107">
        <f>G17-E17</f>
        <v>0</v>
      </c>
      <c r="G17" s="127">
        <f>ROUND(C17*D17,2)</f>
        <v>0</v>
      </c>
      <c r="H17" s="107">
        <f>C17-G17</f>
        <v>0</v>
      </c>
      <c r="I17" s="112"/>
      <c r="J17" s="112"/>
    </row>
    <row r="18" spans="1:10">
      <c r="A18" s="126" t="s">
        <v>162</v>
      </c>
      <c r="B18" s="109" t="s">
        <v>163</v>
      </c>
      <c r="C18" s="127">
        <v>0</v>
      </c>
      <c r="D18" s="327">
        <v>0</v>
      </c>
      <c r="E18" s="129">
        <v>0</v>
      </c>
      <c r="F18" s="107">
        <f>G18-E18</f>
        <v>0</v>
      </c>
      <c r="G18" s="127">
        <f>ROUND(C18*D18,2)</f>
        <v>0</v>
      </c>
      <c r="H18" s="107">
        <f>C18-G18</f>
        <v>0</v>
      </c>
      <c r="I18" s="112"/>
      <c r="J18" s="112"/>
    </row>
    <row r="19" spans="1:10">
      <c r="A19" s="126" t="s">
        <v>478</v>
      </c>
      <c r="B19" s="109" t="s">
        <v>479</v>
      </c>
      <c r="C19" s="127">
        <v>0</v>
      </c>
      <c r="D19" s="327">
        <v>0</v>
      </c>
      <c r="E19" s="129">
        <v>0</v>
      </c>
      <c r="F19" s="107">
        <f>G19-E19</f>
        <v>0</v>
      </c>
      <c r="G19" s="127">
        <f>ROUND(C19*D19,2)</f>
        <v>0</v>
      </c>
      <c r="H19" s="107">
        <f>C19-G19</f>
        <v>0</v>
      </c>
      <c r="I19" s="112"/>
      <c r="J19" s="112"/>
    </row>
    <row r="20" spans="1:10">
      <c r="A20" s="126" t="s">
        <v>164</v>
      </c>
      <c r="B20" s="109" t="s">
        <v>480</v>
      </c>
      <c r="C20" s="127">
        <v>0</v>
      </c>
      <c r="D20" s="327">
        <v>0</v>
      </c>
      <c r="E20" s="129">
        <v>0</v>
      </c>
      <c r="F20" s="107">
        <f>G20-E20</f>
        <v>0</v>
      </c>
      <c r="G20" s="127">
        <f>ROUND(C20*D20,2)</f>
        <v>0</v>
      </c>
      <c r="H20" s="107">
        <f>C20-G20</f>
        <v>0</v>
      </c>
      <c r="I20" s="112"/>
      <c r="J20" s="112"/>
    </row>
    <row r="21" spans="1:10">
      <c r="A21" s="126" t="s">
        <v>481</v>
      </c>
      <c r="B21" s="109" t="s">
        <v>482</v>
      </c>
      <c r="C21" s="127">
        <v>0</v>
      </c>
      <c r="D21" s="327">
        <v>0</v>
      </c>
      <c r="E21" s="129">
        <v>0</v>
      </c>
      <c r="F21" s="107">
        <f t="shared" ref="F21:F22" si="3">G21-E21</f>
        <v>0</v>
      </c>
      <c r="G21" s="127">
        <f t="shared" ref="G21:G22" si="4">ROUND(C21*D21,2)</f>
        <v>0</v>
      </c>
      <c r="H21" s="107">
        <f t="shared" ref="H21:H22" si="5">C21-G21</f>
        <v>0</v>
      </c>
      <c r="I21" s="112"/>
      <c r="J21" s="112"/>
    </row>
    <row r="22" spans="1:10">
      <c r="A22" s="126" t="s">
        <v>483</v>
      </c>
      <c r="B22" s="109" t="s">
        <v>484</v>
      </c>
      <c r="C22" s="127">
        <v>0</v>
      </c>
      <c r="D22" s="327">
        <v>0</v>
      </c>
      <c r="E22" s="129">
        <v>0</v>
      </c>
      <c r="F22" s="107">
        <f t="shared" si="3"/>
        <v>0</v>
      </c>
      <c r="G22" s="127">
        <f t="shared" si="4"/>
        <v>0</v>
      </c>
      <c r="H22" s="107">
        <f t="shared" si="5"/>
        <v>0</v>
      </c>
      <c r="I22" s="112"/>
      <c r="J22" s="112"/>
    </row>
    <row r="23" spans="1:10">
      <c r="A23" s="126" t="s">
        <v>112</v>
      </c>
      <c r="B23" s="109" t="s">
        <v>9</v>
      </c>
      <c r="C23" s="127">
        <v>0</v>
      </c>
      <c r="D23" s="327">
        <v>0</v>
      </c>
      <c r="E23" s="129">
        <v>0</v>
      </c>
      <c r="F23" s="107">
        <f t="shared" si="0"/>
        <v>0</v>
      </c>
      <c r="G23" s="127">
        <f t="shared" si="1"/>
        <v>0</v>
      </c>
      <c r="H23" s="107">
        <f t="shared" si="2"/>
        <v>0</v>
      </c>
      <c r="I23" s="112"/>
      <c r="J23" s="112"/>
    </row>
    <row r="24" spans="1:10">
      <c r="A24" s="126" t="s">
        <v>165</v>
      </c>
      <c r="B24" s="109" t="s">
        <v>166</v>
      </c>
      <c r="C24" s="127">
        <v>0</v>
      </c>
      <c r="D24" s="327">
        <v>0</v>
      </c>
      <c r="E24" s="129">
        <v>0</v>
      </c>
      <c r="F24" s="107">
        <f t="shared" si="0"/>
        <v>0</v>
      </c>
      <c r="G24" s="127">
        <f t="shared" si="1"/>
        <v>0</v>
      </c>
      <c r="H24" s="107">
        <f t="shared" si="2"/>
        <v>0</v>
      </c>
      <c r="I24" s="112"/>
      <c r="J24" s="112"/>
    </row>
    <row r="25" spans="1:10">
      <c r="A25" s="126" t="s">
        <v>131</v>
      </c>
      <c r="B25" s="109" t="s">
        <v>10</v>
      </c>
      <c r="C25" s="127">
        <v>0</v>
      </c>
      <c r="D25" s="327">
        <v>0</v>
      </c>
      <c r="E25" s="129">
        <v>0</v>
      </c>
      <c r="F25" s="107">
        <f t="shared" si="0"/>
        <v>0</v>
      </c>
      <c r="G25" s="127">
        <f t="shared" si="1"/>
        <v>0</v>
      </c>
      <c r="H25" s="107">
        <f t="shared" si="2"/>
        <v>0</v>
      </c>
      <c r="I25" s="112"/>
      <c r="J25" s="112"/>
    </row>
    <row r="26" spans="1:10">
      <c r="A26" s="126" t="s">
        <v>113</v>
      </c>
      <c r="B26" s="109" t="s">
        <v>35</v>
      </c>
      <c r="C26" s="127">
        <v>0</v>
      </c>
      <c r="D26" s="327">
        <v>0</v>
      </c>
      <c r="E26" s="129">
        <v>0</v>
      </c>
      <c r="F26" s="107">
        <f t="shared" si="0"/>
        <v>0</v>
      </c>
      <c r="G26" s="127">
        <f t="shared" si="1"/>
        <v>0</v>
      </c>
      <c r="H26" s="107">
        <f t="shared" si="2"/>
        <v>0</v>
      </c>
      <c r="I26" s="112"/>
      <c r="J26" s="112"/>
    </row>
    <row r="27" spans="1:10">
      <c r="A27" s="126" t="s">
        <v>114</v>
      </c>
      <c r="B27" s="109" t="s">
        <v>36</v>
      </c>
      <c r="C27" s="127">
        <v>0</v>
      </c>
      <c r="D27" s="327">
        <v>0</v>
      </c>
      <c r="E27" s="129">
        <v>0</v>
      </c>
      <c r="F27" s="107">
        <f t="shared" si="0"/>
        <v>0</v>
      </c>
      <c r="G27" s="127">
        <f t="shared" si="1"/>
        <v>0</v>
      </c>
      <c r="H27" s="107">
        <f t="shared" si="2"/>
        <v>0</v>
      </c>
      <c r="I27" s="112"/>
      <c r="J27" s="112"/>
    </row>
    <row r="28" spans="1:10">
      <c r="A28" s="126" t="s">
        <v>168</v>
      </c>
      <c r="B28" s="109" t="s">
        <v>167</v>
      </c>
      <c r="C28" s="127">
        <v>0</v>
      </c>
      <c r="D28" s="327">
        <v>0</v>
      </c>
      <c r="E28" s="129">
        <v>0</v>
      </c>
      <c r="F28" s="107">
        <f>G28-E28</f>
        <v>0</v>
      </c>
      <c r="G28" s="127">
        <f>ROUND(C28*D28,2)</f>
        <v>0</v>
      </c>
      <c r="H28" s="107">
        <f>C28-G28</f>
        <v>0</v>
      </c>
      <c r="I28" s="112"/>
      <c r="J28" s="112"/>
    </row>
    <row r="29" spans="1:10">
      <c r="A29" s="126" t="s">
        <v>169</v>
      </c>
      <c r="B29" s="109" t="s">
        <v>170</v>
      </c>
      <c r="C29" s="127">
        <v>0</v>
      </c>
      <c r="D29" s="327">
        <v>0</v>
      </c>
      <c r="E29" s="129">
        <v>0</v>
      </c>
      <c r="F29" s="107">
        <f>G29-E29</f>
        <v>0</v>
      </c>
      <c r="G29" s="127">
        <f>ROUND(C29*D29,2)</f>
        <v>0</v>
      </c>
      <c r="H29" s="107">
        <f>C29-G29</f>
        <v>0</v>
      </c>
      <c r="I29" s="112"/>
      <c r="J29" s="112"/>
    </row>
    <row r="30" spans="1:10">
      <c r="A30" s="126" t="s">
        <v>171</v>
      </c>
      <c r="B30" s="109" t="s">
        <v>172</v>
      </c>
      <c r="C30" s="127">
        <v>0</v>
      </c>
      <c r="D30" s="327">
        <v>0</v>
      </c>
      <c r="E30" s="129">
        <v>0</v>
      </c>
      <c r="F30" s="107">
        <f>G30-E30</f>
        <v>0</v>
      </c>
      <c r="G30" s="127">
        <f>ROUND(C30*D30,2)</f>
        <v>0</v>
      </c>
      <c r="H30" s="107">
        <f>C30-G30</f>
        <v>0</v>
      </c>
      <c r="I30" s="112"/>
      <c r="J30" s="112"/>
    </row>
    <row r="31" spans="1:10">
      <c r="A31" s="126" t="s">
        <v>132</v>
      </c>
      <c r="B31" s="109" t="s">
        <v>42</v>
      </c>
      <c r="C31" s="127">
        <v>0</v>
      </c>
      <c r="D31" s="327">
        <v>0</v>
      </c>
      <c r="E31" s="129">
        <v>0</v>
      </c>
      <c r="F31" s="107">
        <f t="shared" si="0"/>
        <v>0</v>
      </c>
      <c r="G31" s="127">
        <f t="shared" si="1"/>
        <v>0</v>
      </c>
      <c r="H31" s="107">
        <f t="shared" si="2"/>
        <v>0</v>
      </c>
      <c r="I31" s="112"/>
      <c r="J31" s="112"/>
    </row>
    <row r="32" spans="1:10">
      <c r="A32" s="126" t="s">
        <v>115</v>
      </c>
      <c r="B32" s="109" t="s">
        <v>11</v>
      </c>
      <c r="C32" s="127">
        <v>0</v>
      </c>
      <c r="D32" s="327">
        <v>0</v>
      </c>
      <c r="E32" s="129">
        <v>0</v>
      </c>
      <c r="F32" s="107">
        <f t="shared" si="0"/>
        <v>0</v>
      </c>
      <c r="G32" s="127">
        <f t="shared" si="1"/>
        <v>0</v>
      </c>
      <c r="H32" s="107">
        <f t="shared" si="2"/>
        <v>0</v>
      </c>
      <c r="I32" s="112"/>
      <c r="J32" s="112"/>
    </row>
    <row r="33" spans="1:10">
      <c r="A33" s="130" t="s">
        <v>154</v>
      </c>
      <c r="B33" s="109" t="s">
        <v>37</v>
      </c>
      <c r="C33" s="127">
        <v>0</v>
      </c>
      <c r="D33" s="327">
        <v>0</v>
      </c>
      <c r="E33" s="129">
        <v>0</v>
      </c>
      <c r="F33" s="107">
        <f t="shared" si="0"/>
        <v>0</v>
      </c>
      <c r="G33" s="127">
        <f t="shared" si="1"/>
        <v>0</v>
      </c>
      <c r="H33" s="107">
        <f t="shared" si="2"/>
        <v>0</v>
      </c>
      <c r="I33" s="112"/>
      <c r="J33" s="112"/>
    </row>
    <row r="34" spans="1:10">
      <c r="A34" s="126" t="s">
        <v>175</v>
      </c>
      <c r="B34" s="109" t="s">
        <v>176</v>
      </c>
      <c r="C34" s="127">
        <v>0</v>
      </c>
      <c r="D34" s="327">
        <v>0</v>
      </c>
      <c r="E34" s="129">
        <v>0</v>
      </c>
      <c r="F34" s="107">
        <f t="shared" si="0"/>
        <v>0</v>
      </c>
      <c r="G34" s="127">
        <f t="shared" si="1"/>
        <v>0</v>
      </c>
      <c r="H34" s="107">
        <f t="shared" si="2"/>
        <v>0</v>
      </c>
      <c r="I34" s="112"/>
      <c r="J34" s="112"/>
    </row>
    <row r="35" spans="1:10">
      <c r="A35" s="126" t="s">
        <v>173</v>
      </c>
      <c r="B35" s="109" t="s">
        <v>174</v>
      </c>
      <c r="C35" s="127">
        <v>0</v>
      </c>
      <c r="D35" s="327">
        <v>0</v>
      </c>
      <c r="E35" s="129">
        <v>0</v>
      </c>
      <c r="F35" s="107">
        <f t="shared" si="0"/>
        <v>0</v>
      </c>
      <c r="G35" s="127">
        <f t="shared" si="1"/>
        <v>0</v>
      </c>
      <c r="H35" s="107">
        <f t="shared" si="2"/>
        <v>0</v>
      </c>
      <c r="I35" s="112"/>
      <c r="J35" s="112"/>
    </row>
    <row r="36" spans="1:10">
      <c r="A36" s="126" t="s">
        <v>116</v>
      </c>
      <c r="B36" s="109" t="s">
        <v>117</v>
      </c>
      <c r="C36" s="127">
        <v>0</v>
      </c>
      <c r="D36" s="327">
        <v>0</v>
      </c>
      <c r="E36" s="129">
        <v>0</v>
      </c>
      <c r="F36" s="107">
        <f t="shared" si="0"/>
        <v>0</v>
      </c>
      <c r="G36" s="127">
        <f t="shared" si="1"/>
        <v>0</v>
      </c>
      <c r="H36" s="107">
        <f t="shared" si="2"/>
        <v>0</v>
      </c>
      <c r="I36" s="112"/>
      <c r="J36" s="112"/>
    </row>
    <row r="37" spans="1:10">
      <c r="A37" s="126" t="s">
        <v>119</v>
      </c>
      <c r="B37" s="109" t="s">
        <v>118</v>
      </c>
      <c r="C37" s="127">
        <v>0</v>
      </c>
      <c r="D37" s="327">
        <v>0</v>
      </c>
      <c r="E37" s="129">
        <v>0</v>
      </c>
      <c r="F37" s="107">
        <f t="shared" si="0"/>
        <v>0</v>
      </c>
      <c r="G37" s="127">
        <f t="shared" si="1"/>
        <v>0</v>
      </c>
      <c r="H37" s="107">
        <f t="shared" si="2"/>
        <v>0</v>
      </c>
      <c r="I37" s="112"/>
      <c r="J37" s="112"/>
    </row>
    <row r="38" spans="1:10">
      <c r="A38" s="126" t="s">
        <v>120</v>
      </c>
      <c r="B38" s="109" t="s">
        <v>150</v>
      </c>
      <c r="C38" s="127">
        <v>0</v>
      </c>
      <c r="D38" s="327">
        <v>0</v>
      </c>
      <c r="E38" s="129">
        <v>0</v>
      </c>
      <c r="F38" s="107">
        <f t="shared" si="0"/>
        <v>0</v>
      </c>
      <c r="G38" s="127">
        <f t="shared" si="1"/>
        <v>0</v>
      </c>
      <c r="H38" s="107">
        <f t="shared" si="2"/>
        <v>0</v>
      </c>
      <c r="I38" s="112"/>
      <c r="J38" s="112"/>
    </row>
    <row r="39" spans="1:10">
      <c r="A39" s="126" t="s">
        <v>121</v>
      </c>
      <c r="B39" s="109" t="s">
        <v>38</v>
      </c>
      <c r="C39" s="127">
        <v>0</v>
      </c>
      <c r="D39" s="327">
        <v>0</v>
      </c>
      <c r="E39" s="129">
        <v>0</v>
      </c>
      <c r="F39" s="107">
        <f t="shared" si="0"/>
        <v>0</v>
      </c>
      <c r="G39" s="127">
        <f t="shared" si="1"/>
        <v>0</v>
      </c>
      <c r="H39" s="107">
        <f t="shared" si="2"/>
        <v>0</v>
      </c>
      <c r="I39" s="112"/>
      <c r="J39" s="112"/>
    </row>
    <row r="40" spans="1:10">
      <c r="A40" s="126" t="s">
        <v>122</v>
      </c>
      <c r="B40" s="109" t="s">
        <v>39</v>
      </c>
      <c r="C40" s="127">
        <v>0</v>
      </c>
      <c r="D40" s="327">
        <v>0</v>
      </c>
      <c r="E40" s="129">
        <v>0</v>
      </c>
      <c r="F40" s="107">
        <f t="shared" si="0"/>
        <v>0</v>
      </c>
      <c r="G40" s="127">
        <f t="shared" si="1"/>
        <v>0</v>
      </c>
      <c r="H40" s="107">
        <f t="shared" si="2"/>
        <v>0</v>
      </c>
      <c r="I40" s="112"/>
      <c r="J40" s="112"/>
    </row>
    <row r="41" spans="1:10">
      <c r="A41" s="126" t="s">
        <v>123</v>
      </c>
      <c r="B41" s="109" t="s">
        <v>12</v>
      </c>
      <c r="C41" s="127">
        <v>0</v>
      </c>
      <c r="D41" s="327">
        <v>0</v>
      </c>
      <c r="E41" s="129">
        <v>0</v>
      </c>
      <c r="F41" s="107">
        <f t="shared" si="0"/>
        <v>0</v>
      </c>
      <c r="G41" s="127">
        <f t="shared" si="1"/>
        <v>0</v>
      </c>
      <c r="H41" s="107">
        <f t="shared" si="2"/>
        <v>0</v>
      </c>
      <c r="I41" s="112"/>
      <c r="J41" s="112"/>
    </row>
    <row r="42" spans="1:10">
      <c r="A42" s="126" t="s">
        <v>124</v>
      </c>
      <c r="B42" s="109" t="s">
        <v>125</v>
      </c>
      <c r="C42" s="127">
        <v>0</v>
      </c>
      <c r="D42" s="327">
        <v>0</v>
      </c>
      <c r="E42" s="129">
        <v>0</v>
      </c>
      <c r="F42" s="107">
        <f t="shared" si="0"/>
        <v>0</v>
      </c>
      <c r="G42" s="127">
        <f t="shared" si="1"/>
        <v>0</v>
      </c>
      <c r="H42" s="107">
        <f t="shared" si="2"/>
        <v>0</v>
      </c>
      <c r="I42" s="112"/>
      <c r="J42" s="112"/>
    </row>
    <row r="43" spans="1:10">
      <c r="A43" s="126" t="s">
        <v>177</v>
      </c>
      <c r="B43" s="109" t="s">
        <v>178</v>
      </c>
      <c r="C43" s="127">
        <v>0</v>
      </c>
      <c r="D43" s="327">
        <v>0</v>
      </c>
      <c r="E43" s="129">
        <v>0</v>
      </c>
      <c r="F43" s="107">
        <f t="shared" si="0"/>
        <v>0</v>
      </c>
      <c r="G43" s="127">
        <f t="shared" si="1"/>
        <v>0</v>
      </c>
      <c r="H43" s="107">
        <f t="shared" si="2"/>
        <v>0</v>
      </c>
      <c r="I43" s="112"/>
      <c r="J43" s="112"/>
    </row>
    <row r="44" spans="1:10">
      <c r="A44" s="126" t="s">
        <v>126</v>
      </c>
      <c r="B44" s="109" t="s">
        <v>13</v>
      </c>
      <c r="C44" s="127">
        <v>0</v>
      </c>
      <c r="D44" s="327">
        <v>0</v>
      </c>
      <c r="E44" s="129">
        <v>0</v>
      </c>
      <c r="F44" s="107">
        <f t="shared" si="0"/>
        <v>0</v>
      </c>
      <c r="G44" s="127">
        <f t="shared" si="1"/>
        <v>0</v>
      </c>
      <c r="H44" s="107">
        <f t="shared" si="2"/>
        <v>0</v>
      </c>
      <c r="I44" s="112"/>
      <c r="J44" s="112"/>
    </row>
    <row r="45" spans="1:10">
      <c r="A45" s="126" t="s">
        <v>127</v>
      </c>
      <c r="B45" s="109" t="s">
        <v>128</v>
      </c>
      <c r="C45" s="127">
        <v>0</v>
      </c>
      <c r="D45" s="327">
        <v>0</v>
      </c>
      <c r="E45" s="129">
        <v>0</v>
      </c>
      <c r="F45" s="107">
        <f t="shared" si="0"/>
        <v>0</v>
      </c>
      <c r="G45" s="127">
        <f t="shared" si="1"/>
        <v>0</v>
      </c>
      <c r="H45" s="107">
        <f t="shared" si="2"/>
        <v>0</v>
      </c>
      <c r="I45" s="112"/>
      <c r="J45" s="112"/>
    </row>
    <row r="46" spans="1:10">
      <c r="A46" s="126" t="s">
        <v>129</v>
      </c>
      <c r="B46" s="109" t="s">
        <v>14</v>
      </c>
      <c r="C46" s="127">
        <v>0</v>
      </c>
      <c r="D46" s="327">
        <v>0</v>
      </c>
      <c r="E46" s="129">
        <v>0</v>
      </c>
      <c r="F46" s="107">
        <f t="shared" si="0"/>
        <v>0</v>
      </c>
      <c r="G46" s="127">
        <f t="shared" si="1"/>
        <v>0</v>
      </c>
      <c r="H46" s="107">
        <f t="shared" si="2"/>
        <v>0</v>
      </c>
      <c r="I46" s="112"/>
      <c r="J46" s="112"/>
    </row>
    <row r="47" spans="1:10">
      <c r="A47" s="126" t="s">
        <v>179</v>
      </c>
      <c r="B47" s="109" t="s">
        <v>180</v>
      </c>
      <c r="C47" s="127">
        <v>0</v>
      </c>
      <c r="D47" s="327">
        <v>0</v>
      </c>
      <c r="E47" s="129">
        <v>0</v>
      </c>
      <c r="F47" s="107">
        <f t="shared" si="0"/>
        <v>0</v>
      </c>
      <c r="G47" s="127">
        <f t="shared" si="1"/>
        <v>0</v>
      </c>
      <c r="H47" s="107">
        <f t="shared" si="2"/>
        <v>0</v>
      </c>
      <c r="I47" s="112"/>
      <c r="J47" s="112"/>
    </row>
    <row r="48" spans="1:10">
      <c r="A48" s="126" t="s">
        <v>133</v>
      </c>
      <c r="B48" s="109" t="s">
        <v>136</v>
      </c>
      <c r="C48" s="127">
        <v>0</v>
      </c>
      <c r="D48" s="327">
        <v>0</v>
      </c>
      <c r="E48" s="129">
        <v>0</v>
      </c>
      <c r="F48" s="107">
        <f t="shared" si="0"/>
        <v>0</v>
      </c>
      <c r="G48" s="127">
        <f t="shared" si="1"/>
        <v>0</v>
      </c>
      <c r="H48" s="107">
        <f t="shared" si="2"/>
        <v>0</v>
      </c>
      <c r="I48" s="112"/>
      <c r="J48" s="112"/>
    </row>
    <row r="49" spans="1:13">
      <c r="A49" s="130" t="s">
        <v>149</v>
      </c>
      <c r="B49" s="109" t="s">
        <v>15</v>
      </c>
      <c r="C49" s="127">
        <v>0</v>
      </c>
      <c r="D49" s="327">
        <v>0</v>
      </c>
      <c r="E49" s="129">
        <v>0</v>
      </c>
      <c r="F49" s="107">
        <f>G49-E49</f>
        <v>0</v>
      </c>
      <c r="G49" s="127">
        <f>ROUND(C49*D49,2)</f>
        <v>0</v>
      </c>
      <c r="H49" s="107">
        <f>C49-G49</f>
        <v>0</v>
      </c>
      <c r="I49" s="112"/>
      <c r="J49" s="112"/>
    </row>
    <row r="50" spans="1:13">
      <c r="A50" s="126" t="s">
        <v>134</v>
      </c>
      <c r="B50" s="109" t="s">
        <v>135</v>
      </c>
      <c r="C50" s="127">
        <v>0</v>
      </c>
      <c r="D50" s="327">
        <v>0</v>
      </c>
      <c r="E50" s="129">
        <v>0</v>
      </c>
      <c r="F50" s="107">
        <f t="shared" si="0"/>
        <v>0</v>
      </c>
      <c r="G50" s="127">
        <f t="shared" si="1"/>
        <v>0</v>
      </c>
      <c r="H50" s="107">
        <f t="shared" si="2"/>
        <v>0</v>
      </c>
      <c r="I50" s="112"/>
      <c r="J50" s="112"/>
    </row>
    <row r="51" spans="1:13">
      <c r="A51" s="126" t="s">
        <v>130</v>
      </c>
      <c r="B51" s="109" t="s">
        <v>16</v>
      </c>
      <c r="C51" s="127">
        <v>0</v>
      </c>
      <c r="D51" s="327">
        <v>0</v>
      </c>
      <c r="E51" s="129">
        <v>0</v>
      </c>
      <c r="F51" s="107">
        <f t="shared" si="0"/>
        <v>0</v>
      </c>
      <c r="G51" s="127">
        <f t="shared" si="1"/>
        <v>0</v>
      </c>
      <c r="H51" s="107">
        <f t="shared" si="2"/>
        <v>0</v>
      </c>
      <c r="I51" s="112"/>
      <c r="J51" s="112"/>
    </row>
    <row r="52" spans="1:13">
      <c r="A52" s="126" t="s">
        <v>181</v>
      </c>
      <c r="B52" s="109" t="s">
        <v>182</v>
      </c>
      <c r="C52" s="127">
        <v>0</v>
      </c>
      <c r="D52" s="327">
        <v>0</v>
      </c>
      <c r="E52" s="129">
        <v>0</v>
      </c>
      <c r="F52" s="107">
        <f>G52-E52</f>
        <v>0</v>
      </c>
      <c r="G52" s="127">
        <f>ROUND(C52*D52,2)</f>
        <v>0</v>
      </c>
      <c r="H52" s="107">
        <f>C52-G52</f>
        <v>0</v>
      </c>
      <c r="I52" s="112"/>
      <c r="J52" s="112"/>
    </row>
    <row r="53" spans="1:13">
      <c r="A53" s="126" t="s">
        <v>183</v>
      </c>
      <c r="B53" s="109" t="s">
        <v>184</v>
      </c>
      <c r="C53" s="127">
        <v>0</v>
      </c>
      <c r="D53" s="327">
        <v>0</v>
      </c>
      <c r="E53" s="129">
        <v>0</v>
      </c>
      <c r="F53" s="107">
        <f>G53-E53</f>
        <v>0</v>
      </c>
      <c r="G53" s="127">
        <f>ROUND(C53*D53,2)</f>
        <v>0</v>
      </c>
      <c r="H53" s="107">
        <f>C53-G53</f>
        <v>0</v>
      </c>
      <c r="I53" s="112"/>
      <c r="J53" s="112"/>
    </row>
    <row r="54" spans="1:13">
      <c r="A54" s="126"/>
      <c r="B54" s="131" t="s">
        <v>65</v>
      </c>
      <c r="C54" s="132">
        <f>SUM(C7:C53)</f>
        <v>0</v>
      </c>
      <c r="D54" s="142">
        <f>IF(C54=0,0,G54/C54)</f>
        <v>0</v>
      </c>
      <c r="E54" s="132">
        <f>SUM(E7:E53)</f>
        <v>0</v>
      </c>
      <c r="F54" s="132">
        <f>SUM(F7:F53)</f>
        <v>0</v>
      </c>
      <c r="G54" s="132">
        <f>SUM(G7:G53)</f>
        <v>0</v>
      </c>
      <c r="H54" s="132">
        <f>SUM(H7:H53)</f>
        <v>0</v>
      </c>
      <c r="I54" s="112"/>
      <c r="J54" s="112"/>
    </row>
    <row r="55" spans="1:13">
      <c r="A55" s="126"/>
      <c r="B55" s="107"/>
      <c r="C55" s="107"/>
      <c r="D55" s="328"/>
      <c r="E55" s="107"/>
      <c r="F55" s="107"/>
      <c r="G55" s="107"/>
      <c r="H55" s="107"/>
      <c r="I55" s="112"/>
      <c r="J55" s="112"/>
    </row>
    <row r="56" spans="1:13">
      <c r="A56" s="133" t="s">
        <v>213</v>
      </c>
      <c r="B56" s="109" t="s">
        <v>215</v>
      </c>
      <c r="C56" s="129">
        <v>0</v>
      </c>
      <c r="D56" s="327">
        <v>0</v>
      </c>
      <c r="E56" s="129">
        <v>0</v>
      </c>
      <c r="F56" s="107">
        <f t="shared" ref="F56:F62" si="6">G56-E56</f>
        <v>0</v>
      </c>
      <c r="G56" s="127">
        <f t="shared" ref="G56:G62" si="7">ROUND(C56*D56,2)</f>
        <v>0</v>
      </c>
      <c r="H56" s="107">
        <f t="shared" ref="H56:H62" si="8">C56-G56</f>
        <v>0</v>
      </c>
      <c r="I56" s="112"/>
      <c r="J56" s="112"/>
    </row>
    <row r="57" spans="1:13">
      <c r="A57" s="126"/>
      <c r="B57" s="109" t="s">
        <v>214</v>
      </c>
      <c r="C57" s="129">
        <v>0</v>
      </c>
      <c r="D57" s="327">
        <v>0</v>
      </c>
      <c r="E57" s="129">
        <v>0</v>
      </c>
      <c r="F57" s="107">
        <f t="shared" si="6"/>
        <v>0</v>
      </c>
      <c r="G57" s="127">
        <f t="shared" si="7"/>
        <v>0</v>
      </c>
      <c r="H57" s="107">
        <f t="shared" si="8"/>
        <v>0</v>
      </c>
      <c r="I57" s="112"/>
      <c r="J57" s="112"/>
    </row>
    <row r="58" spans="1:13" ht="12.75" customHeight="1">
      <c r="A58" s="126"/>
      <c r="B58" s="109" t="s">
        <v>31</v>
      </c>
      <c r="C58" s="129">
        <v>0</v>
      </c>
      <c r="D58" s="327">
        <v>0</v>
      </c>
      <c r="E58" s="129">
        <v>0</v>
      </c>
      <c r="F58" s="107">
        <f t="shared" si="6"/>
        <v>0</v>
      </c>
      <c r="G58" s="127">
        <f t="shared" si="7"/>
        <v>0</v>
      </c>
      <c r="H58" s="107">
        <f t="shared" si="8"/>
        <v>0</v>
      </c>
      <c r="I58" s="112"/>
      <c r="J58" s="19"/>
      <c r="K58" s="19"/>
      <c r="L58" s="19"/>
      <c r="M58" s="19"/>
    </row>
    <row r="59" spans="1:13" ht="12" customHeight="1">
      <c r="A59" s="126"/>
      <c r="B59" s="109" t="s">
        <v>216</v>
      </c>
      <c r="C59" s="129">
        <v>0</v>
      </c>
      <c r="D59" s="327">
        <v>0</v>
      </c>
      <c r="E59" s="129">
        <v>0</v>
      </c>
      <c r="F59" s="107">
        <f t="shared" si="6"/>
        <v>0</v>
      </c>
      <c r="G59" s="127">
        <f t="shared" si="7"/>
        <v>0</v>
      </c>
      <c r="H59" s="107">
        <f t="shared" si="8"/>
        <v>0</v>
      </c>
      <c r="I59" s="112"/>
      <c r="J59" s="19"/>
      <c r="K59" s="19"/>
      <c r="L59" s="19"/>
      <c r="M59" s="19"/>
    </row>
    <row r="60" spans="1:13" ht="12" customHeight="1">
      <c r="A60" s="126"/>
      <c r="B60" s="109" t="s">
        <v>217</v>
      </c>
      <c r="C60" s="129">
        <v>0</v>
      </c>
      <c r="D60" s="327">
        <v>0</v>
      </c>
      <c r="E60" s="129">
        <v>0</v>
      </c>
      <c r="F60" s="107">
        <f t="shared" si="6"/>
        <v>0</v>
      </c>
      <c r="G60" s="127">
        <f t="shared" si="7"/>
        <v>0</v>
      </c>
      <c r="H60" s="107">
        <f t="shared" si="8"/>
        <v>0</v>
      </c>
      <c r="I60" s="112"/>
      <c r="J60" s="19"/>
      <c r="K60" s="19"/>
      <c r="L60" s="19"/>
      <c r="M60" s="19"/>
    </row>
    <row r="61" spans="1:13" ht="12" customHeight="1">
      <c r="A61" s="126"/>
      <c r="B61" s="109" t="s">
        <v>218</v>
      </c>
      <c r="C61" s="129">
        <v>0</v>
      </c>
      <c r="D61" s="327">
        <v>0</v>
      </c>
      <c r="E61" s="129">
        <v>0</v>
      </c>
      <c r="F61" s="107">
        <f>G61-E61</f>
        <v>0</v>
      </c>
      <c r="G61" s="127">
        <f>ROUND(C61*D61,2)</f>
        <v>0</v>
      </c>
      <c r="H61" s="107">
        <f>C61-G61</f>
        <v>0</v>
      </c>
      <c r="I61" s="112"/>
      <c r="J61" s="19"/>
      <c r="K61" s="19"/>
      <c r="L61" s="19"/>
      <c r="M61" s="19"/>
    </row>
    <row r="62" spans="1:13" ht="12" customHeight="1">
      <c r="A62" s="126"/>
      <c r="B62" s="324" t="s">
        <v>48</v>
      </c>
      <c r="C62" s="129">
        <v>0</v>
      </c>
      <c r="D62" s="327">
        <v>0</v>
      </c>
      <c r="E62" s="129">
        <v>0</v>
      </c>
      <c r="F62" s="107">
        <f t="shared" si="6"/>
        <v>0</v>
      </c>
      <c r="G62" s="127">
        <f t="shared" si="7"/>
        <v>0</v>
      </c>
      <c r="H62" s="107">
        <f t="shared" si="8"/>
        <v>0</v>
      </c>
      <c r="I62" s="112"/>
      <c r="J62" s="19"/>
      <c r="K62" s="19"/>
      <c r="L62" s="19"/>
      <c r="M62" s="19"/>
    </row>
    <row r="63" spans="1:13" ht="12.75">
      <c r="A63" s="126"/>
      <c r="B63" s="109"/>
      <c r="C63" s="129"/>
      <c r="D63" s="327"/>
      <c r="E63" s="129"/>
      <c r="F63" s="107"/>
      <c r="G63" s="127"/>
      <c r="H63" s="107"/>
      <c r="I63" s="112"/>
      <c r="J63" s="20"/>
      <c r="K63" s="20"/>
      <c r="L63" s="20"/>
      <c r="M63" s="20"/>
    </row>
    <row r="64" spans="1:13">
      <c r="A64" s="133" t="s">
        <v>137</v>
      </c>
      <c r="B64" s="109" t="s">
        <v>44</v>
      </c>
      <c r="C64" s="129">
        <v>0</v>
      </c>
      <c r="D64" s="327">
        <v>0</v>
      </c>
      <c r="E64" s="129">
        <v>0</v>
      </c>
      <c r="F64" s="107">
        <f t="shared" ref="F64:F69" si="9">G64-E64</f>
        <v>0</v>
      </c>
      <c r="G64" s="127">
        <f t="shared" ref="G64:G69" si="10">ROUND(C64*D64,2)</f>
        <v>0</v>
      </c>
      <c r="H64" s="107">
        <f t="shared" ref="H64:H69" si="11">C64-G64</f>
        <v>0</v>
      </c>
      <c r="I64" s="112"/>
      <c r="J64" s="112"/>
    </row>
    <row r="65" spans="1:13">
      <c r="A65" s="126"/>
      <c r="B65" s="109" t="s">
        <v>33</v>
      </c>
      <c r="C65" s="129">
        <v>0</v>
      </c>
      <c r="D65" s="327">
        <v>0</v>
      </c>
      <c r="E65" s="129">
        <v>0</v>
      </c>
      <c r="F65" s="107">
        <f t="shared" si="9"/>
        <v>0</v>
      </c>
      <c r="G65" s="127">
        <f t="shared" si="10"/>
        <v>0</v>
      </c>
      <c r="H65" s="107">
        <f t="shared" si="11"/>
        <v>0</v>
      </c>
      <c r="I65" s="112"/>
      <c r="J65" s="112"/>
    </row>
    <row r="66" spans="1:13" ht="12.75" customHeight="1">
      <c r="A66" s="126"/>
      <c r="B66" s="109" t="s">
        <v>31</v>
      </c>
      <c r="C66" s="129">
        <v>0</v>
      </c>
      <c r="D66" s="327">
        <v>0</v>
      </c>
      <c r="E66" s="129">
        <v>0</v>
      </c>
      <c r="F66" s="107">
        <f t="shared" si="9"/>
        <v>0</v>
      </c>
      <c r="G66" s="127">
        <f t="shared" si="10"/>
        <v>0</v>
      </c>
      <c r="H66" s="107">
        <f t="shared" si="11"/>
        <v>0</v>
      </c>
      <c r="I66" s="112"/>
      <c r="J66" s="19"/>
      <c r="K66" s="19"/>
      <c r="L66" s="19"/>
      <c r="M66" s="19"/>
    </row>
    <row r="67" spans="1:13" ht="12" customHeight="1">
      <c r="A67" s="126"/>
      <c r="B67" s="109" t="s">
        <v>46</v>
      </c>
      <c r="C67" s="129">
        <v>0</v>
      </c>
      <c r="D67" s="327">
        <v>0</v>
      </c>
      <c r="E67" s="129">
        <v>0</v>
      </c>
      <c r="F67" s="107">
        <f t="shared" si="9"/>
        <v>0</v>
      </c>
      <c r="G67" s="127">
        <f t="shared" si="10"/>
        <v>0</v>
      </c>
      <c r="H67" s="107">
        <f t="shared" si="11"/>
        <v>0</v>
      </c>
      <c r="I67" s="112"/>
      <c r="J67" s="19"/>
      <c r="K67" s="19"/>
      <c r="L67" s="19"/>
      <c r="M67" s="19"/>
    </row>
    <row r="68" spans="1:13" ht="12" customHeight="1">
      <c r="A68" s="126"/>
      <c r="B68" s="109" t="s">
        <v>32</v>
      </c>
      <c r="C68" s="129">
        <v>0</v>
      </c>
      <c r="D68" s="327">
        <v>0</v>
      </c>
      <c r="E68" s="129">
        <v>0</v>
      </c>
      <c r="F68" s="107">
        <f t="shared" si="9"/>
        <v>0</v>
      </c>
      <c r="G68" s="127">
        <f t="shared" si="10"/>
        <v>0</v>
      </c>
      <c r="H68" s="107">
        <f t="shared" si="11"/>
        <v>0</v>
      </c>
      <c r="I68" s="112"/>
      <c r="J68" s="19"/>
      <c r="K68" s="19"/>
      <c r="L68" s="19"/>
      <c r="M68" s="19"/>
    </row>
    <row r="69" spans="1:13" ht="12" customHeight="1">
      <c r="A69" s="126"/>
      <c r="B69" s="324" t="s">
        <v>48</v>
      </c>
      <c r="C69" s="129">
        <v>0</v>
      </c>
      <c r="D69" s="327">
        <v>0</v>
      </c>
      <c r="E69" s="129">
        <v>0</v>
      </c>
      <c r="F69" s="107">
        <f t="shared" si="9"/>
        <v>0</v>
      </c>
      <c r="G69" s="127">
        <f t="shared" si="10"/>
        <v>0</v>
      </c>
      <c r="H69" s="107">
        <f t="shared" si="11"/>
        <v>0</v>
      </c>
      <c r="I69" s="112"/>
      <c r="J69" s="19"/>
      <c r="K69" s="19"/>
      <c r="L69" s="19"/>
      <c r="M69" s="19"/>
    </row>
    <row r="70" spans="1:13" ht="12.75">
      <c r="A70" s="126"/>
      <c r="B70" s="109"/>
      <c r="C70" s="129"/>
      <c r="D70" s="327"/>
      <c r="E70" s="129"/>
      <c r="F70" s="107"/>
      <c r="G70" s="127"/>
      <c r="H70" s="107"/>
      <c r="I70" s="112"/>
      <c r="J70" s="20"/>
      <c r="K70" s="20"/>
      <c r="L70" s="20"/>
      <c r="M70" s="20"/>
    </row>
    <row r="71" spans="1:13" ht="12.75">
      <c r="A71" s="133" t="s">
        <v>138</v>
      </c>
      <c r="B71" s="109" t="s">
        <v>45</v>
      </c>
      <c r="C71" s="129">
        <v>0</v>
      </c>
      <c r="D71" s="327">
        <v>0</v>
      </c>
      <c r="E71" s="129">
        <v>0</v>
      </c>
      <c r="F71" s="107">
        <f t="shared" ref="F71:F82" si="12">G71-E71</f>
        <v>0</v>
      </c>
      <c r="G71" s="127">
        <f t="shared" ref="G71:G82" si="13">ROUND(C71*D71,2)</f>
        <v>0</v>
      </c>
      <c r="H71" s="107">
        <f t="shared" ref="H71:H82" si="14">C71-G71</f>
        <v>0</v>
      </c>
      <c r="I71" s="112"/>
      <c r="J71" s="20"/>
      <c r="K71" s="20"/>
      <c r="L71" s="20"/>
      <c r="M71" s="20"/>
    </row>
    <row r="72" spans="1:13" ht="12.75">
      <c r="A72" s="133"/>
      <c r="B72" s="109" t="s">
        <v>418</v>
      </c>
      <c r="C72" s="129">
        <v>0</v>
      </c>
      <c r="D72" s="327">
        <v>0</v>
      </c>
      <c r="E72" s="129">
        <v>0</v>
      </c>
      <c r="F72" s="107">
        <f t="shared" ref="F72" si="15">G72-E72</f>
        <v>0</v>
      </c>
      <c r="G72" s="127">
        <f t="shared" ref="G72" si="16">ROUND(C72*D72,2)</f>
        <v>0</v>
      </c>
      <c r="H72" s="107">
        <f t="shared" ref="H72" si="17">C72-G72</f>
        <v>0</v>
      </c>
      <c r="I72" s="112"/>
      <c r="J72" s="20"/>
      <c r="K72" s="20"/>
      <c r="L72" s="20"/>
      <c r="M72" s="20"/>
    </row>
    <row r="73" spans="1:13" ht="12.75">
      <c r="A73" s="133"/>
      <c r="B73" s="109" t="s">
        <v>419</v>
      </c>
      <c r="C73" s="129">
        <v>0</v>
      </c>
      <c r="D73" s="327">
        <v>0</v>
      </c>
      <c r="E73" s="129">
        <v>0</v>
      </c>
      <c r="F73" s="107">
        <f t="shared" ref="F73:F74" si="18">G73-E73</f>
        <v>0</v>
      </c>
      <c r="G73" s="127">
        <f t="shared" ref="G73:G74" si="19">ROUND(C73*D73,2)</f>
        <v>0</v>
      </c>
      <c r="H73" s="107">
        <f t="shared" ref="H73:H74" si="20">C73-G73</f>
        <v>0</v>
      </c>
      <c r="I73" s="112"/>
      <c r="J73" s="20"/>
      <c r="K73" s="20"/>
      <c r="L73" s="20"/>
      <c r="M73" s="20"/>
    </row>
    <row r="74" spans="1:13" ht="12.75">
      <c r="A74" s="133"/>
      <c r="B74" s="109" t="s">
        <v>420</v>
      </c>
      <c r="C74" s="129">
        <v>0</v>
      </c>
      <c r="D74" s="327">
        <v>0</v>
      </c>
      <c r="E74" s="129">
        <v>0</v>
      </c>
      <c r="F74" s="107">
        <f t="shared" si="18"/>
        <v>0</v>
      </c>
      <c r="G74" s="127">
        <f t="shared" si="19"/>
        <v>0</v>
      </c>
      <c r="H74" s="107">
        <f t="shared" si="20"/>
        <v>0</v>
      </c>
      <c r="I74" s="112"/>
      <c r="J74" s="20"/>
      <c r="K74" s="20"/>
      <c r="L74" s="20"/>
      <c r="M74" s="20"/>
    </row>
    <row r="75" spans="1:13" ht="12.75">
      <c r="A75" s="133"/>
      <c r="B75" s="109" t="s">
        <v>18</v>
      </c>
      <c r="C75" s="129">
        <v>0</v>
      </c>
      <c r="D75" s="327">
        <v>0</v>
      </c>
      <c r="E75" s="129">
        <v>0</v>
      </c>
      <c r="F75" s="107">
        <f t="shared" si="12"/>
        <v>0</v>
      </c>
      <c r="G75" s="127">
        <f t="shared" si="13"/>
        <v>0</v>
      </c>
      <c r="H75" s="107">
        <f t="shared" si="14"/>
        <v>0</v>
      </c>
      <c r="I75" s="112"/>
      <c r="J75" s="20"/>
      <c r="K75" s="20"/>
      <c r="L75" s="20"/>
      <c r="M75" s="20"/>
    </row>
    <row r="76" spans="1:13" ht="12.75">
      <c r="A76" s="133"/>
      <c r="B76" s="109" t="s">
        <v>17</v>
      </c>
      <c r="C76" s="129">
        <v>0</v>
      </c>
      <c r="D76" s="327">
        <v>0</v>
      </c>
      <c r="E76" s="129">
        <v>0</v>
      </c>
      <c r="F76" s="107">
        <f t="shared" si="12"/>
        <v>0</v>
      </c>
      <c r="G76" s="127">
        <f t="shared" si="13"/>
        <v>0</v>
      </c>
      <c r="H76" s="107">
        <f t="shared" si="14"/>
        <v>0</v>
      </c>
      <c r="I76" s="112"/>
      <c r="J76" s="20"/>
      <c r="K76" s="20"/>
      <c r="L76" s="20"/>
      <c r="M76" s="20"/>
    </row>
    <row r="77" spans="1:13" ht="12.75">
      <c r="A77" s="126"/>
      <c r="B77" s="109" t="s">
        <v>19</v>
      </c>
      <c r="C77" s="129">
        <v>0</v>
      </c>
      <c r="D77" s="327">
        <v>0</v>
      </c>
      <c r="E77" s="129">
        <v>0</v>
      </c>
      <c r="F77" s="107">
        <f t="shared" si="12"/>
        <v>0</v>
      </c>
      <c r="G77" s="127">
        <f t="shared" si="13"/>
        <v>0</v>
      </c>
      <c r="H77" s="107">
        <f t="shared" si="14"/>
        <v>0</v>
      </c>
      <c r="I77" s="112"/>
      <c r="J77" s="20"/>
      <c r="K77" s="20"/>
      <c r="L77" s="20"/>
      <c r="M77" s="20"/>
    </row>
    <row r="78" spans="1:13" ht="12.75">
      <c r="A78" s="126"/>
      <c r="B78" s="109" t="s">
        <v>53</v>
      </c>
      <c r="C78" s="129">
        <v>0</v>
      </c>
      <c r="D78" s="327">
        <v>0</v>
      </c>
      <c r="E78" s="129">
        <v>0</v>
      </c>
      <c r="F78" s="107">
        <f t="shared" si="12"/>
        <v>0</v>
      </c>
      <c r="G78" s="127">
        <f t="shared" si="13"/>
        <v>0</v>
      </c>
      <c r="H78" s="107">
        <f t="shared" si="14"/>
        <v>0</v>
      </c>
      <c r="I78" s="112"/>
      <c r="J78" s="20"/>
      <c r="K78" s="20"/>
      <c r="L78" s="20"/>
      <c r="M78" s="20"/>
    </row>
    <row r="79" spans="1:13" ht="12.75">
      <c r="A79" s="126"/>
      <c r="B79" s="109" t="s">
        <v>20</v>
      </c>
      <c r="C79" s="129">
        <v>0</v>
      </c>
      <c r="D79" s="327">
        <v>0</v>
      </c>
      <c r="E79" s="129">
        <v>0</v>
      </c>
      <c r="F79" s="107">
        <f t="shared" si="12"/>
        <v>0</v>
      </c>
      <c r="G79" s="127">
        <f t="shared" si="13"/>
        <v>0</v>
      </c>
      <c r="H79" s="107">
        <f t="shared" si="14"/>
        <v>0</v>
      </c>
      <c r="I79" s="112"/>
      <c r="J79" s="20"/>
      <c r="K79" s="20"/>
      <c r="L79" s="20"/>
      <c r="M79" s="20"/>
    </row>
    <row r="80" spans="1:13" ht="12.75">
      <c r="A80" s="126"/>
      <c r="B80" s="109" t="s">
        <v>46</v>
      </c>
      <c r="C80" s="129">
        <v>0</v>
      </c>
      <c r="D80" s="327">
        <v>0</v>
      </c>
      <c r="E80" s="129">
        <v>0</v>
      </c>
      <c r="F80" s="107">
        <f t="shared" si="12"/>
        <v>0</v>
      </c>
      <c r="G80" s="127">
        <f t="shared" si="13"/>
        <v>0</v>
      </c>
      <c r="H80" s="107">
        <f t="shared" si="14"/>
        <v>0</v>
      </c>
      <c r="I80" s="112"/>
      <c r="J80" s="20"/>
      <c r="K80" s="20"/>
      <c r="L80" s="20"/>
      <c r="M80" s="20"/>
    </row>
    <row r="81" spans="1:13" ht="12.75">
      <c r="A81" s="126"/>
      <c r="B81" s="109" t="s">
        <v>21</v>
      </c>
      <c r="C81" s="129">
        <v>0</v>
      </c>
      <c r="D81" s="327">
        <v>0</v>
      </c>
      <c r="E81" s="129">
        <v>0</v>
      </c>
      <c r="F81" s="107">
        <f t="shared" si="12"/>
        <v>0</v>
      </c>
      <c r="G81" s="127">
        <f t="shared" si="13"/>
        <v>0</v>
      </c>
      <c r="H81" s="107">
        <f t="shared" si="14"/>
        <v>0</v>
      </c>
      <c r="I81" s="112"/>
      <c r="J81" s="20"/>
      <c r="K81" s="20"/>
      <c r="L81" s="20"/>
      <c r="M81" s="20"/>
    </row>
    <row r="82" spans="1:13" ht="12.75">
      <c r="A82" s="126"/>
      <c r="B82" s="109" t="s">
        <v>41</v>
      </c>
      <c r="C82" s="129">
        <v>0</v>
      </c>
      <c r="D82" s="327">
        <v>0</v>
      </c>
      <c r="E82" s="129">
        <v>0</v>
      </c>
      <c r="F82" s="107">
        <f t="shared" si="12"/>
        <v>0</v>
      </c>
      <c r="G82" s="127">
        <f t="shared" si="13"/>
        <v>0</v>
      </c>
      <c r="H82" s="107">
        <f t="shared" si="14"/>
        <v>0</v>
      </c>
      <c r="I82" s="112"/>
      <c r="J82" s="20"/>
      <c r="K82" s="20"/>
      <c r="L82" s="20"/>
      <c r="M82" s="20"/>
    </row>
    <row r="83" spans="1:13" ht="12.75">
      <c r="A83" s="126"/>
      <c r="B83" s="324" t="s">
        <v>48</v>
      </c>
      <c r="C83" s="129">
        <v>0</v>
      </c>
      <c r="D83" s="327">
        <v>0</v>
      </c>
      <c r="E83" s="129">
        <v>0</v>
      </c>
      <c r="F83" s="107">
        <f>G83-E83</f>
        <v>0</v>
      </c>
      <c r="G83" s="127">
        <f>ROUND(C83*D83,2)</f>
        <v>0</v>
      </c>
      <c r="H83" s="107">
        <f>C83-G83</f>
        <v>0</v>
      </c>
      <c r="I83" s="112"/>
      <c r="J83" s="112"/>
    </row>
    <row r="84" spans="1:13">
      <c r="A84" s="126"/>
      <c r="B84" s="131" t="s">
        <v>64</v>
      </c>
      <c r="C84" s="132">
        <f>SUM(C56:C83)</f>
        <v>0</v>
      </c>
      <c r="D84" s="142">
        <f>IF(C84=0,0,G84/C84)</f>
        <v>0</v>
      </c>
      <c r="E84" s="132">
        <f>SUM(E56:E83)</f>
        <v>0</v>
      </c>
      <c r="F84" s="132">
        <f>SUM(F56:F83)</f>
        <v>0</v>
      </c>
      <c r="G84" s="132">
        <f>SUM(G56:G83)</f>
        <v>0</v>
      </c>
      <c r="H84" s="132">
        <f>SUM(H56:H83)</f>
        <v>0</v>
      </c>
      <c r="I84" s="112"/>
      <c r="J84" s="112"/>
    </row>
    <row r="85" spans="1:13">
      <c r="A85" s="126"/>
      <c r="B85" s="107"/>
      <c r="C85" s="107"/>
      <c r="D85" s="328"/>
      <c r="E85" s="107"/>
      <c r="F85" s="107"/>
      <c r="G85" s="107"/>
      <c r="H85" s="107"/>
      <c r="I85" s="112"/>
      <c r="J85" s="112"/>
    </row>
    <row r="86" spans="1:13">
      <c r="A86" s="133" t="s">
        <v>139</v>
      </c>
      <c r="B86" s="109" t="s">
        <v>47</v>
      </c>
      <c r="C86" s="129">
        <v>0</v>
      </c>
      <c r="D86" s="327">
        <v>0</v>
      </c>
      <c r="E86" s="129">
        <v>0</v>
      </c>
      <c r="F86" s="107">
        <f t="shared" ref="F86:F95" si="21">G86-E86</f>
        <v>0</v>
      </c>
      <c r="G86" s="127">
        <f t="shared" ref="G86:G98" si="22">ROUND(C86*D86,2)</f>
        <v>0</v>
      </c>
      <c r="H86" s="107">
        <f t="shared" ref="H86:H95" si="23">C86-G86</f>
        <v>0</v>
      </c>
      <c r="I86" s="112"/>
      <c r="J86" s="112"/>
    </row>
    <row r="87" spans="1:13">
      <c r="A87" s="133"/>
      <c r="B87" s="109" t="s">
        <v>34</v>
      </c>
      <c r="C87" s="129">
        <v>0</v>
      </c>
      <c r="D87" s="327">
        <v>0</v>
      </c>
      <c r="E87" s="129">
        <v>0</v>
      </c>
      <c r="F87" s="107">
        <f t="shared" si="21"/>
        <v>0</v>
      </c>
      <c r="G87" s="127">
        <f t="shared" si="22"/>
        <v>0</v>
      </c>
      <c r="H87" s="107">
        <f t="shared" si="23"/>
        <v>0</v>
      </c>
      <c r="I87" s="112"/>
      <c r="J87" s="112"/>
    </row>
    <row r="88" spans="1:13">
      <c r="A88" s="126"/>
      <c r="B88" s="109" t="s">
        <v>49</v>
      </c>
      <c r="C88" s="129"/>
      <c r="D88" s="327">
        <v>0</v>
      </c>
      <c r="E88" s="129">
        <v>0</v>
      </c>
      <c r="F88" s="107">
        <f t="shared" si="21"/>
        <v>0</v>
      </c>
      <c r="G88" s="127">
        <f t="shared" si="22"/>
        <v>0</v>
      </c>
      <c r="H88" s="107">
        <f t="shared" si="23"/>
        <v>0</v>
      </c>
      <c r="I88" s="112"/>
      <c r="J88" s="112"/>
    </row>
    <row r="89" spans="1:13">
      <c r="A89" s="126"/>
      <c r="B89" s="109" t="s">
        <v>50</v>
      </c>
      <c r="C89" s="129">
        <v>0</v>
      </c>
      <c r="D89" s="327">
        <v>0</v>
      </c>
      <c r="E89" s="129">
        <v>0</v>
      </c>
      <c r="F89" s="107">
        <f t="shared" si="21"/>
        <v>0</v>
      </c>
      <c r="G89" s="127">
        <f t="shared" si="22"/>
        <v>0</v>
      </c>
      <c r="H89" s="107">
        <f t="shared" si="23"/>
        <v>0</v>
      </c>
      <c r="I89" s="112"/>
      <c r="J89" s="112"/>
    </row>
    <row r="90" spans="1:13">
      <c r="A90" s="126"/>
      <c r="B90" s="109" t="s">
        <v>423</v>
      </c>
      <c r="C90" s="129">
        <v>0</v>
      </c>
      <c r="D90" s="327">
        <v>0</v>
      </c>
      <c r="E90" s="129">
        <v>0</v>
      </c>
      <c r="F90" s="107">
        <f t="shared" ref="F90" si="24">G90-E90</f>
        <v>0</v>
      </c>
      <c r="G90" s="127">
        <f t="shared" ref="G90" si="25">ROUND(C90*D90,2)</f>
        <v>0</v>
      </c>
      <c r="H90" s="107">
        <f t="shared" ref="H90" si="26">C90-G90</f>
        <v>0</v>
      </c>
      <c r="I90" s="112"/>
      <c r="J90" s="112"/>
    </row>
    <row r="91" spans="1:13">
      <c r="A91" s="126"/>
      <c r="B91" s="109" t="s">
        <v>421</v>
      </c>
      <c r="C91" s="129">
        <v>0</v>
      </c>
      <c r="D91" s="327">
        <v>0</v>
      </c>
      <c r="E91" s="129">
        <v>0</v>
      </c>
      <c r="F91" s="107">
        <f t="shared" ref="F91:F92" si="27">G91-E91</f>
        <v>0</v>
      </c>
      <c r="G91" s="127">
        <f t="shared" ref="G91:G92" si="28">ROUND(C91*D91,2)</f>
        <v>0</v>
      </c>
      <c r="H91" s="107">
        <f t="shared" ref="H91:H92" si="29">C91-G91</f>
        <v>0</v>
      </c>
      <c r="I91" s="112"/>
      <c r="J91" s="112"/>
    </row>
    <row r="92" spans="1:13">
      <c r="A92" s="126"/>
      <c r="B92" s="109" t="s">
        <v>422</v>
      </c>
      <c r="C92" s="129">
        <v>0</v>
      </c>
      <c r="D92" s="327">
        <v>0</v>
      </c>
      <c r="E92" s="129">
        <v>0</v>
      </c>
      <c r="F92" s="107">
        <f t="shared" si="27"/>
        <v>0</v>
      </c>
      <c r="G92" s="127">
        <f t="shared" si="28"/>
        <v>0</v>
      </c>
      <c r="H92" s="107">
        <f t="shared" si="29"/>
        <v>0</v>
      </c>
      <c r="I92" s="112"/>
      <c r="J92" s="112"/>
    </row>
    <row r="93" spans="1:13">
      <c r="A93" s="126"/>
      <c r="B93" s="109" t="s">
        <v>51</v>
      </c>
      <c r="C93" s="129">
        <v>0</v>
      </c>
      <c r="D93" s="327">
        <v>0</v>
      </c>
      <c r="E93" s="129">
        <v>0</v>
      </c>
      <c r="F93" s="107">
        <f t="shared" si="21"/>
        <v>0</v>
      </c>
      <c r="G93" s="127">
        <f t="shared" si="22"/>
        <v>0</v>
      </c>
      <c r="H93" s="107">
        <f t="shared" si="23"/>
        <v>0</v>
      </c>
      <c r="I93" s="112"/>
      <c r="J93" s="112"/>
    </row>
    <row r="94" spans="1:13">
      <c r="A94" s="126"/>
      <c r="B94" s="109" t="s">
        <v>52</v>
      </c>
      <c r="C94" s="129">
        <v>3000000</v>
      </c>
      <c r="D94" s="327">
        <v>0</v>
      </c>
      <c r="E94" s="129">
        <v>0</v>
      </c>
      <c r="F94" s="107">
        <f t="shared" si="21"/>
        <v>0</v>
      </c>
      <c r="G94" s="127">
        <f t="shared" si="22"/>
        <v>0</v>
      </c>
      <c r="H94" s="107">
        <f t="shared" si="23"/>
        <v>3000000</v>
      </c>
      <c r="I94" s="112"/>
      <c r="J94" s="112"/>
    </row>
    <row r="95" spans="1:13" ht="12.75">
      <c r="A95" s="126"/>
      <c r="B95" s="324" t="s">
        <v>48</v>
      </c>
      <c r="C95" s="129">
        <v>0</v>
      </c>
      <c r="D95" s="327">
        <v>0</v>
      </c>
      <c r="E95" s="129">
        <v>0</v>
      </c>
      <c r="F95" s="107">
        <f t="shared" si="21"/>
        <v>0</v>
      </c>
      <c r="G95" s="127">
        <f t="shared" si="22"/>
        <v>0</v>
      </c>
      <c r="H95" s="107">
        <f t="shared" si="23"/>
        <v>0</v>
      </c>
      <c r="I95" s="112"/>
      <c r="J95" s="112"/>
    </row>
    <row r="96" spans="1:13">
      <c r="A96" s="126"/>
      <c r="B96" s="109"/>
      <c r="C96" s="129"/>
      <c r="D96" s="327"/>
      <c r="E96" s="129"/>
      <c r="F96" s="107"/>
      <c r="G96" s="127">
        <f t="shared" si="22"/>
        <v>0</v>
      </c>
      <c r="H96" s="107"/>
      <c r="I96" s="112"/>
      <c r="J96" s="112"/>
    </row>
    <row r="97" spans="1:12">
      <c r="A97" s="126" t="s">
        <v>197</v>
      </c>
      <c r="B97" s="109" t="s">
        <v>223</v>
      </c>
      <c r="C97" s="129">
        <v>0</v>
      </c>
      <c r="D97" s="327">
        <v>0</v>
      </c>
      <c r="E97" s="129">
        <v>0</v>
      </c>
      <c r="F97" s="107">
        <f>G97-E97</f>
        <v>0</v>
      </c>
      <c r="G97" s="127">
        <f t="shared" si="22"/>
        <v>0</v>
      </c>
      <c r="H97" s="107">
        <f>C97-G97</f>
        <v>0</v>
      </c>
      <c r="I97" s="112"/>
      <c r="J97" s="112"/>
    </row>
    <row r="98" spans="1:12">
      <c r="A98" s="126" t="s">
        <v>198</v>
      </c>
      <c r="B98" s="109" t="s">
        <v>224</v>
      </c>
      <c r="C98" s="129">
        <v>0</v>
      </c>
      <c r="D98" s="327">
        <v>0</v>
      </c>
      <c r="E98" s="129">
        <v>0</v>
      </c>
      <c r="F98" s="107">
        <f>G98-E98</f>
        <v>0</v>
      </c>
      <c r="G98" s="127">
        <f t="shared" si="22"/>
        <v>0</v>
      </c>
      <c r="H98" s="107">
        <f>C98-G98</f>
        <v>0</v>
      </c>
      <c r="I98" s="112"/>
      <c r="J98" s="112"/>
    </row>
    <row r="99" spans="1:12">
      <c r="A99" s="126"/>
      <c r="B99" s="131" t="s">
        <v>63</v>
      </c>
      <c r="C99" s="132">
        <f>SUM(C86:C98)</f>
        <v>3000000</v>
      </c>
      <c r="D99" s="142">
        <f>IF(C99=0,0,G99/C99)</f>
        <v>0</v>
      </c>
      <c r="E99" s="132">
        <f>SUM(E86:E98)</f>
        <v>0</v>
      </c>
      <c r="F99" s="132">
        <f>SUM(F86:F98)</f>
        <v>0</v>
      </c>
      <c r="G99" s="132">
        <f>SUM(G86:G98)</f>
        <v>0</v>
      </c>
      <c r="H99" s="132">
        <f>SUM(H86:H98)</f>
        <v>3000000</v>
      </c>
      <c r="I99" s="112"/>
      <c r="J99" s="112"/>
    </row>
    <row r="100" spans="1:12">
      <c r="A100" s="126"/>
      <c r="B100" s="107"/>
      <c r="C100" s="107"/>
      <c r="D100" s="328"/>
      <c r="E100" s="107"/>
      <c r="F100" s="107"/>
      <c r="G100" s="107"/>
      <c r="H100" s="107"/>
      <c r="I100" s="112"/>
      <c r="J100" s="112"/>
    </row>
    <row r="101" spans="1:12">
      <c r="A101" s="126"/>
      <c r="B101" s="131" t="s">
        <v>67</v>
      </c>
      <c r="C101" s="132">
        <f>C54+C84+C99</f>
        <v>3000000</v>
      </c>
      <c r="D101" s="142">
        <f>IF(C101=0,0,G101/C101)</f>
        <v>0</v>
      </c>
      <c r="E101" s="132">
        <f>E54+E84+E99</f>
        <v>0</v>
      </c>
      <c r="F101" s="132">
        <f>F54+F84+F99</f>
        <v>0</v>
      </c>
      <c r="G101" s="132">
        <f>G54+G84+G99</f>
        <v>0</v>
      </c>
      <c r="H101" s="132">
        <f>H54+H84+H99</f>
        <v>3000000</v>
      </c>
      <c r="I101" s="112"/>
      <c r="J101" s="112"/>
    </row>
    <row r="102" spans="1:12">
      <c r="A102" s="126"/>
      <c r="B102" s="107"/>
      <c r="C102" s="156" t="str">
        <f>IF(Contract_Amount&lt;&gt;'App For Payment-Template'!C101,"The base contract subtotal doesn't match the amount on the Project Info tab.","")</f>
        <v>The base contract subtotal doesn't match the amount on the Project Info tab.</v>
      </c>
      <c r="D102" s="328"/>
      <c r="E102" s="107"/>
      <c r="F102" s="107"/>
      <c r="G102" s="107"/>
      <c r="H102" s="107"/>
      <c r="I102" s="112"/>
      <c r="J102" s="112"/>
    </row>
    <row r="103" spans="1:12">
      <c r="A103" s="134" t="s">
        <v>185</v>
      </c>
      <c r="B103" s="135"/>
      <c r="C103" s="135"/>
      <c r="D103" s="329"/>
      <c r="E103" s="135"/>
      <c r="F103" s="135"/>
      <c r="G103" s="135"/>
      <c r="H103" s="135"/>
      <c r="I103" s="136"/>
      <c r="J103" s="136"/>
    </row>
    <row r="104" spans="1:12">
      <c r="A104" s="137">
        <v>1</v>
      </c>
      <c r="B104" s="135"/>
      <c r="C104" s="129">
        <v>0</v>
      </c>
      <c r="D104" s="327">
        <v>0</v>
      </c>
      <c r="E104" s="129">
        <v>0</v>
      </c>
      <c r="F104" s="107">
        <f>G104-E104</f>
        <v>0</v>
      </c>
      <c r="G104" s="127">
        <f>ROUND(C104*D104,2)</f>
        <v>0</v>
      </c>
      <c r="H104" s="107">
        <f>C104-G104</f>
        <v>0</v>
      </c>
      <c r="I104" s="136"/>
      <c r="J104" s="136"/>
    </row>
    <row r="105" spans="1:12">
      <c r="A105" s="137">
        <v>2</v>
      </c>
      <c r="B105" s="135"/>
      <c r="C105" s="129">
        <v>0</v>
      </c>
      <c r="D105" s="327">
        <v>0</v>
      </c>
      <c r="E105" s="129">
        <v>0</v>
      </c>
      <c r="F105" s="107">
        <f>G105-E105</f>
        <v>0</v>
      </c>
      <c r="G105" s="127">
        <f>ROUND(C105*D105,2)</f>
        <v>0</v>
      </c>
      <c r="H105" s="107">
        <f>C105-G105</f>
        <v>0</v>
      </c>
      <c r="I105" s="136"/>
      <c r="J105" s="136"/>
    </row>
    <row r="106" spans="1:12">
      <c r="A106" s="137">
        <v>3</v>
      </c>
      <c r="B106" s="135"/>
      <c r="C106" s="129">
        <v>0</v>
      </c>
      <c r="D106" s="327"/>
      <c r="E106" s="129">
        <v>0</v>
      </c>
      <c r="F106" s="107">
        <f>G106-E106</f>
        <v>0</v>
      </c>
      <c r="G106" s="127">
        <f>ROUND(C106*D106,2)</f>
        <v>0</v>
      </c>
      <c r="H106" s="107">
        <f>C106-G106</f>
        <v>0</v>
      </c>
      <c r="I106" s="136"/>
      <c r="J106" s="136"/>
    </row>
    <row r="107" spans="1:12">
      <c r="A107" s="135"/>
      <c r="B107" s="131" t="s">
        <v>186</v>
      </c>
      <c r="C107" s="138">
        <f>SUM(C104:C106)</f>
        <v>0</v>
      </c>
      <c r="D107" s="142">
        <f>IF(C107=0,0,G107/C107)</f>
        <v>0</v>
      </c>
      <c r="E107" s="138">
        <f>SUM(E104:E106)</f>
        <v>0</v>
      </c>
      <c r="F107" s="138">
        <f>SUM(F104:F106)</f>
        <v>0</v>
      </c>
      <c r="G107" s="138">
        <f>SUM(G104:G106)</f>
        <v>0</v>
      </c>
      <c r="H107" s="138">
        <f>SUM(H104:H106)</f>
        <v>0</v>
      </c>
      <c r="I107" s="136"/>
      <c r="J107" s="136"/>
    </row>
    <row r="108" spans="1:12">
      <c r="A108" s="135"/>
      <c r="B108" s="139"/>
      <c r="C108" s="140"/>
      <c r="D108" s="183"/>
      <c r="E108" s="140"/>
      <c r="F108" s="140"/>
      <c r="G108" s="140"/>
      <c r="H108" s="140"/>
      <c r="I108" s="136"/>
      <c r="J108" s="136"/>
    </row>
    <row r="109" spans="1:12">
      <c r="A109" s="135"/>
      <c r="B109" s="131" t="s">
        <v>199</v>
      </c>
      <c r="C109" s="132">
        <f>C101+C107</f>
        <v>3000000</v>
      </c>
      <c r="D109" s="142">
        <f>IF(C109=0,0,G109/C109)</f>
        <v>0</v>
      </c>
      <c r="E109" s="132">
        <f>E101+E107</f>
        <v>0</v>
      </c>
      <c r="F109" s="132">
        <f>F101+F107</f>
        <v>0</v>
      </c>
      <c r="G109" s="132">
        <f>G101+G107</f>
        <v>0</v>
      </c>
      <c r="H109" s="132">
        <f>H101+H107</f>
        <v>3000000</v>
      </c>
      <c r="I109" s="136"/>
      <c r="J109" s="136"/>
    </row>
    <row r="110" spans="1:12">
      <c r="A110" s="135"/>
      <c r="B110" s="107"/>
      <c r="C110" s="107"/>
      <c r="D110" s="328"/>
      <c r="E110" s="107"/>
      <c r="F110" s="107"/>
      <c r="G110" s="107"/>
      <c r="H110" s="107"/>
      <c r="I110" s="136"/>
      <c r="J110" s="136"/>
    </row>
    <row r="111" spans="1:12">
      <c r="A111" s="126"/>
      <c r="B111" s="109"/>
      <c r="C111" s="129"/>
      <c r="D111" s="330"/>
      <c r="E111" s="129"/>
      <c r="F111" s="129"/>
      <c r="G111" s="129"/>
      <c r="H111" s="129"/>
      <c r="I111" s="112"/>
      <c r="J111" s="112"/>
    </row>
    <row r="112" spans="1:12">
      <c r="A112" s="133" t="s">
        <v>110</v>
      </c>
      <c r="B112" s="109"/>
      <c r="C112" s="109"/>
      <c r="D112" s="331"/>
      <c r="E112" s="109"/>
      <c r="F112" s="109"/>
      <c r="G112" s="109"/>
      <c r="H112" s="109"/>
      <c r="I112" s="143" t="s">
        <v>70</v>
      </c>
      <c r="J112" s="143" t="s">
        <v>84</v>
      </c>
      <c r="K112" s="29"/>
      <c r="L112" s="29"/>
    </row>
    <row r="113" spans="1:12">
      <c r="A113" s="137">
        <v>1</v>
      </c>
      <c r="B113" s="109" t="s">
        <v>161</v>
      </c>
      <c r="C113" s="107">
        <f>IF(ISBLANK($I113),0,$J113)</f>
        <v>0</v>
      </c>
      <c r="D113" s="327">
        <v>0</v>
      </c>
      <c r="E113" s="129">
        <v>0</v>
      </c>
      <c r="F113" s="107">
        <f t="shared" ref="F113:F122" si="30">G113-E113</f>
        <v>0</v>
      </c>
      <c r="G113" s="127">
        <f>ROUND(C113*D113,2)</f>
        <v>0</v>
      </c>
      <c r="H113" s="107">
        <f t="shared" ref="H113:H122" si="31">C113-G113</f>
        <v>0</v>
      </c>
      <c r="I113" s="144"/>
      <c r="J113" s="145">
        <v>0</v>
      </c>
    </row>
    <row r="114" spans="1:12">
      <c r="A114" s="137">
        <v>2</v>
      </c>
      <c r="B114" s="109"/>
      <c r="C114" s="107">
        <f t="shared" ref="C114:C122" si="32">IF(ISBLANK($I114),0,$J114)</f>
        <v>0</v>
      </c>
      <c r="D114" s="327">
        <v>0</v>
      </c>
      <c r="E114" s="129">
        <v>0</v>
      </c>
      <c r="F114" s="107">
        <f t="shared" si="30"/>
        <v>0</v>
      </c>
      <c r="G114" s="127">
        <f t="shared" ref="G114:G122" si="33">ROUND(C114*D114,2)</f>
        <v>0</v>
      </c>
      <c r="H114" s="107">
        <f t="shared" si="31"/>
        <v>0</v>
      </c>
      <c r="I114" s="144"/>
      <c r="J114" s="145">
        <v>0</v>
      </c>
    </row>
    <row r="115" spans="1:12">
      <c r="A115" s="137">
        <v>3</v>
      </c>
      <c r="B115" s="109"/>
      <c r="C115" s="107">
        <f t="shared" si="32"/>
        <v>0</v>
      </c>
      <c r="D115" s="327">
        <v>0</v>
      </c>
      <c r="E115" s="129">
        <v>0</v>
      </c>
      <c r="F115" s="107">
        <f t="shared" si="30"/>
        <v>0</v>
      </c>
      <c r="G115" s="127">
        <f t="shared" si="33"/>
        <v>0</v>
      </c>
      <c r="H115" s="107">
        <f t="shared" si="31"/>
        <v>0</v>
      </c>
      <c r="I115" s="144"/>
      <c r="J115" s="145">
        <v>0</v>
      </c>
    </row>
    <row r="116" spans="1:12">
      <c r="A116" s="137">
        <v>4</v>
      </c>
      <c r="B116" s="109"/>
      <c r="C116" s="107">
        <f t="shared" si="32"/>
        <v>0</v>
      </c>
      <c r="D116" s="327">
        <v>0</v>
      </c>
      <c r="E116" s="129">
        <v>0</v>
      </c>
      <c r="F116" s="107">
        <f t="shared" si="30"/>
        <v>0</v>
      </c>
      <c r="G116" s="127">
        <f t="shared" si="33"/>
        <v>0</v>
      </c>
      <c r="H116" s="107">
        <f t="shared" si="31"/>
        <v>0</v>
      </c>
      <c r="I116" s="144"/>
      <c r="J116" s="145">
        <v>0</v>
      </c>
    </row>
    <row r="117" spans="1:12">
      <c r="A117" s="137">
        <v>5</v>
      </c>
      <c r="B117" s="109"/>
      <c r="C117" s="107">
        <f t="shared" si="32"/>
        <v>0</v>
      </c>
      <c r="D117" s="327">
        <v>0</v>
      </c>
      <c r="E117" s="129">
        <v>0</v>
      </c>
      <c r="F117" s="107">
        <f t="shared" si="30"/>
        <v>0</v>
      </c>
      <c r="G117" s="127">
        <f t="shared" si="33"/>
        <v>0</v>
      </c>
      <c r="H117" s="107">
        <f t="shared" si="31"/>
        <v>0</v>
      </c>
      <c r="I117" s="144"/>
      <c r="J117" s="145">
        <v>0</v>
      </c>
    </row>
    <row r="118" spans="1:12">
      <c r="A118" s="137">
        <v>6</v>
      </c>
      <c r="B118" s="109"/>
      <c r="C118" s="107">
        <f t="shared" si="32"/>
        <v>0</v>
      </c>
      <c r="D118" s="327">
        <v>0</v>
      </c>
      <c r="E118" s="129">
        <v>0</v>
      </c>
      <c r="F118" s="107">
        <f t="shared" si="30"/>
        <v>0</v>
      </c>
      <c r="G118" s="127">
        <f t="shared" si="33"/>
        <v>0</v>
      </c>
      <c r="H118" s="107">
        <f t="shared" si="31"/>
        <v>0</v>
      </c>
      <c r="I118" s="144"/>
      <c r="J118" s="145">
        <v>0</v>
      </c>
    </row>
    <row r="119" spans="1:12">
      <c r="A119" s="137">
        <v>7</v>
      </c>
      <c r="B119" s="109"/>
      <c r="C119" s="107">
        <f t="shared" si="32"/>
        <v>0</v>
      </c>
      <c r="D119" s="327">
        <v>0</v>
      </c>
      <c r="E119" s="129">
        <v>0</v>
      </c>
      <c r="F119" s="107">
        <f t="shared" si="30"/>
        <v>0</v>
      </c>
      <c r="G119" s="127">
        <f t="shared" si="33"/>
        <v>0</v>
      </c>
      <c r="H119" s="107">
        <f t="shared" si="31"/>
        <v>0</v>
      </c>
      <c r="I119" s="144"/>
      <c r="J119" s="145">
        <v>0</v>
      </c>
    </row>
    <row r="120" spans="1:12">
      <c r="A120" s="137">
        <v>8</v>
      </c>
      <c r="B120" s="109"/>
      <c r="C120" s="107">
        <f t="shared" si="32"/>
        <v>0</v>
      </c>
      <c r="D120" s="327">
        <v>0</v>
      </c>
      <c r="E120" s="129">
        <v>0</v>
      </c>
      <c r="F120" s="107">
        <f t="shared" si="30"/>
        <v>0</v>
      </c>
      <c r="G120" s="127">
        <f t="shared" si="33"/>
        <v>0</v>
      </c>
      <c r="H120" s="107">
        <f t="shared" si="31"/>
        <v>0</v>
      </c>
      <c r="I120" s="144"/>
      <c r="J120" s="145">
        <v>0</v>
      </c>
    </row>
    <row r="121" spans="1:12">
      <c r="A121" s="137">
        <v>9</v>
      </c>
      <c r="B121" s="109"/>
      <c r="C121" s="107">
        <f t="shared" si="32"/>
        <v>0</v>
      </c>
      <c r="D121" s="327">
        <v>0</v>
      </c>
      <c r="E121" s="129">
        <v>0</v>
      </c>
      <c r="F121" s="107">
        <f t="shared" si="30"/>
        <v>0</v>
      </c>
      <c r="G121" s="127">
        <f t="shared" si="33"/>
        <v>0</v>
      </c>
      <c r="H121" s="107">
        <f t="shared" si="31"/>
        <v>0</v>
      </c>
      <c r="I121" s="144"/>
      <c r="J121" s="145">
        <v>0</v>
      </c>
    </row>
    <row r="122" spans="1:12">
      <c r="A122" s="137">
        <v>10</v>
      </c>
      <c r="B122" s="109"/>
      <c r="C122" s="107">
        <f t="shared" si="32"/>
        <v>0</v>
      </c>
      <c r="D122" s="327"/>
      <c r="E122" s="129">
        <v>0</v>
      </c>
      <c r="F122" s="107">
        <f t="shared" si="30"/>
        <v>0</v>
      </c>
      <c r="G122" s="127">
        <f t="shared" si="33"/>
        <v>0</v>
      </c>
      <c r="H122" s="107">
        <f t="shared" si="31"/>
        <v>0</v>
      </c>
      <c r="I122" s="144"/>
      <c r="J122" s="145">
        <v>0</v>
      </c>
    </row>
    <row r="123" spans="1:12">
      <c r="A123" s="135"/>
      <c r="B123" s="131" t="s">
        <v>66</v>
      </c>
      <c r="C123" s="138">
        <f>SUM(C113:C122)</f>
        <v>0</v>
      </c>
      <c r="D123" s="142">
        <f>IF(C123=0,0,G123/C123)</f>
        <v>0</v>
      </c>
      <c r="E123" s="138">
        <f>SUM(E113:E122)</f>
        <v>0</v>
      </c>
      <c r="F123" s="138">
        <f>SUM(F113:F122)</f>
        <v>0</v>
      </c>
      <c r="G123" s="138">
        <f>SUM(G113:G122)</f>
        <v>0</v>
      </c>
      <c r="H123" s="138">
        <f>SUM(H113:H122)</f>
        <v>0</v>
      </c>
      <c r="I123" s="138"/>
      <c r="J123" s="138">
        <f>SUM(J113:J122)</f>
        <v>0</v>
      </c>
    </row>
    <row r="124" spans="1:12">
      <c r="A124" s="307"/>
      <c r="B124" s="131" t="s">
        <v>200</v>
      </c>
      <c r="C124" s="132">
        <f>C109+C123</f>
        <v>3000000</v>
      </c>
      <c r="D124" s="142">
        <f>IF(C124=0,0,G124/C124)</f>
        <v>0</v>
      </c>
      <c r="E124" s="132">
        <f>E109+E123</f>
        <v>0</v>
      </c>
      <c r="F124" s="132">
        <f>F109+F123</f>
        <v>0</v>
      </c>
      <c r="G124" s="132">
        <f>G109+G123</f>
        <v>0</v>
      </c>
      <c r="H124" s="132">
        <f>H109+H123</f>
        <v>3000000</v>
      </c>
      <c r="I124" s="140"/>
      <c r="J124" s="140"/>
    </row>
    <row r="125" spans="1:12">
      <c r="A125" s="135"/>
      <c r="B125" s="307"/>
      <c r="C125" s="307"/>
      <c r="D125" s="329"/>
      <c r="E125" s="307"/>
      <c r="F125" s="307"/>
      <c r="G125" s="307"/>
      <c r="H125" s="307"/>
      <c r="I125" s="307"/>
      <c r="J125" s="307"/>
      <c r="K125" s="307"/>
    </row>
    <row r="126" spans="1:12" ht="24">
      <c r="A126" s="133" t="s">
        <v>462</v>
      </c>
      <c r="B126" s="109"/>
      <c r="C126" s="109"/>
      <c r="D126" s="331"/>
      <c r="E126" s="109"/>
      <c r="F126" s="109"/>
      <c r="G126" s="109"/>
      <c r="H126" s="109"/>
      <c r="I126" s="143" t="s">
        <v>70</v>
      </c>
      <c r="J126" s="321" t="s">
        <v>463</v>
      </c>
      <c r="L126" s="143" t="s">
        <v>466</v>
      </c>
    </row>
    <row r="127" spans="1:12">
      <c r="A127" s="137">
        <v>1</v>
      </c>
      <c r="B127" s="109" t="s">
        <v>464</v>
      </c>
      <c r="C127" s="107">
        <f>IF(ISBLANK($I127),0,$J127)</f>
        <v>0</v>
      </c>
      <c r="D127" s="327">
        <v>0</v>
      </c>
      <c r="E127" s="129">
        <v>0</v>
      </c>
      <c r="F127" s="107">
        <f t="shared" ref="F127:F136" si="34">G127-E127</f>
        <v>0</v>
      </c>
      <c r="G127" s="127">
        <f>ROUND(C127*D127,2)</f>
        <v>0</v>
      </c>
      <c r="H127" s="107">
        <f t="shared" ref="H127:H136" si="35">C127-G127</f>
        <v>0</v>
      </c>
      <c r="I127" s="144"/>
      <c r="J127" s="145">
        <v>0</v>
      </c>
      <c r="L127" s="145">
        <v>0</v>
      </c>
    </row>
    <row r="128" spans="1:12">
      <c r="A128" s="137">
        <v>2</v>
      </c>
      <c r="B128" s="109"/>
      <c r="C128" s="107">
        <f t="shared" ref="C128:C136" si="36">IF(ISBLANK($I128),0,$J128)</f>
        <v>0</v>
      </c>
      <c r="D128" s="327">
        <v>0</v>
      </c>
      <c r="E128" s="129">
        <v>0</v>
      </c>
      <c r="F128" s="107">
        <f t="shared" si="34"/>
        <v>0</v>
      </c>
      <c r="G128" s="127">
        <f t="shared" ref="G128:G136" si="37">ROUND(C128*D128,2)</f>
        <v>0</v>
      </c>
      <c r="H128" s="107">
        <f t="shared" si="35"/>
        <v>0</v>
      </c>
      <c r="I128" s="144"/>
      <c r="J128" s="145">
        <v>0</v>
      </c>
      <c r="L128" s="145">
        <v>0</v>
      </c>
    </row>
    <row r="129" spans="1:19">
      <c r="A129" s="137">
        <v>3</v>
      </c>
      <c r="B129" s="109"/>
      <c r="C129" s="107">
        <f t="shared" si="36"/>
        <v>0</v>
      </c>
      <c r="D129" s="327">
        <v>0</v>
      </c>
      <c r="E129" s="129">
        <v>0</v>
      </c>
      <c r="F129" s="107">
        <f t="shared" si="34"/>
        <v>0</v>
      </c>
      <c r="G129" s="127">
        <f t="shared" si="37"/>
        <v>0</v>
      </c>
      <c r="H129" s="107">
        <f t="shared" si="35"/>
        <v>0</v>
      </c>
      <c r="I129" s="144"/>
      <c r="J129" s="145">
        <v>0</v>
      </c>
      <c r="L129" s="145">
        <v>0</v>
      </c>
    </row>
    <row r="130" spans="1:19">
      <c r="A130" s="137">
        <v>4</v>
      </c>
      <c r="B130" s="109"/>
      <c r="C130" s="107">
        <f t="shared" si="36"/>
        <v>0</v>
      </c>
      <c r="D130" s="327">
        <v>0</v>
      </c>
      <c r="E130" s="129">
        <v>0</v>
      </c>
      <c r="F130" s="107">
        <f t="shared" si="34"/>
        <v>0</v>
      </c>
      <c r="G130" s="127">
        <f t="shared" si="37"/>
        <v>0</v>
      </c>
      <c r="H130" s="107">
        <f t="shared" si="35"/>
        <v>0</v>
      </c>
      <c r="I130" s="144"/>
      <c r="J130" s="145">
        <v>0</v>
      </c>
      <c r="L130" s="145">
        <v>0</v>
      </c>
    </row>
    <row r="131" spans="1:19">
      <c r="A131" s="137">
        <v>5</v>
      </c>
      <c r="B131" s="109"/>
      <c r="C131" s="107">
        <f t="shared" si="36"/>
        <v>0</v>
      </c>
      <c r="D131" s="327">
        <v>0</v>
      </c>
      <c r="E131" s="129">
        <v>0</v>
      </c>
      <c r="F131" s="107">
        <f t="shared" si="34"/>
        <v>0</v>
      </c>
      <c r="G131" s="127">
        <f t="shared" si="37"/>
        <v>0</v>
      </c>
      <c r="H131" s="107">
        <f t="shared" si="35"/>
        <v>0</v>
      </c>
      <c r="I131" s="144"/>
      <c r="J131" s="145">
        <v>0</v>
      </c>
      <c r="L131" s="145">
        <v>0</v>
      </c>
    </row>
    <row r="132" spans="1:19">
      <c r="A132" s="137">
        <v>6</v>
      </c>
      <c r="B132" s="109"/>
      <c r="C132" s="107">
        <f t="shared" si="36"/>
        <v>0</v>
      </c>
      <c r="D132" s="327">
        <v>0</v>
      </c>
      <c r="E132" s="129">
        <v>0</v>
      </c>
      <c r="F132" s="107">
        <f t="shared" si="34"/>
        <v>0</v>
      </c>
      <c r="G132" s="127">
        <f t="shared" si="37"/>
        <v>0</v>
      </c>
      <c r="H132" s="107">
        <f t="shared" si="35"/>
        <v>0</v>
      </c>
      <c r="I132" s="144"/>
      <c r="J132" s="145">
        <v>0</v>
      </c>
      <c r="L132" s="145">
        <v>0</v>
      </c>
    </row>
    <row r="133" spans="1:19">
      <c r="A133" s="137">
        <v>7</v>
      </c>
      <c r="B133" s="109"/>
      <c r="C133" s="107">
        <f t="shared" si="36"/>
        <v>0</v>
      </c>
      <c r="D133" s="327">
        <v>0</v>
      </c>
      <c r="E133" s="129">
        <v>0</v>
      </c>
      <c r="F133" s="107">
        <f t="shared" si="34"/>
        <v>0</v>
      </c>
      <c r="G133" s="127">
        <f t="shared" si="37"/>
        <v>0</v>
      </c>
      <c r="H133" s="107">
        <f t="shared" si="35"/>
        <v>0</v>
      </c>
      <c r="I133" s="144"/>
      <c r="J133" s="145">
        <v>0</v>
      </c>
      <c r="L133" s="145">
        <v>0</v>
      </c>
    </row>
    <row r="134" spans="1:19">
      <c r="A134" s="137">
        <v>8</v>
      </c>
      <c r="B134" s="109"/>
      <c r="C134" s="107">
        <f t="shared" si="36"/>
        <v>0</v>
      </c>
      <c r="D134" s="327">
        <v>0</v>
      </c>
      <c r="E134" s="129">
        <v>0</v>
      </c>
      <c r="F134" s="107">
        <f t="shared" si="34"/>
        <v>0</v>
      </c>
      <c r="G134" s="127">
        <f t="shared" si="37"/>
        <v>0</v>
      </c>
      <c r="H134" s="107">
        <f t="shared" si="35"/>
        <v>0</v>
      </c>
      <c r="I134" s="144"/>
      <c r="J134" s="145">
        <v>0</v>
      </c>
      <c r="L134" s="145">
        <v>0</v>
      </c>
    </row>
    <row r="135" spans="1:19">
      <c r="A135" s="137">
        <v>9</v>
      </c>
      <c r="B135" s="109"/>
      <c r="C135" s="107">
        <f t="shared" si="36"/>
        <v>0</v>
      </c>
      <c r="D135" s="327">
        <v>0</v>
      </c>
      <c r="E135" s="129">
        <v>0</v>
      </c>
      <c r="F135" s="107">
        <f t="shared" si="34"/>
        <v>0</v>
      </c>
      <c r="G135" s="127">
        <f t="shared" si="37"/>
        <v>0</v>
      </c>
      <c r="H135" s="107">
        <f t="shared" si="35"/>
        <v>0</v>
      </c>
      <c r="I135" s="144"/>
      <c r="J135" s="145">
        <v>0</v>
      </c>
      <c r="L135" s="145">
        <v>0</v>
      </c>
    </row>
    <row r="136" spans="1:19">
      <c r="A136" s="137">
        <v>10</v>
      </c>
      <c r="B136" s="109"/>
      <c r="C136" s="107">
        <f t="shared" si="36"/>
        <v>0</v>
      </c>
      <c r="D136" s="327"/>
      <c r="E136" s="129">
        <v>0</v>
      </c>
      <c r="F136" s="107">
        <f t="shared" si="34"/>
        <v>0</v>
      </c>
      <c r="G136" s="127">
        <f t="shared" si="37"/>
        <v>0</v>
      </c>
      <c r="H136" s="107">
        <f t="shared" si="35"/>
        <v>0</v>
      </c>
      <c r="I136" s="144"/>
      <c r="J136" s="145">
        <v>0</v>
      </c>
      <c r="L136" s="145">
        <v>0</v>
      </c>
    </row>
    <row r="137" spans="1:19">
      <c r="A137" s="307"/>
      <c r="B137" s="131" t="s">
        <v>465</v>
      </c>
      <c r="C137" s="138">
        <f>SUM(C127:C136)</f>
        <v>0</v>
      </c>
      <c r="D137" s="142">
        <f>IF(C137=0,0,G137/C137)</f>
        <v>0</v>
      </c>
      <c r="E137" s="138">
        <f>SUM(E127:E136)</f>
        <v>0</v>
      </c>
      <c r="F137" s="138">
        <f>SUM(F127:F136)</f>
        <v>0</v>
      </c>
      <c r="G137" s="138">
        <f>SUM(G127:G136)</f>
        <v>0</v>
      </c>
      <c r="H137" s="138">
        <f>SUM(H127:H136)</f>
        <v>0</v>
      </c>
      <c r="I137" s="138"/>
      <c r="J137" s="138">
        <f>SUM(J127:J136)</f>
        <v>0</v>
      </c>
      <c r="L137" s="138">
        <f>SUM(L127:L136)</f>
        <v>0</v>
      </c>
    </row>
    <row r="138" spans="1:19">
      <c r="A138" s="307"/>
      <c r="B138" s="131" t="s">
        <v>200</v>
      </c>
      <c r="C138" s="132">
        <f>C124+C137</f>
        <v>3000000</v>
      </c>
      <c r="D138" s="142">
        <f>IF(C138=0,0,G138/C138)</f>
        <v>0</v>
      </c>
      <c r="E138" s="132">
        <f>E124+E137</f>
        <v>0</v>
      </c>
      <c r="F138" s="132">
        <f t="shared" ref="F138:H138" si="38">F124+F137</f>
        <v>0</v>
      </c>
      <c r="G138" s="132">
        <f t="shared" si="38"/>
        <v>0</v>
      </c>
      <c r="H138" s="132">
        <f t="shared" si="38"/>
        <v>3000000</v>
      </c>
      <c r="I138" s="107"/>
      <c r="J138" s="107"/>
    </row>
    <row r="139" spans="1:19">
      <c r="A139" s="135"/>
      <c r="B139" s="109"/>
      <c r="C139" s="129"/>
      <c r="D139" s="146"/>
      <c r="E139" s="129"/>
      <c r="F139" s="129"/>
      <c r="G139" s="129"/>
      <c r="H139" s="129"/>
      <c r="I139" s="112"/>
      <c r="J139" s="112"/>
    </row>
    <row r="140" spans="1:19">
      <c r="A140" s="135"/>
      <c r="B140" s="135"/>
      <c r="C140" s="135"/>
      <c r="D140" s="135"/>
      <c r="E140" s="135"/>
      <c r="F140" s="135"/>
      <c r="G140" s="135"/>
      <c r="H140" s="135"/>
      <c r="I140" s="136"/>
      <c r="J140" s="136"/>
    </row>
    <row r="141" spans="1:19">
      <c r="A141" s="134" t="s">
        <v>288</v>
      </c>
      <c r="B141" s="135"/>
      <c r="C141" s="348" t="s">
        <v>454</v>
      </c>
      <c r="D141" s="348"/>
      <c r="E141" s="349" t="str">
        <f>IF(CertQualifier="-", "&lt;-- Select certificate qualifier","")</f>
        <v>&lt;-- Select certificate qualifier</v>
      </c>
      <c r="F141" s="349"/>
      <c r="G141" s="135"/>
      <c r="H141" s="135"/>
      <c r="I141" s="136"/>
      <c r="J141" s="136"/>
      <c r="L141" s="92"/>
    </row>
    <row r="142" spans="1:19" ht="24">
      <c r="A142" s="135"/>
      <c r="B142" s="147"/>
      <c r="C142" s="148" t="str">
        <f t="shared" ref="C142:H142" si="39">C6</f>
        <v>Contract Amount</v>
      </c>
      <c r="D142" s="148" t="str">
        <f t="shared" si="39"/>
        <v>%
to Date</v>
      </c>
      <c r="E142" s="148" t="str">
        <f t="shared" si="39"/>
        <v>Previous Amount</v>
      </c>
      <c r="F142" s="148" t="str">
        <f t="shared" si="39"/>
        <v>Amount
This Draw</v>
      </c>
      <c r="G142" s="148" t="str">
        <f t="shared" si="39"/>
        <v>Completed 
to Date</v>
      </c>
      <c r="H142" s="148" t="str">
        <f t="shared" si="39"/>
        <v>Balance
to Complete</v>
      </c>
      <c r="I142" s="112"/>
      <c r="J142" s="112"/>
      <c r="L142" s="6"/>
    </row>
    <row r="143" spans="1:19">
      <c r="A143" s="135"/>
      <c r="B143" s="114" t="s">
        <v>22</v>
      </c>
      <c r="C143" s="149">
        <f>C54+C84+C99+C107+C123+C137</f>
        <v>3000000</v>
      </c>
      <c r="D143" s="332">
        <f>IF(C143=0,0,G143/C143)</f>
        <v>0</v>
      </c>
      <c r="E143" s="149">
        <f t="shared" ref="E143:H143" si="40">E54+E84+E99+E107+E123+E137</f>
        <v>0</v>
      </c>
      <c r="F143" s="149">
        <f t="shared" si="40"/>
        <v>0</v>
      </c>
      <c r="G143" s="149">
        <f t="shared" si="40"/>
        <v>0</v>
      </c>
      <c r="H143" s="149">
        <f t="shared" si="40"/>
        <v>3000000</v>
      </c>
      <c r="I143" s="112" t="s">
        <v>500</v>
      </c>
      <c r="J143" s="112"/>
      <c r="P143" s="83"/>
      <c r="Q143" s="83"/>
      <c r="R143" s="83"/>
      <c r="S143" s="83"/>
    </row>
    <row r="144" spans="1:19">
      <c r="A144" s="135"/>
      <c r="B144" s="151" t="str">
        <f ca="1">'Project Info'!$C$42&amp;" at "&amp;$D158*100&amp;"%"</f>
        <v>HST at 13%</v>
      </c>
      <c r="C144" s="107">
        <f>ROUND(C143*$D$158,2)</f>
        <v>390000</v>
      </c>
      <c r="D144" s="150"/>
      <c r="E144" s="107"/>
      <c r="F144" s="107"/>
      <c r="G144" s="107"/>
      <c r="H144" s="107"/>
      <c r="I144" s="112"/>
      <c r="J144" s="112"/>
      <c r="S144" s="83"/>
    </row>
    <row r="145" spans="1:19">
      <c r="A145" s="135"/>
      <c r="B145" s="147" t="s">
        <v>26</v>
      </c>
      <c r="C145" s="152">
        <f>SUM(C143:C144)</f>
        <v>3390000</v>
      </c>
      <c r="D145" s="150"/>
      <c r="E145" s="107"/>
      <c r="F145" s="152"/>
      <c r="G145" s="107"/>
      <c r="H145" s="107"/>
      <c r="I145" s="112"/>
      <c r="J145" s="112"/>
      <c r="S145" s="83"/>
    </row>
    <row r="146" spans="1:19">
      <c r="A146" s="135"/>
      <c r="B146" s="147"/>
      <c r="C146" s="107"/>
      <c r="D146" s="150"/>
      <c r="E146" s="107"/>
      <c r="F146" s="107"/>
      <c r="G146" s="107"/>
      <c r="H146" s="107"/>
      <c r="I146" s="112"/>
      <c r="J146" s="112"/>
      <c r="S146" s="83"/>
    </row>
    <row r="147" spans="1:19">
      <c r="A147" s="135"/>
      <c r="B147" s="147"/>
      <c r="C147" s="107" t="s">
        <v>54</v>
      </c>
      <c r="D147" s="150"/>
      <c r="E147" s="107"/>
      <c r="F147" s="107"/>
      <c r="G147" s="128"/>
      <c r="H147" s="107"/>
      <c r="I147" s="112"/>
      <c r="J147" s="112"/>
      <c r="S147" s="83"/>
    </row>
    <row r="148" spans="1:19">
      <c r="A148" s="135"/>
      <c r="B148" s="147"/>
      <c r="C148" s="107" t="s">
        <v>406</v>
      </c>
      <c r="D148" s="153">
        <f>'Project Info'!C37</f>
        <v>0.1</v>
      </c>
      <c r="E148" s="107"/>
      <c r="F148" s="107"/>
      <c r="G148" s="107">
        <f>IF($F$174="Substantially performed",ROUND($H$176*$D$148,2),ROUND(WorkFinished*$D$148,2))</f>
        <v>0</v>
      </c>
      <c r="H148" s="107"/>
      <c r="I148" s="112"/>
      <c r="J148" s="112"/>
      <c r="S148" s="83"/>
    </row>
    <row r="149" spans="1:19">
      <c r="A149" s="135"/>
      <c r="B149" s="147"/>
      <c r="C149" s="107" t="s">
        <v>407</v>
      </c>
      <c r="D149" s="153">
        <f>'Project Info'!C38</f>
        <v>0.1</v>
      </c>
      <c r="E149" s="107"/>
      <c r="F149" s="107"/>
      <c r="G149" s="107">
        <f>IF($H$176=0,0,ROUND((WorkFinished-$H$176)*$D$149,2))</f>
        <v>0</v>
      </c>
      <c r="H149" s="107"/>
      <c r="I149" s="112"/>
      <c r="J149" s="112"/>
      <c r="S149" s="83"/>
    </row>
    <row r="150" spans="1:19">
      <c r="A150" s="135"/>
      <c r="B150" s="147"/>
      <c r="C150" s="107" t="s">
        <v>55</v>
      </c>
      <c r="D150" s="150"/>
      <c r="E150" s="107"/>
      <c r="F150" s="107"/>
      <c r="G150" s="154">
        <f>G143-G147-G148-G149</f>
        <v>0</v>
      </c>
      <c r="H150" s="107"/>
      <c r="I150" s="112"/>
      <c r="J150" s="112"/>
      <c r="S150" s="83"/>
    </row>
    <row r="151" spans="1:19">
      <c r="A151" s="135"/>
      <c r="B151" s="147"/>
      <c r="C151" s="107"/>
      <c r="D151" s="150"/>
      <c r="E151" s="107"/>
      <c r="F151" s="107"/>
      <c r="G151" s="107"/>
      <c r="H151" s="107"/>
      <c r="I151" s="112"/>
      <c r="J151" s="112"/>
      <c r="S151" s="83"/>
    </row>
    <row r="152" spans="1:19">
      <c r="A152" s="135"/>
      <c r="B152" s="147"/>
      <c r="C152" s="107" t="s">
        <v>56</v>
      </c>
      <c r="D152" s="150"/>
      <c r="E152" s="107"/>
      <c r="F152" s="145">
        <v>0</v>
      </c>
      <c r="G152" s="107"/>
      <c r="H152" s="107"/>
      <c r="I152" s="112"/>
      <c r="J152" s="112"/>
      <c r="S152" s="83"/>
    </row>
    <row r="153" spans="1:19">
      <c r="A153" s="135"/>
      <c r="B153" s="147"/>
      <c r="C153" s="107" t="s">
        <v>60</v>
      </c>
      <c r="D153" s="150"/>
      <c r="E153" s="107"/>
      <c r="F153" s="145"/>
      <c r="G153" s="107"/>
      <c r="H153" s="107">
        <f>HbCurRel</f>
        <v>0</v>
      </c>
      <c r="I153" s="112"/>
      <c r="J153" s="112"/>
      <c r="S153" s="83"/>
    </row>
    <row r="154" spans="1:19">
      <c r="A154" s="135"/>
      <c r="B154" s="147"/>
      <c r="C154" s="107" t="s">
        <v>57</v>
      </c>
      <c r="D154" s="150"/>
      <c r="E154" s="107"/>
      <c r="F154" s="107"/>
      <c r="G154" s="107">
        <f>F152+F153</f>
        <v>0</v>
      </c>
      <c r="H154" s="107"/>
      <c r="I154" s="112"/>
      <c r="J154" s="112"/>
      <c r="S154" s="83"/>
    </row>
    <row r="155" spans="1:19">
      <c r="A155" s="135"/>
      <c r="B155" s="147"/>
      <c r="C155" s="107" t="s">
        <v>58</v>
      </c>
      <c r="D155" s="150"/>
      <c r="E155" s="107"/>
      <c r="F155" s="107"/>
      <c r="G155" s="154">
        <f>G150+G154</f>
        <v>0</v>
      </c>
      <c r="H155" s="107"/>
      <c r="I155" s="112"/>
      <c r="J155" s="112"/>
      <c r="S155" s="83"/>
    </row>
    <row r="156" spans="1:19">
      <c r="A156" s="135"/>
      <c r="B156" s="147"/>
      <c r="C156" s="107" t="s">
        <v>187</v>
      </c>
      <c r="D156" s="150"/>
      <c r="E156" s="107"/>
      <c r="F156" s="107"/>
      <c r="G156" s="145"/>
      <c r="H156" s="155" t="str">
        <f>IF(ISBLANK(G156),"&lt;-enter value",IF(ROUND($F$143*0.9,2)=$G$157," - ","Check previously payable amount."))</f>
        <v>&lt;-enter value</v>
      </c>
      <c r="I156" s="112"/>
      <c r="J156" s="112"/>
      <c r="S156" s="83"/>
    </row>
    <row r="157" spans="1:19">
      <c r="A157" s="135"/>
      <c r="B157" s="147"/>
      <c r="C157" s="107" t="s">
        <v>59</v>
      </c>
      <c r="D157" s="150"/>
      <c r="E157" s="107"/>
      <c r="F157" s="107"/>
      <c r="G157" s="152">
        <f>G155-G156</f>
        <v>0</v>
      </c>
      <c r="H157" s="107"/>
      <c r="I157" s="112"/>
      <c r="J157" s="112"/>
    </row>
    <row r="158" spans="1:19">
      <c r="A158" s="135"/>
      <c r="B158" s="147"/>
      <c r="C158" s="107" t="str">
        <f ca="1">'Project Info'!$C$42&amp;" payable"</f>
        <v>HST payable</v>
      </c>
      <c r="D158" s="153">
        <f>'Project Info'!$C$41</f>
        <v>0.13</v>
      </c>
      <c r="E158" s="107"/>
      <c r="F158" s="107"/>
      <c r="G158" s="107">
        <f>ROUND(G157*D158,2)</f>
        <v>0</v>
      </c>
      <c r="H158" s="107"/>
      <c r="I158" s="112"/>
      <c r="J158" s="112"/>
      <c r="S158" s="83"/>
    </row>
    <row r="159" spans="1:19">
      <c r="A159" s="135"/>
      <c r="B159" s="147"/>
      <c r="C159" s="107"/>
      <c r="D159" s="150"/>
      <c r="E159" s="107"/>
      <c r="F159" s="156" t="s">
        <v>69</v>
      </c>
      <c r="G159" s="157">
        <f>G157+G158</f>
        <v>0</v>
      </c>
      <c r="H159" s="107"/>
      <c r="I159" s="112"/>
      <c r="J159" s="112"/>
      <c r="S159" s="83"/>
    </row>
    <row r="160" spans="1:19">
      <c r="A160" s="135"/>
      <c r="B160" s="147"/>
      <c r="C160" s="107"/>
      <c r="D160" s="150"/>
      <c r="E160" s="107"/>
      <c r="F160" s="115" t="s">
        <v>68</v>
      </c>
      <c r="G160" s="107">
        <v>0</v>
      </c>
      <c r="H160" s="107"/>
      <c r="I160" s="112"/>
      <c r="J160" s="112"/>
      <c r="S160" s="83"/>
    </row>
    <row r="161" spans="1:19">
      <c r="A161" s="135"/>
      <c r="B161" s="147"/>
      <c r="C161" s="107"/>
      <c r="D161" s="150"/>
      <c r="E161" s="107"/>
      <c r="F161" s="156" t="s">
        <v>62</v>
      </c>
      <c r="G161" s="157">
        <f>G159+G160</f>
        <v>0</v>
      </c>
      <c r="H161" s="107"/>
      <c r="I161" s="112"/>
      <c r="J161" s="112"/>
      <c r="S161" s="83"/>
    </row>
    <row r="162" spans="1:19">
      <c r="A162" s="135"/>
      <c r="B162" s="109"/>
      <c r="C162" s="109"/>
      <c r="D162" s="109"/>
      <c r="E162" s="109"/>
      <c r="F162" s="109"/>
      <c r="G162" s="109"/>
      <c r="H162" s="109"/>
      <c r="I162" s="112"/>
      <c r="J162" s="112"/>
      <c r="S162" s="83"/>
    </row>
    <row r="163" spans="1:19">
      <c r="A163" s="135"/>
      <c r="B163" s="109"/>
      <c r="C163" s="109"/>
      <c r="D163" s="109"/>
      <c r="E163" s="109"/>
      <c r="F163" s="109"/>
      <c r="G163" s="109"/>
      <c r="H163" s="109"/>
      <c r="I163" s="112"/>
      <c r="J163" s="112"/>
      <c r="S163" s="83"/>
    </row>
    <row r="164" spans="1:19">
      <c r="A164" s="158" t="s">
        <v>289</v>
      </c>
      <c r="B164" s="109"/>
      <c r="C164" s="129"/>
      <c r="D164" s="109"/>
      <c r="E164" s="76" t="str">
        <f>"Based on the "&amp;Lookups!$AE$30</f>
        <v>Based on the Construction Act, Ontario</v>
      </c>
      <c r="F164" s="109"/>
      <c r="G164" s="109"/>
      <c r="H164" s="159" t="s">
        <v>105</v>
      </c>
      <c r="I164" s="112"/>
      <c r="J164" s="112"/>
      <c r="S164" s="83"/>
    </row>
    <row r="165" spans="1:19">
      <c r="A165" s="135"/>
      <c r="B165" s="147" t="s">
        <v>43</v>
      </c>
      <c r="C165" s="160">
        <f>'Project Info'!$C$30</f>
        <v>1234567.8899999999</v>
      </c>
      <c r="D165" s="150"/>
      <c r="E165" s="107"/>
      <c r="F165" s="161" t="str">
        <f>Lookups!U30&amp;":"</f>
        <v>Date of Publication:</v>
      </c>
      <c r="G165" s="162"/>
      <c r="H165" s="163"/>
      <c r="I165" s="112"/>
      <c r="J165" s="112"/>
      <c r="S165" s="83"/>
    </row>
    <row r="166" spans="1:19">
      <c r="A166" s="135"/>
      <c r="B166" s="147" t="s">
        <v>61</v>
      </c>
      <c r="C166" s="107">
        <f>IF(C$143=0,C$165,C$143)</f>
        <v>3000000</v>
      </c>
      <c r="D166" s="150"/>
      <c r="E166" s="107"/>
      <c r="F166" s="164" t="s">
        <v>93</v>
      </c>
      <c r="G166" s="165">
        <f>Lookups!N30</f>
        <v>60</v>
      </c>
      <c r="H166" s="166" t="s">
        <v>94</v>
      </c>
      <c r="I166" s="112"/>
      <c r="J166" s="112"/>
    </row>
    <row r="167" spans="1:19">
      <c r="A167" s="135"/>
      <c r="B167" s="23" t="str">
        <f>Lookups!$O$30*100&amp;"% on 1st $"&amp;Lookups!$P$30</f>
        <v>3% on 1st $1000000</v>
      </c>
      <c r="C167" s="167">
        <f>IF(C166&gt;Lookups!$P$30,Lookups!$P$30,C166)</f>
        <v>1000000</v>
      </c>
      <c r="D167" s="168">
        <f>Lookups!$O$30</f>
        <v>0.03</v>
      </c>
      <c r="E167" s="107">
        <f>ROUND($C167*$D167,2)</f>
        <v>30000</v>
      </c>
      <c r="F167" s="164" t="s">
        <v>104</v>
      </c>
      <c r="G167" s="169"/>
      <c r="H167" s="170" t="str">
        <f>IF(ISBLANK(H165),"",H165+G166)</f>
        <v/>
      </c>
      <c r="I167" s="112"/>
      <c r="J167" s="112"/>
    </row>
    <row r="168" spans="1:19">
      <c r="A168" s="135"/>
      <c r="B168" s="23" t="str">
        <f>Lookups!$Q$30*100&amp;"% on next $"&amp;Lookups!$R$30</f>
        <v>2% on next $1000000</v>
      </c>
      <c r="C168" s="171">
        <f>IF(C166&gt;Lookups!$P$30+Lookups!$R$30,Lookups!$R$30,C166-C167)</f>
        <v>1000000</v>
      </c>
      <c r="D168" s="172">
        <f>Lookups!$Q$30</f>
        <v>0.02</v>
      </c>
      <c r="E168" s="107">
        <f>ROUND($C168*$D168,2)</f>
        <v>20000</v>
      </c>
      <c r="F168" s="164"/>
      <c r="G168" s="169"/>
      <c r="H168" s="173" t="str">
        <f>IF(ISBLANK(H165),"",LOOKUP(WEEKDAY(H167),DOW))</f>
        <v/>
      </c>
      <c r="I168" s="112"/>
      <c r="J168" s="112"/>
    </row>
    <row r="169" spans="1:19">
      <c r="A169" s="135"/>
      <c r="B169" s="23" t="str">
        <f>Lookups!$S$30*100&amp;"% on remainder"</f>
        <v>1% on remainder</v>
      </c>
      <c r="C169" s="174">
        <f>IF(D169=0,0,IF(C166&gt;Lookups!$P$30+Lookups!$R$30,C166-C167-C168,0))</f>
        <v>1000000</v>
      </c>
      <c r="D169" s="175">
        <f>Lookups!$S$30</f>
        <v>0.01</v>
      </c>
      <c r="E169" s="107">
        <f>ROUND($C169*$D169,2)</f>
        <v>10000</v>
      </c>
      <c r="F169" s="164" t="s">
        <v>106</v>
      </c>
      <c r="G169" s="169"/>
      <c r="H169" s="176" t="str">
        <f>IF(ISBLANK(H165),"",H165+G166+1)</f>
        <v/>
      </c>
      <c r="I169" s="112"/>
      <c r="J169" s="112"/>
    </row>
    <row r="170" spans="1:19">
      <c r="A170" s="135"/>
      <c r="B170" s="147" t="s">
        <v>29</v>
      </c>
      <c r="C170" s="107"/>
      <c r="D170" s="150"/>
      <c r="E170" s="157">
        <f>SUM(E167:E169)</f>
        <v>60000</v>
      </c>
      <c r="F170" s="177"/>
      <c r="G170" s="178"/>
      <c r="H170" s="179" t="str">
        <f>IF(ISBLANK(H165),"",LOOKUP(WEEKDAY(H169),DOW))</f>
        <v/>
      </c>
      <c r="I170" s="112"/>
      <c r="J170" s="112"/>
    </row>
    <row r="171" spans="1:19">
      <c r="A171" s="135"/>
      <c r="B171" s="147"/>
      <c r="C171" s="107"/>
      <c r="D171" s="150"/>
      <c r="E171" s="107"/>
      <c r="F171" s="107"/>
      <c r="G171" s="107"/>
      <c r="H171" s="107"/>
      <c r="I171" s="112"/>
      <c r="J171" s="112"/>
    </row>
    <row r="172" spans="1:19">
      <c r="A172" s="135"/>
      <c r="B172" s="147" t="s">
        <v>194</v>
      </c>
      <c r="C172" s="107"/>
      <c r="D172" s="150"/>
      <c r="E172" s="160">
        <f>H143</f>
        <v>3000000</v>
      </c>
      <c r="F172" s="107" t="str">
        <f>IF(E172&lt;0.01,Lookups!AC30,IF(E170&gt;E172, "Substantially performed before deferals", "Not Substantially performed before deferals"))</f>
        <v>Not Substantially performed before deferals</v>
      </c>
      <c r="G172" s="107"/>
      <c r="H172" s="107"/>
      <c r="I172" s="112"/>
      <c r="J172" s="112"/>
    </row>
    <row r="173" spans="1:19" ht="12" customHeight="1">
      <c r="A173" s="135"/>
      <c r="B173" s="147" t="s">
        <v>206</v>
      </c>
      <c r="C173" s="107"/>
      <c r="D173" s="150"/>
      <c r="E173" s="180"/>
      <c r="F173" s="181"/>
      <c r="G173" s="107"/>
      <c r="H173" s="107"/>
      <c r="I173" s="112"/>
      <c r="J173" s="112"/>
    </row>
    <row r="174" spans="1:19" ht="15">
      <c r="A174" s="135"/>
      <c r="B174" s="147" t="s">
        <v>109</v>
      </c>
      <c r="C174" s="107"/>
      <c r="D174" s="150"/>
      <c r="E174" s="182">
        <f>E172-E173</f>
        <v>3000000</v>
      </c>
      <c r="F174" s="181" t="str">
        <f>IF(E174&lt;0.01,Lookups!AC30,IF(E170&gt;E174,"Substantially performed","Not Substantially performed"))</f>
        <v>Not Substantially performed</v>
      </c>
      <c r="G174" s="107"/>
      <c r="H174" s="107"/>
      <c r="I174" s="112"/>
      <c r="J174" s="112"/>
    </row>
    <row r="175" spans="1:19" ht="17.25" customHeight="1">
      <c r="A175" s="135"/>
      <c r="B175" s="147" t="s">
        <v>89</v>
      </c>
      <c r="C175" s="107"/>
      <c r="D175" s="150"/>
      <c r="E175" s="107">
        <f>E170-E174</f>
        <v>-2940000</v>
      </c>
      <c r="F175" s="350" t="str">
        <f>IF($F$174="Substantially performed","Enter the value of the work completed to date (Amount this Draw) at substantial performance:","Leave blank until substantially performed:")</f>
        <v>Leave blank until substantially performed:</v>
      </c>
      <c r="G175" s="350"/>
      <c r="H175" s="107"/>
      <c r="I175" s="112"/>
      <c r="J175" s="112"/>
    </row>
    <row r="176" spans="1:19" ht="17.25" customHeight="1">
      <c r="A176" s="135"/>
      <c r="B176" s="147" t="s">
        <v>30</v>
      </c>
      <c r="C176" s="107"/>
      <c r="D176" s="153">
        <f>IF(C166=0,0,SUM(E167:E169)/C166)</f>
        <v>0.02</v>
      </c>
      <c r="E176" s="107"/>
      <c r="F176" s="350"/>
      <c r="G176" s="350"/>
      <c r="H176" s="298">
        <v>0</v>
      </c>
      <c r="I176" s="112"/>
      <c r="J176" s="112"/>
    </row>
    <row r="177" spans="1:10">
      <c r="A177" s="135"/>
      <c r="B177" s="109"/>
      <c r="C177" s="129"/>
      <c r="D177" s="146"/>
      <c r="E177" s="129"/>
      <c r="F177" s="129"/>
      <c r="G177" s="129"/>
      <c r="H177" s="129"/>
      <c r="I177" s="112"/>
      <c r="J177" s="112"/>
    </row>
    <row r="178" spans="1:10">
      <c r="A178" s="135"/>
      <c r="B178" s="109"/>
      <c r="C178" s="129"/>
      <c r="D178" s="146"/>
      <c r="E178" s="129"/>
      <c r="F178" s="129"/>
      <c r="G178" s="129"/>
      <c r="H178" s="129"/>
      <c r="I178" s="112"/>
      <c r="J178" s="112"/>
    </row>
    <row r="179" spans="1:10">
      <c r="A179" s="158" t="str">
        <f>"Holdback Released after "&amp;Lookups!U30 &amp;" of " &amp;Lookups!V30 &amp;": "</f>
        <v xml:space="preserve">Holdback Released after Date of Publication of Certificate of Substantial Performance: </v>
      </c>
      <c r="B179" s="158"/>
      <c r="C179" s="129"/>
      <c r="D179" s="109"/>
      <c r="E179" s="109"/>
      <c r="F179" s="109"/>
      <c r="G179" s="109"/>
      <c r="H179" s="159"/>
      <c r="I179" s="112"/>
      <c r="J179" s="112"/>
    </row>
    <row r="180" spans="1:10">
      <c r="A180" s="135"/>
      <c r="B180" s="147" t="s">
        <v>61</v>
      </c>
      <c r="C180" s="107">
        <f>IF(C$143=0,C$165,C$143)</f>
        <v>3000000</v>
      </c>
      <c r="D180" s="107"/>
      <c r="E180" s="107"/>
      <c r="F180" s="107"/>
      <c r="G180" s="107"/>
      <c r="H180" s="107"/>
      <c r="I180" s="112"/>
      <c r="J180" s="112"/>
    </row>
    <row r="181" spans="1:10" ht="24.75" customHeight="1">
      <c r="A181" s="159"/>
      <c r="B181" s="299" t="s">
        <v>408</v>
      </c>
      <c r="C181" s="300">
        <f>IF($H$176=0,ROUND($D$181*$G$181,2),ROUND($D$181*$H$176,2))</f>
        <v>0</v>
      </c>
      <c r="D181" s="301">
        <f>D148</f>
        <v>0.1</v>
      </c>
      <c r="E181" s="350" t="str">
        <f>IF($F$174="Substantially performed","of the value of work completed at substantial performance.","of the value of work completed to date. ")</f>
        <v xml:space="preserve">of the value of work completed to date. </v>
      </c>
      <c r="F181" s="350"/>
      <c r="G181" s="300">
        <f>IF($H$176=0,G$143,$H$176)</f>
        <v>0</v>
      </c>
      <c r="H181" s="107"/>
      <c r="I181" s="112"/>
      <c r="J181" s="112"/>
    </row>
    <row r="182" spans="1:10">
      <c r="A182" s="159"/>
      <c r="B182" s="147" t="s">
        <v>409</v>
      </c>
      <c r="C182" s="302">
        <f>ROUND((WorkFinished-$H$176)*D182,2)</f>
        <v>0</v>
      </c>
      <c r="D182" s="141">
        <f>IF($H$176=0,0,D149)</f>
        <v>0</v>
      </c>
      <c r="E182" s="107" t="str">
        <f>IF($H$176=0,"","of the value of work completed after substantial.")</f>
        <v/>
      </c>
      <c r="F182" s="107"/>
      <c r="G182" s="107"/>
      <c r="H182" s="107"/>
      <c r="I182" s="112"/>
      <c r="J182" s="112"/>
    </row>
    <row r="183" spans="1:10">
      <c r="A183" s="159"/>
      <c r="B183" s="147"/>
      <c r="C183" s="107">
        <f>C181+C182</f>
        <v>0</v>
      </c>
      <c r="D183" s="107"/>
      <c r="E183" s="107"/>
      <c r="F183" s="107"/>
      <c r="G183" s="107"/>
      <c r="H183" s="107"/>
      <c r="I183" s="112"/>
      <c r="J183" s="112"/>
    </row>
    <row r="184" spans="1:10">
      <c r="A184" s="159"/>
      <c r="B184" s="147" t="s">
        <v>195</v>
      </c>
      <c r="C184" s="107">
        <f>F$152</f>
        <v>0</v>
      </c>
      <c r="D184" s="107"/>
      <c r="E184" s="107"/>
      <c r="F184" s="115"/>
      <c r="G184" s="183"/>
      <c r="H184" s="107"/>
      <c r="I184" s="112"/>
      <c r="J184" s="112"/>
    </row>
    <row r="185" spans="1:10">
      <c r="A185" s="159"/>
      <c r="B185" s="147" t="s">
        <v>196</v>
      </c>
      <c r="C185" s="132">
        <f>C183-C184</f>
        <v>0</v>
      </c>
      <c r="D185" s="107"/>
      <c r="E185" s="107"/>
      <c r="F185" s="115"/>
      <c r="G185" s="107"/>
      <c r="H185" s="107"/>
      <c r="I185" s="112"/>
      <c r="J185" s="112"/>
    </row>
    <row r="186" spans="1:10">
      <c r="A186" s="159"/>
      <c r="B186" s="147"/>
      <c r="C186" s="107"/>
      <c r="D186" s="107"/>
      <c r="E186" s="107"/>
      <c r="F186" s="115"/>
      <c r="G186" s="107"/>
      <c r="H186" s="107"/>
      <c r="I186" s="112"/>
      <c r="J186" s="112"/>
    </row>
    <row r="187" spans="1:10">
      <c r="A187" s="159"/>
      <c r="B187" s="147"/>
      <c r="C187" s="107"/>
      <c r="D187" s="107"/>
      <c r="E187" s="184"/>
      <c r="F187" s="107"/>
      <c r="G187" s="107"/>
      <c r="H187" s="107"/>
      <c r="I187" s="112"/>
      <c r="J187" s="112"/>
    </row>
    <row r="188" spans="1:10" ht="15">
      <c r="A188" s="135"/>
      <c r="B188" s="147" t="s">
        <v>28</v>
      </c>
      <c r="C188" s="107"/>
      <c r="D188" s="107"/>
      <c r="E188" s="160">
        <f>H$143</f>
        <v>3000000</v>
      </c>
      <c r="F188" s="181"/>
      <c r="G188" s="107"/>
      <c r="H188" s="107"/>
      <c r="I188" s="112"/>
      <c r="J188" s="112"/>
    </row>
    <row r="189" spans="1:10">
      <c r="A189" s="135"/>
      <c r="B189" s="109"/>
      <c r="C189" s="129"/>
      <c r="D189" s="146"/>
      <c r="E189" s="129"/>
      <c r="F189" s="129"/>
      <c r="G189" s="129"/>
      <c r="H189" s="129"/>
      <c r="I189" s="112"/>
      <c r="J189" s="112"/>
    </row>
    <row r="190" spans="1:10">
      <c r="A190" s="135"/>
      <c r="B190" s="109"/>
      <c r="C190" s="129"/>
      <c r="D190" s="146"/>
      <c r="E190" s="129"/>
      <c r="F190" s="129"/>
      <c r="G190" s="129"/>
      <c r="H190" s="129"/>
      <c r="I190" s="112"/>
      <c r="J190" s="112"/>
    </row>
    <row r="191" spans="1:10">
      <c r="A191" s="158" t="str">
        <f>"Trial " &amp;Lookups!AA30 &amp;":"</f>
        <v>Trial Deemed Completion:</v>
      </c>
      <c r="B191" s="158"/>
      <c r="C191" s="129"/>
      <c r="D191" s="109"/>
      <c r="E191" s="76" t="str">
        <f>"Based on the "&amp;Lookups!$AE$30</f>
        <v>Based on the Construction Act, Ontario</v>
      </c>
      <c r="F191" s="109"/>
      <c r="G191" s="109"/>
      <c r="H191" s="159" t="s">
        <v>105</v>
      </c>
      <c r="I191" s="112"/>
      <c r="J191" s="112"/>
    </row>
    <row r="192" spans="1:10">
      <c r="A192" s="135"/>
      <c r="B192" s="147" t="s">
        <v>61</v>
      </c>
      <c r="C192" s="160">
        <f>IF(C143=0,C165,C143)</f>
        <v>3000000</v>
      </c>
      <c r="D192" s="107"/>
      <c r="E192" s="107"/>
      <c r="F192" s="161" t="str">
        <f>"Date "&amp;Lookups!$AD$30&amp;": "</f>
        <v xml:space="preserve">Date Deemed Complete: </v>
      </c>
      <c r="G192" s="162"/>
      <c r="H192" s="163"/>
      <c r="I192" s="112"/>
      <c r="J192" s="112"/>
    </row>
    <row r="193" spans="1:10">
      <c r="A193" s="135"/>
      <c r="B193" s="147" t="s">
        <v>193</v>
      </c>
      <c r="C193" s="107"/>
      <c r="D193" s="37">
        <f>Lookups!$Y$30</f>
        <v>0.01</v>
      </c>
      <c r="E193" s="107">
        <f>ROUND(C192*D193,2)</f>
        <v>30000</v>
      </c>
      <c r="F193" s="164" t="s">
        <v>93</v>
      </c>
      <c r="G193" s="165">
        <f>Lookups!X30</f>
        <v>60</v>
      </c>
      <c r="H193" s="166" t="s">
        <v>94</v>
      </c>
      <c r="I193" s="112"/>
      <c r="J193" s="112"/>
    </row>
    <row r="194" spans="1:10">
      <c r="A194" s="135"/>
      <c r="B194" s="23" t="str">
        <f>"B  " &amp; Act</f>
        <v>B  Construction Act, Ontario</v>
      </c>
      <c r="C194" s="107"/>
      <c r="D194" s="107"/>
      <c r="E194" s="316">
        <f>Lookups!$Z$30</f>
        <v>5000</v>
      </c>
      <c r="F194" s="164" t="s">
        <v>104</v>
      </c>
      <c r="G194" s="169"/>
      <c r="H194" s="170" t="str">
        <f>IF(ISBLANK(H192),"",H192+G193)</f>
        <v/>
      </c>
      <c r="I194" s="112"/>
      <c r="J194" s="112"/>
    </row>
    <row r="195" spans="1:10">
      <c r="A195" s="135"/>
      <c r="B195" s="23" t="str">
        <f>IF(TRIM(Province)="Ontario","  (Section 2 subsection (3) limit)","")</f>
        <v xml:space="preserve">  (Section 2 subsection (3) limit)</v>
      </c>
      <c r="C195" s="107"/>
      <c r="D195" s="107"/>
      <c r="E195" s="107"/>
      <c r="F195" s="164"/>
      <c r="G195" s="169"/>
      <c r="H195" s="173" t="str">
        <f>IF(ISBLANK(H192),"",LOOKUP(WEEKDAY(H194),DOW))</f>
        <v/>
      </c>
      <c r="I195" s="112"/>
      <c r="J195" s="112"/>
    </row>
    <row r="196" spans="1:10">
      <c r="A196" s="135"/>
      <c r="B196" s="147" t="s">
        <v>90</v>
      </c>
      <c r="C196" s="107"/>
      <c r="D196" s="107"/>
      <c r="E196" s="156">
        <f>IF(E193&gt;E194,E194,E193)</f>
        <v>5000</v>
      </c>
      <c r="F196" s="164" t="str">
        <f>"Release of " &amp;Lookups!AB30 &amp;":"</f>
        <v>Release of Finishing Holdback:</v>
      </c>
      <c r="G196" s="169"/>
      <c r="H196" s="176" t="str">
        <f>IF(ISBLANK(H192),"",H192+G193+1)</f>
        <v/>
      </c>
      <c r="I196" s="112"/>
      <c r="J196" s="112"/>
    </row>
    <row r="197" spans="1:10">
      <c r="A197" s="135"/>
      <c r="B197" s="147"/>
      <c r="C197" s="107"/>
      <c r="D197" s="107"/>
      <c r="E197" s="107"/>
      <c r="F197" s="177"/>
      <c r="G197" s="178"/>
      <c r="H197" s="179" t="str">
        <f>IF(ISBLANK(H192),"",LOOKUP(WEEKDAY(H196),DOW))</f>
        <v/>
      </c>
      <c r="I197" s="112"/>
      <c r="J197" s="112"/>
    </row>
    <row r="198" spans="1:10" ht="15">
      <c r="A198" s="135"/>
      <c r="B198" s="147" t="s">
        <v>28</v>
      </c>
      <c r="C198" s="107"/>
      <c r="D198" s="107"/>
      <c r="E198" s="160">
        <f>IF(D193=0,0,H143)</f>
        <v>3000000</v>
      </c>
      <c r="F198" s="181" t="str">
        <f>IF(D193=0,"Not Applicable",IF(E196&gt;E198,Lookups!$AD$30,"Not "&amp;Lookups!$AD$30))</f>
        <v>Not Deemed Complete</v>
      </c>
      <c r="G198" s="107"/>
      <c r="H198" s="107"/>
      <c r="I198" s="112"/>
      <c r="J198" s="112"/>
    </row>
    <row r="199" spans="1:10">
      <c r="A199" s="135"/>
      <c r="B199" s="109"/>
      <c r="C199" s="129"/>
      <c r="D199" s="146"/>
      <c r="E199" s="129"/>
      <c r="F199" s="129"/>
      <c r="G199" s="129"/>
      <c r="H199" s="195" t="str">
        <f>'Project Info'!$L$1</f>
        <v>Rev. 2019 01</v>
      </c>
      <c r="I199" s="112"/>
      <c r="J199" s="112"/>
    </row>
    <row r="200" spans="1:10">
      <c r="A200" s="103"/>
      <c r="B200" s="100"/>
      <c r="C200" s="102"/>
      <c r="D200" s="104"/>
      <c r="E200" s="102"/>
      <c r="F200" s="102"/>
      <c r="G200" s="102"/>
      <c r="H200" s="102"/>
      <c r="I200" s="101"/>
      <c r="J200" s="101"/>
    </row>
    <row r="201" spans="1:10">
      <c r="A201" s="76"/>
      <c r="B201" s="29"/>
      <c r="C201" s="34"/>
      <c r="D201" s="35"/>
      <c r="E201" s="34"/>
      <c r="F201" s="34"/>
      <c r="G201" s="34"/>
      <c r="H201" s="34"/>
    </row>
    <row r="202" spans="1:10">
      <c r="A202" s="76"/>
      <c r="B202" s="29"/>
      <c r="C202" s="34"/>
      <c r="D202" s="35"/>
      <c r="E202" s="34"/>
      <c r="F202" s="34"/>
      <c r="G202" s="34"/>
      <c r="H202" s="34"/>
    </row>
    <row r="203" spans="1:10">
      <c r="A203" s="76"/>
      <c r="B203" s="29"/>
      <c r="C203" s="34"/>
      <c r="D203" s="35"/>
      <c r="E203" s="34"/>
      <c r="F203" s="34"/>
      <c r="G203" s="34"/>
      <c r="H203" s="34"/>
    </row>
    <row r="204" spans="1:10">
      <c r="A204" s="76"/>
      <c r="B204" s="29"/>
      <c r="C204" s="34"/>
      <c r="D204" s="35"/>
      <c r="E204" s="34"/>
      <c r="F204" s="34"/>
      <c r="G204" s="34"/>
      <c r="H204" s="34"/>
    </row>
    <row r="205" spans="1:10">
      <c r="A205" s="76"/>
      <c r="B205" s="29"/>
      <c r="C205" s="34"/>
      <c r="D205" s="35"/>
      <c r="E205" s="34"/>
      <c r="F205" s="34"/>
      <c r="G205" s="34"/>
      <c r="H205" s="34"/>
    </row>
  </sheetData>
  <sheetProtection formatCells="0" insertRows="0" deleteRows="0" selectLockedCells="1"/>
  <mergeCells count="4">
    <mergeCell ref="C141:D141"/>
    <mergeCell ref="E141:F141"/>
    <mergeCell ref="F175:G176"/>
    <mergeCell ref="E181:F181"/>
  </mergeCells>
  <phoneticPr fontId="0" type="noConversion"/>
  <conditionalFormatting sqref="A113:A122 A104:A106">
    <cfRule type="expression" dxfId="13" priority="9" stopIfTrue="1">
      <formula>ISBLANK($I104)</formula>
    </cfRule>
  </conditionalFormatting>
  <conditionalFormatting sqref="E141">
    <cfRule type="expression" dxfId="12" priority="4" stopIfTrue="1">
      <formula>C141="-"</formula>
    </cfRule>
  </conditionalFormatting>
  <conditionalFormatting sqref="A127:A136">
    <cfRule type="expression" dxfId="11" priority="2" stopIfTrue="1">
      <formula>ISBLANK($I127)</formula>
    </cfRule>
  </conditionalFormatting>
  <conditionalFormatting sqref="C101">
    <cfRule type="expression" dxfId="10" priority="1">
      <formula>AND($C$101&lt;&gt;Contract_Amount,$D$101=0)</formula>
    </cfRule>
  </conditionalFormatting>
  <dataValidations disablePrompts="1" count="2">
    <dataValidation type="list" allowBlank="1" showInputMessage="1" showErrorMessage="1" errorTitle="One Cent Adjustment" error="An adjustment of 1 cent up or down is permitted to account for rounding error between this spreadsheet and the application for payment." sqref="G160">
      <formula1>"-0.01, 0, 0.01"</formula1>
    </dataValidation>
    <dataValidation type="list" allowBlank="1" showInputMessage="1" showErrorMessage="1" sqref="C141:D141">
      <formula1>CfP_Purpose</formula1>
    </dataValidation>
  </dataValidations>
  <pageMargins left="0.75" right="0.25" top="0.5" bottom="0.75" header="0.5" footer="0.5"/>
  <pageSetup fitToHeight="5" orientation="landscape" r:id="rId1"/>
  <headerFooter alignWithMargins="0">
    <oddFooter>Page &amp;P of &amp;N</oddFooter>
  </headerFooter>
  <rowBreaks count="1" manualBreakCount="1">
    <brk id="138" max="16383" man="1"/>
  </rowBreaks>
  <drawing r:id="rId2"/>
  <legacyDrawing r:id="rId3"/>
  <controls>
    <mc:AlternateContent xmlns:mc="http://schemas.openxmlformats.org/markup-compatibility/2006">
      <mc:Choice Requires="x14">
        <control shapeId="1030" r:id="rId4" name="New_AfP_Button">
          <controlPr defaultSize="0" print="0" autoFill="0" autoLine="0" r:id="rId5">
            <anchor>
              <from>
                <xdr:col>3</xdr:col>
                <xdr:colOff>47625</xdr:colOff>
                <xdr:row>0</xdr:row>
                <xdr:rowOff>57150</xdr:rowOff>
              </from>
              <to>
                <xdr:col>5</xdr:col>
                <xdr:colOff>180975</xdr:colOff>
                <xdr:row>4</xdr:row>
                <xdr:rowOff>95250</xdr:rowOff>
              </to>
            </anchor>
          </controlPr>
        </control>
      </mc:Choice>
      <mc:Fallback>
        <control shapeId="1030" r:id="rId4" name="New_AfP_Butt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5"/>
  <sheetViews>
    <sheetView workbookViewId="0">
      <selection activeCell="M1" sqref="M1"/>
    </sheetView>
  </sheetViews>
  <sheetFormatPr defaultRowHeight="12"/>
  <cols>
    <col min="1" max="1" width="5.7109375" customWidth="1"/>
    <col min="2" max="2" width="11.42578125" customWidth="1"/>
    <col min="3" max="3" width="12.7109375" customWidth="1"/>
    <col min="4" max="4" width="4.7109375" customWidth="1"/>
    <col min="5" max="5" width="15.7109375" customWidth="1"/>
    <col min="6" max="7" width="4.7109375" customWidth="1"/>
    <col min="8" max="8" width="20.7109375" customWidth="1"/>
    <col min="9" max="9" width="11.28515625" bestFit="1" customWidth="1"/>
    <col min="10" max="10" width="10.7109375" customWidth="1"/>
    <col min="11" max="11" width="2.5703125" customWidth="1"/>
    <col min="12" max="12" width="2.7109375" customWidth="1"/>
    <col min="13" max="13" width="12.7109375" bestFit="1" customWidth="1"/>
    <col min="14" max="14" width="20.5703125" hidden="1" customWidth="1"/>
    <col min="15" max="15" width="42.140625" customWidth="1"/>
  </cols>
  <sheetData>
    <row r="1" spans="1:15" ht="24">
      <c r="A1" s="201" t="str">
        <f>'Project Info'!C24</f>
        <v>Visionary Architects</v>
      </c>
      <c r="B1" s="201"/>
      <c r="C1" s="198"/>
      <c r="D1" s="198"/>
      <c r="E1" s="198"/>
      <c r="F1" s="198"/>
      <c r="G1" s="198"/>
      <c r="H1" s="199" t="s">
        <v>260</v>
      </c>
      <c r="I1" s="198"/>
      <c r="J1" s="198"/>
      <c r="K1" s="219"/>
      <c r="M1" s="227" t="s">
        <v>486</v>
      </c>
      <c r="N1" s="207" t="str">
        <f>IF($M$1="Template","App For Payment-" &amp; $M$1, IF($M$1&lt;10,"App For Payment-0" &amp; $M$1,"App For Payment-" &amp; $M$1))</f>
        <v>App For Payment-template</v>
      </c>
      <c r="O1" s="217" t="s">
        <v>240</v>
      </c>
    </row>
    <row r="2" spans="1:15" s="207" customFormat="1" ht="11.25">
      <c r="A2" s="202" t="str">
        <f>'Project Info'!C25</f>
        <v>Address line 1</v>
      </c>
      <c r="B2" s="202"/>
      <c r="C2" s="202"/>
      <c r="D2" s="202"/>
      <c r="E2" s="202"/>
      <c r="F2" s="202"/>
      <c r="G2" s="202"/>
      <c r="H2" s="202"/>
      <c r="I2" s="202"/>
      <c r="J2" s="202"/>
      <c r="K2" s="220"/>
      <c r="N2" s="207" t="str">
        <f>IF($M$1="Template","StartDate", IF($M$1&lt;2,"StartDate",IF($M$1&lt;11,"App For Payment-0" &amp; $M$1-1,"App For Payment-" &amp; $M$1-1)))</f>
        <v>StartDate</v>
      </c>
    </row>
    <row r="3" spans="1:15" s="207" customFormat="1" ht="11.25">
      <c r="A3" s="202" t="str">
        <f>'Project Info'!C26</f>
        <v>Address line 2</v>
      </c>
      <c r="B3" s="202"/>
      <c r="C3" s="202"/>
      <c r="D3" s="202"/>
      <c r="E3" s="202"/>
      <c r="F3" s="202"/>
      <c r="G3" s="202"/>
      <c r="H3" s="202"/>
      <c r="I3" s="202"/>
      <c r="J3" s="202"/>
      <c r="K3" s="220"/>
    </row>
    <row r="4" spans="1:15" s="207" customFormat="1" ht="12.75">
      <c r="A4" s="202" t="str">
        <f>"Tel: " &amp; 'Project Info'!C27 &amp; "     Fax: " &amp;  'Project Info'!C28</f>
        <v>Tel: (999) 123-4567     Fax: (000) 987-6543</v>
      </c>
      <c r="B4" s="202"/>
      <c r="C4" s="202"/>
      <c r="D4" s="202"/>
      <c r="E4" s="202"/>
      <c r="F4" s="202"/>
      <c r="G4" s="202"/>
      <c r="I4" s="202"/>
      <c r="J4" s="202"/>
      <c r="K4" s="220"/>
      <c r="N4" s="326">
        <f ca="1">COLUMN(INDIRECT("'"&amp; $N$1 &amp; "'" &amp;"!CertQualifier"))</f>
        <v>3</v>
      </c>
    </row>
    <row r="5" spans="1:15" s="207" customFormat="1" ht="12.75">
      <c r="A5" s="202"/>
      <c r="B5" s="202"/>
      <c r="C5" s="202"/>
      <c r="D5" s="202"/>
      <c r="E5" s="202"/>
      <c r="F5" s="202"/>
      <c r="G5" s="202"/>
      <c r="H5" s="202"/>
      <c r="I5" s="202"/>
      <c r="J5" s="202"/>
      <c r="K5" s="220"/>
      <c r="N5" s="326">
        <f ca="1">ROW(INDIRECT("'"&amp; $N$1 &amp; "'" &amp;"!CertQualifier"))</f>
        <v>141</v>
      </c>
    </row>
    <row r="6" spans="1:15" ht="15.75">
      <c r="A6" s="197" t="s">
        <v>238</v>
      </c>
      <c r="B6" s="197"/>
      <c r="C6" s="201" t="str">
        <f>'Project Info'!C22</f>
        <v>Award Winner</v>
      </c>
      <c r="D6" s="197"/>
      <c r="E6" s="197"/>
      <c r="F6" s="197"/>
      <c r="G6" s="197"/>
      <c r="H6" s="197" t="s">
        <v>261</v>
      </c>
      <c r="I6" s="228" t="str">
        <f>$M$1</f>
        <v>template</v>
      </c>
      <c r="K6" s="219"/>
      <c r="N6" s="264" t="str">
        <f ca="1">ADDRESS(N5,N4,4,1)</f>
        <v>C141</v>
      </c>
    </row>
    <row r="7" spans="1:15" ht="14.25">
      <c r="A7" s="197" t="s">
        <v>152</v>
      </c>
      <c r="B7" s="197"/>
      <c r="C7" s="200" t="str">
        <f>'Project Info'!C21</f>
        <v>18.32001.00</v>
      </c>
      <c r="D7" s="197"/>
      <c r="E7" s="197"/>
      <c r="F7" s="197"/>
      <c r="G7" s="197"/>
      <c r="H7" s="225" t="str">
        <f ca="1">IF(INDIRECT("'"&amp; $N$1 &amp; "'" &amp; "!CertQualifier")="-","Select Certificate qualifier in cell " &amp; $N$6 &amp; " on the AfP tab before printing this certificate.",INDIRECT("'"&amp; $N$1 &amp; "'" &amp;"!CertQualifier"))</f>
        <v>Select Certificate qualifier in cell C141 on the AfP tab before printing this certificate.</v>
      </c>
      <c r="I7" s="197"/>
      <c r="J7" s="197"/>
      <c r="K7" s="219"/>
    </row>
    <row r="8" spans="1:15" ht="14.25">
      <c r="A8" s="197" t="s">
        <v>239</v>
      </c>
      <c r="B8" s="197"/>
      <c r="C8" s="200" t="str">
        <f>'Project Info'!C16</f>
        <v>Favourite Client Company</v>
      </c>
      <c r="D8" s="197"/>
      <c r="E8" s="197"/>
      <c r="F8" s="197"/>
      <c r="G8" s="197"/>
      <c r="H8" s="197" t="s">
        <v>262</v>
      </c>
      <c r="I8" s="229" t="str">
        <f ca="1">TEXT(INDIRECT("'"&amp; $N$1 &amp; "'" &amp;"!IssueDate"), "YYYY MM DD")</f>
        <v>2021 06 16</v>
      </c>
      <c r="J8" s="197"/>
      <c r="K8" s="219"/>
    </row>
    <row r="9" spans="1:15" s="208" customFormat="1" ht="12.75">
      <c r="A9" s="197"/>
      <c r="B9" s="197"/>
      <c r="C9" s="197" t="str">
        <f>'Project Info'!C17</f>
        <v>Client Address 1</v>
      </c>
      <c r="D9" s="197"/>
      <c r="E9" s="197"/>
      <c r="F9" s="197"/>
      <c r="G9" s="197"/>
      <c r="H9" s="197"/>
      <c r="I9" s="197"/>
      <c r="J9" s="197"/>
      <c r="K9" s="221"/>
    </row>
    <row r="10" spans="1:15" s="208" customFormat="1" ht="12.75">
      <c r="A10" s="197"/>
      <c r="B10" s="197"/>
      <c r="C10" s="197" t="str">
        <f>'Project Info'!C18</f>
        <v>Client Address 2</v>
      </c>
      <c r="D10" s="197"/>
      <c r="E10" s="197"/>
      <c r="F10" s="197"/>
      <c r="G10" s="197"/>
      <c r="H10" s="197"/>
      <c r="I10" s="197"/>
      <c r="J10" s="197"/>
      <c r="K10" s="221"/>
    </row>
    <row r="11" spans="1:15" s="207" customFormat="1" ht="11.25">
      <c r="A11" s="202"/>
      <c r="B11" s="202"/>
      <c r="C11" s="202"/>
      <c r="D11" s="202"/>
      <c r="E11" s="202"/>
      <c r="F11" s="202"/>
      <c r="G11" s="202"/>
      <c r="H11" s="202"/>
      <c r="I11" s="202"/>
      <c r="J11" s="202"/>
      <c r="K11" s="220"/>
    </row>
    <row r="12" spans="1:15" ht="14.25">
      <c r="A12" s="197" t="s">
        <v>243</v>
      </c>
      <c r="B12" s="197"/>
      <c r="C12" s="200" t="str">
        <f>'Project Info'!C19</f>
        <v>Favourite Person</v>
      </c>
      <c r="D12" s="197"/>
      <c r="E12" s="197"/>
      <c r="F12" s="197"/>
      <c r="G12" s="197"/>
      <c r="H12" s="197" t="s">
        <v>263</v>
      </c>
      <c r="I12" s="224"/>
      <c r="J12" s="197"/>
      <c r="K12" s="219"/>
    </row>
    <row r="13" spans="1:15" s="207" customFormat="1" ht="11.25">
      <c r="A13" s="202"/>
      <c r="B13" s="202"/>
      <c r="C13" s="202"/>
      <c r="D13" s="202"/>
      <c r="E13" s="202"/>
      <c r="F13" s="202"/>
      <c r="G13" s="202"/>
      <c r="H13" s="202"/>
      <c r="I13" s="202"/>
      <c r="J13" s="202"/>
      <c r="K13" s="220"/>
    </row>
    <row r="14" spans="1:15" ht="54" customHeight="1">
      <c r="A14" s="351" t="str">
        <f ca="1">"This is to certify that "&amp;'Project Info'!C29&amp;" has completed work and delivered products to the place of the work to date, to the value of "&amp;TEXT(E31,"$#,##0.00")&amp;" and is entitled to "&amp;TEXT(H43,"$#,##0.00")&amp;" for the period from " &amp; TEXT( INDIRECT($N$2), "MMMM DD, YYYY")&amp;" to "&amp;TEXT( INDIRECT("'"&amp;$N$1&amp;"'"&amp;"!PeriodEnding"),"MMMM DD, YYYY")&amp;"."</f>
        <v>This is to certify that Quality Contractors Inc. has completed work and delivered products to the place of the work to date, to the value of $0.00 and is entitled to $0.00 for the period from July 01, 2018 to July 31, 2018.</v>
      </c>
      <c r="B14" s="351"/>
      <c r="C14" s="351"/>
      <c r="D14" s="351"/>
      <c r="E14" s="351"/>
      <c r="F14" s="351"/>
      <c r="G14" s="351"/>
      <c r="H14" s="351"/>
      <c r="I14" s="351"/>
      <c r="J14" s="351"/>
      <c r="K14" s="219"/>
    </row>
    <row r="15" spans="1:15" s="207" customFormat="1" ht="23.45" customHeight="1">
      <c r="A15" s="354" t="s">
        <v>257</v>
      </c>
      <c r="B15" s="354"/>
      <c r="C15" s="354"/>
      <c r="D15" s="354"/>
      <c r="E15" s="354"/>
      <c r="F15" s="354"/>
      <c r="G15" s="354"/>
      <c r="H15" s="354"/>
      <c r="I15" s="354"/>
      <c r="J15" s="354"/>
      <c r="K15" s="220"/>
    </row>
    <row r="16" spans="1:15" s="207" customFormat="1" ht="11.25">
      <c r="A16" s="202"/>
      <c r="B16" s="202"/>
      <c r="C16" s="202"/>
      <c r="D16" s="202"/>
      <c r="E16" s="202"/>
      <c r="F16" s="202"/>
      <c r="G16" s="202"/>
      <c r="H16" s="202"/>
      <c r="I16" s="202"/>
      <c r="J16" s="202"/>
      <c r="K16" s="220"/>
    </row>
    <row r="17" spans="1:11" s="207" customFormat="1" ht="30.6" customHeight="1">
      <c r="A17" s="355" t="s">
        <v>461</v>
      </c>
      <c r="B17" s="355"/>
      <c r="C17" s="355"/>
      <c r="D17" s="355"/>
      <c r="E17" s="355"/>
      <c r="F17" s="355"/>
      <c r="G17" s="355"/>
      <c r="H17" s="355"/>
      <c r="I17" s="355"/>
      <c r="J17" s="355"/>
      <c r="K17" s="220"/>
    </row>
    <row r="18" spans="1:11" s="207" customFormat="1" ht="11.25">
      <c r="A18" s="202"/>
      <c r="B18" s="202"/>
      <c r="C18" s="202"/>
      <c r="D18" s="202"/>
      <c r="E18" s="202"/>
      <c r="F18" s="202"/>
      <c r="G18" s="202"/>
      <c r="H18" s="202"/>
      <c r="I18" s="202"/>
      <c r="J18" s="202"/>
      <c r="K18" s="220"/>
    </row>
    <row r="19" spans="1:11" s="207" customFormat="1" ht="15">
      <c r="A19" s="353" t="str">
        <f>'Project Info'!C24</f>
        <v>Visionary Architects</v>
      </c>
      <c r="B19" s="353"/>
      <c r="C19" s="353"/>
      <c r="D19" s="353"/>
      <c r="E19" s="353"/>
      <c r="F19" s="198"/>
      <c r="G19" s="198"/>
      <c r="H19" s="353" t="str">
        <f>'Project Info'!C29</f>
        <v>Quality Contractors Inc.</v>
      </c>
      <c r="I19" s="353"/>
      <c r="J19" s="353"/>
      <c r="K19" s="220"/>
    </row>
    <row r="20" spans="1:11" s="207" customFormat="1" ht="11.25">
      <c r="A20" s="202"/>
      <c r="B20" s="202"/>
      <c r="C20" s="202"/>
      <c r="D20" s="202"/>
      <c r="E20" s="202"/>
      <c r="F20" s="202"/>
      <c r="G20" s="202"/>
      <c r="H20" s="202"/>
      <c r="I20" s="202"/>
      <c r="J20" s="202"/>
      <c r="K20" s="220"/>
    </row>
    <row r="21" spans="1:11" s="207" customFormat="1" ht="23.45" customHeight="1">
      <c r="A21" s="202" t="s">
        <v>275</v>
      </c>
      <c r="B21" s="352"/>
      <c r="C21" s="352"/>
      <c r="D21" s="352"/>
      <c r="E21" s="352"/>
      <c r="F21" s="202"/>
      <c r="G21" s="202"/>
      <c r="H21" s="352"/>
      <c r="I21" s="352"/>
      <c r="J21" s="352"/>
      <c r="K21" s="220"/>
    </row>
    <row r="22" spans="1:11" s="207" customFormat="1" ht="11.25">
      <c r="A22" s="203" t="s">
        <v>258</v>
      </c>
      <c r="B22" s="203"/>
      <c r="C22" s="203"/>
      <c r="D22" s="203"/>
      <c r="E22" s="203"/>
      <c r="F22" s="202"/>
      <c r="G22" s="202"/>
      <c r="H22" s="203" t="s">
        <v>259</v>
      </c>
      <c r="I22" s="203"/>
      <c r="J22" s="203"/>
      <c r="K22" s="220"/>
    </row>
    <row r="23" spans="1:11" s="207" customFormat="1" ht="11.25">
      <c r="J23" s="202"/>
      <c r="K23" s="220"/>
    </row>
    <row r="24" spans="1:11" s="207" customFormat="1" ht="18.95" customHeight="1">
      <c r="A24" s="202"/>
      <c r="B24" s="202"/>
      <c r="C24" s="202"/>
      <c r="D24" s="202"/>
      <c r="E24" s="202"/>
      <c r="F24" s="202"/>
      <c r="G24" s="202"/>
      <c r="H24" s="352"/>
      <c r="I24" s="352"/>
      <c r="J24" s="352"/>
      <c r="K24" s="220"/>
    </row>
    <row r="25" spans="1:11" s="207" customFormat="1" ht="11.25">
      <c r="H25" s="203" t="s">
        <v>274</v>
      </c>
      <c r="I25" s="203"/>
      <c r="J25" s="203"/>
      <c r="K25" s="220"/>
    </row>
    <row r="26" spans="1:11" s="207" customFormat="1" ht="11.25">
      <c r="A26" s="216"/>
      <c r="B26" s="216"/>
      <c r="C26" s="216"/>
      <c r="D26" s="216"/>
      <c r="E26" s="216"/>
      <c r="F26" s="216"/>
      <c r="G26" s="216"/>
      <c r="H26" s="216"/>
      <c r="I26" s="216"/>
      <c r="J26" s="216"/>
      <c r="K26" s="220"/>
    </row>
    <row r="27" spans="1:11" s="207" customFormat="1" ht="11.25">
      <c r="H27" s="304"/>
      <c r="I27" s="304"/>
      <c r="J27" s="304"/>
      <c r="K27" s="220"/>
    </row>
    <row r="28" spans="1:11" s="208" customFormat="1" ht="14.25">
      <c r="A28" s="197" t="s">
        <v>244</v>
      </c>
      <c r="B28" s="197"/>
      <c r="C28" s="197"/>
      <c r="D28" s="197"/>
      <c r="E28" s="209">
        <f>'Project Info'!$C$30</f>
        <v>1234567.8899999999</v>
      </c>
      <c r="F28" s="197"/>
      <c r="G28" s="197"/>
      <c r="H28" s="197"/>
      <c r="I28" s="197"/>
      <c r="J28" s="197"/>
      <c r="K28" s="219"/>
    </row>
    <row r="29" spans="1:11" s="208" customFormat="1" ht="14.25">
      <c r="A29" s="197" t="s">
        <v>245</v>
      </c>
      <c r="B29" s="197"/>
      <c r="C29" s="197"/>
      <c r="D29" s="197"/>
      <c r="E29" s="197">
        <f ca="1">INDIRECT("'"&amp; $N$1 &amp; "'" &amp;"!ChangesToDate")</f>
        <v>0</v>
      </c>
      <c r="F29" s="197"/>
      <c r="G29" s="197"/>
      <c r="H29" s="197"/>
      <c r="I29" s="197"/>
      <c r="J29" s="197"/>
      <c r="K29" s="219"/>
    </row>
    <row r="30" spans="1:11" s="208" customFormat="1" ht="14.25">
      <c r="A30" s="200" t="s">
        <v>246</v>
      </c>
      <c r="B30" s="197"/>
      <c r="C30" s="197"/>
      <c r="D30" s="210"/>
      <c r="E30" s="211">
        <f ca="1">E28+E29</f>
        <v>1234567.8899999999</v>
      </c>
      <c r="F30" s="197"/>
      <c r="G30" s="210"/>
      <c r="H30" s="211">
        <f ca="1">E30</f>
        <v>1234567.8899999999</v>
      </c>
      <c r="I30" s="197"/>
      <c r="J30" s="197"/>
      <c r="K30" s="219"/>
    </row>
    <row r="31" spans="1:11" s="208" customFormat="1" ht="18">
      <c r="A31" s="197" t="s">
        <v>247</v>
      </c>
      <c r="B31" s="197"/>
      <c r="C31" s="197"/>
      <c r="D31" s="197"/>
      <c r="E31" s="212">
        <f ca="1">INDIRECT("'"&amp; $N$1 &amp; "'" &amp;"!WorkFinished")</f>
        <v>0</v>
      </c>
      <c r="F31" s="197"/>
      <c r="G31" s="197"/>
      <c r="H31" s="197"/>
      <c r="I31" s="197"/>
      <c r="J31" s="197"/>
      <c r="K31" s="230"/>
    </row>
    <row r="32" spans="1:11" s="208" customFormat="1" ht="14.25">
      <c r="A32" s="197" t="s">
        <v>248</v>
      </c>
      <c r="B32" s="197"/>
      <c r="C32" s="197"/>
      <c r="D32" s="197"/>
      <c r="E32" s="212">
        <f ca="1">INDIRECT("'"&amp; $N$1 &amp; "'" &amp;"!DeficiencyRetainage")</f>
        <v>0</v>
      </c>
      <c r="F32" s="197"/>
      <c r="G32" s="197"/>
      <c r="H32" s="197"/>
      <c r="I32" s="197"/>
      <c r="J32" s="197"/>
      <c r="K32" s="219"/>
    </row>
    <row r="33" spans="1:11" s="208" customFormat="1" ht="14.25">
      <c r="A33" s="197" t="str">
        <f xml:space="preserve"> "Statutory Holdback (basic) @ " &amp; TEXT('Project Info'!C37*100,"#0") &amp; " %"</f>
        <v>Statutory Holdback (basic) @ 10 %</v>
      </c>
      <c r="B33" s="197"/>
      <c r="C33" s="197"/>
      <c r="D33" s="197"/>
      <c r="E33" s="212">
        <f ca="1">INDIRECT("'"&amp; $N$1 &amp; "'" &amp;"!StatHoldback")</f>
        <v>0</v>
      </c>
      <c r="F33" s="197"/>
      <c r="G33" s="197"/>
      <c r="H33" s="197"/>
      <c r="I33" s="197"/>
      <c r="J33" s="197"/>
      <c r="K33" s="219"/>
    </row>
    <row r="34" spans="1:11" s="208" customFormat="1" ht="14.25">
      <c r="A34" s="197" t="str">
        <f xml:space="preserve"> "Statutory Holdback (finishing) @ " &amp; TEXT('Project Info'!C38*100,"#0") &amp; " %"</f>
        <v>Statutory Holdback (finishing) @ 10 %</v>
      </c>
      <c r="B34" s="197"/>
      <c r="C34" s="197"/>
      <c r="D34" s="197"/>
      <c r="E34" s="212">
        <f ca="1">INDIRECT("'"&amp; $N$1 &amp; "'" &amp;"!StatFinHoldback")</f>
        <v>0</v>
      </c>
      <c r="F34" s="197"/>
      <c r="G34" s="197"/>
      <c r="H34" s="197"/>
      <c r="I34" s="197"/>
      <c r="J34" s="197"/>
      <c r="K34" s="219"/>
    </row>
    <row r="35" spans="1:11" s="208" customFormat="1" ht="14.25">
      <c r="A35" s="197" t="s">
        <v>249</v>
      </c>
      <c r="B35" s="197"/>
      <c r="C35" s="197"/>
      <c r="D35" s="210"/>
      <c r="E35" s="213">
        <f ca="1">E31-E32-E33-E34</f>
        <v>0</v>
      </c>
      <c r="F35" s="197"/>
      <c r="G35" s="210"/>
      <c r="H35" s="214">
        <f ca="1">E35</f>
        <v>0</v>
      </c>
      <c r="I35" s="197"/>
      <c r="J35" s="197"/>
      <c r="K35" s="219"/>
    </row>
    <row r="36" spans="1:11" s="208" customFormat="1" ht="14.25">
      <c r="A36" s="197" t="s">
        <v>250</v>
      </c>
      <c r="B36" s="197"/>
      <c r="C36" s="197"/>
      <c r="D36" s="197"/>
      <c r="E36" s="212">
        <f ca="1">INDIRECT("'"&amp; $N$1 &amp; "'" &amp;"!HbPrevRel")</f>
        <v>0</v>
      </c>
      <c r="F36" s="197"/>
      <c r="G36" s="197"/>
      <c r="H36" s="197"/>
      <c r="I36" s="197"/>
      <c r="J36" s="197"/>
      <c r="K36" s="219"/>
    </row>
    <row r="37" spans="1:11" s="208" customFormat="1" ht="14.25">
      <c r="A37" s="197" t="s">
        <v>255</v>
      </c>
      <c r="B37" s="197"/>
      <c r="C37" s="197"/>
      <c r="D37" s="197"/>
      <c r="E37" s="212">
        <f ca="1">INDIRECT("'"&amp; $N$1 &amp; "'" &amp;"!HbCurRel")</f>
        <v>0</v>
      </c>
      <c r="F37" s="197"/>
      <c r="G37" s="197"/>
      <c r="H37" s="197"/>
      <c r="I37" s="197"/>
      <c r="J37" s="197"/>
      <c r="K37" s="219"/>
    </row>
    <row r="38" spans="1:11" s="208" customFormat="1" ht="14.25">
      <c r="A38" s="197" t="s">
        <v>251</v>
      </c>
      <c r="B38" s="197"/>
      <c r="C38" s="197"/>
      <c r="D38" s="210"/>
      <c r="E38" s="213">
        <f ca="1">E36+E37</f>
        <v>0</v>
      </c>
      <c r="F38" s="197"/>
      <c r="G38" s="210"/>
      <c r="H38" s="214">
        <f ca="1">E38</f>
        <v>0</v>
      </c>
      <c r="I38" s="197"/>
      <c r="J38" s="197"/>
      <c r="K38" s="219"/>
    </row>
    <row r="39" spans="1:11" s="208" customFormat="1" ht="18">
      <c r="A39" s="197" t="s">
        <v>252</v>
      </c>
      <c r="B39" s="197"/>
      <c r="C39" s="197"/>
      <c r="D39" s="197"/>
      <c r="E39" s="197"/>
      <c r="F39" s="197"/>
      <c r="G39" s="197"/>
      <c r="H39" s="212">
        <f ca="1">INDIRECT("'"&amp; $N$1 &amp; "'" &amp;"!PayableToDate")</f>
        <v>0</v>
      </c>
      <c r="I39" s="197"/>
      <c r="J39" s="197"/>
      <c r="K39" s="230"/>
    </row>
    <row r="40" spans="1:11" s="208" customFormat="1" ht="14.25">
      <c r="A40" s="197" t="s">
        <v>253</v>
      </c>
      <c r="B40" s="197"/>
      <c r="C40" s="197"/>
      <c r="D40" s="197"/>
      <c r="E40" s="197"/>
      <c r="F40" s="197"/>
      <c r="G40" s="197"/>
      <c r="H40" s="212">
        <f ca="1">INDIRECT("'"&amp; $N$1 &amp; "'" &amp;"!PreviouslyPayable")</f>
        <v>0</v>
      </c>
      <c r="I40" s="197"/>
      <c r="J40" s="197"/>
      <c r="K40" s="219"/>
    </row>
    <row r="41" spans="1:11" s="208" customFormat="1" ht="14.25">
      <c r="A41" s="200" t="s">
        <v>254</v>
      </c>
      <c r="B41" s="197"/>
      <c r="C41" s="197"/>
      <c r="D41" s="197"/>
      <c r="E41" s="197"/>
      <c r="F41" s="197"/>
      <c r="G41" s="197"/>
      <c r="H41" s="209">
        <f ca="1">H39-H40</f>
        <v>0</v>
      </c>
      <c r="I41" s="197"/>
      <c r="J41" s="197"/>
      <c r="K41" s="219"/>
    </row>
    <row r="42" spans="1:11" s="208" customFormat="1" ht="18">
      <c r="A42" s="197" t="str">
        <f ca="1">"Applicable Taxes for Place of the Work " &amp; 'Project Info'!C42 &amp; " @ " &amp; TEXT('Project Info'!C41*100,"#0") &amp; " %"</f>
        <v>Applicable Taxes for Place of the Work HST @ 13 %</v>
      </c>
      <c r="B42" s="197"/>
      <c r="C42" s="197"/>
      <c r="D42" s="197"/>
      <c r="E42" s="197"/>
      <c r="F42" s="197"/>
      <c r="G42" s="197"/>
      <c r="H42" s="212">
        <f ca="1">INDIRECT("'"&amp; $N$1 &amp; "'" &amp;"!TaxesThisIssue")</f>
        <v>0</v>
      </c>
      <c r="I42" s="197"/>
      <c r="J42" s="197"/>
      <c r="K42" s="230"/>
    </row>
    <row r="43" spans="1:11" s="208" customFormat="1" ht="14.25">
      <c r="A43" s="200" t="s">
        <v>256</v>
      </c>
      <c r="B43" s="197"/>
      <c r="C43" s="197"/>
      <c r="D43" s="197"/>
      <c r="E43" s="197"/>
      <c r="F43" s="197"/>
      <c r="G43" s="210"/>
      <c r="H43" s="215">
        <f ca="1">INDIRECT("'"&amp; $N$1 &amp; "'" &amp;"!TotalPayable")</f>
        <v>0</v>
      </c>
      <c r="I43" s="197"/>
      <c r="J43" s="197"/>
      <c r="K43" s="219"/>
    </row>
    <row r="44" spans="1:11">
      <c r="A44" s="216"/>
      <c r="B44" s="216"/>
      <c r="C44" s="216"/>
      <c r="D44" s="216"/>
      <c r="E44" s="216"/>
      <c r="F44" s="216"/>
      <c r="G44" s="216"/>
      <c r="H44" s="216"/>
      <c r="I44" s="216"/>
      <c r="J44" s="216"/>
      <c r="K44" s="222"/>
    </row>
    <row r="45" spans="1:11">
      <c r="A45" s="223"/>
      <c r="B45" s="223"/>
      <c r="C45" s="223"/>
      <c r="D45" s="223"/>
      <c r="E45" s="223"/>
      <c r="F45" s="223"/>
      <c r="G45" s="223"/>
      <c r="H45" s="223"/>
      <c r="I45" s="223"/>
      <c r="J45" s="223"/>
      <c r="K45" s="222"/>
    </row>
  </sheetData>
  <sheetProtection formatCells="0" formatColumns="0" formatRows="0" selectLockedCells="1"/>
  <mergeCells count="8">
    <mergeCell ref="A14:J14"/>
    <mergeCell ref="B21:E21"/>
    <mergeCell ref="H21:J21"/>
    <mergeCell ref="H24:J24"/>
    <mergeCell ref="A19:E19"/>
    <mergeCell ref="H19:J19"/>
    <mergeCell ref="A15:J15"/>
    <mergeCell ref="A17:J17"/>
  </mergeCells>
  <conditionalFormatting sqref="H7">
    <cfRule type="expression" dxfId="9" priority="2" stopIfTrue="1">
      <formula>LEFT(H7,6)="Select"</formula>
    </cfRule>
  </conditionalFormatting>
  <conditionalFormatting sqref="I12">
    <cfRule type="expression" dxfId="8" priority="1" stopIfTrue="1">
      <formula>ISBLANK(I12)</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4"/>
  <sheetViews>
    <sheetView workbookViewId="0">
      <selection activeCell="M1" sqref="M1"/>
    </sheetView>
  </sheetViews>
  <sheetFormatPr defaultRowHeight="12"/>
  <cols>
    <col min="1" max="1" width="5.7109375" customWidth="1"/>
    <col min="2" max="2" width="11.42578125" customWidth="1"/>
    <col min="3" max="3" width="12.7109375" customWidth="1"/>
    <col min="4" max="4" width="4.7109375" customWidth="1"/>
    <col min="5" max="5" width="15.7109375" customWidth="1"/>
    <col min="6" max="7" width="4.7109375" customWidth="1"/>
    <col min="8" max="8" width="20.7109375" customWidth="1"/>
    <col min="9" max="9" width="11.28515625" bestFit="1" customWidth="1"/>
    <col min="10" max="10" width="10.7109375" customWidth="1"/>
    <col min="11" max="11" width="2.5703125" customWidth="1"/>
    <col min="12" max="12" width="2.7109375" customWidth="1"/>
    <col min="13" max="13" width="12.7109375" customWidth="1"/>
    <col min="14" max="14" width="20.5703125" hidden="1" customWidth="1"/>
    <col min="15" max="15" width="42.140625" customWidth="1"/>
  </cols>
  <sheetData>
    <row r="1" spans="1:15" ht="24">
      <c r="A1" s="201" t="str">
        <f>'Project Info'!C24</f>
        <v>Visionary Architects</v>
      </c>
      <c r="B1" s="201"/>
      <c r="C1" s="198"/>
      <c r="D1" s="198"/>
      <c r="E1" s="198"/>
      <c r="F1" s="198"/>
      <c r="G1" s="198"/>
      <c r="H1" s="199" t="s">
        <v>260</v>
      </c>
      <c r="I1" s="198"/>
      <c r="J1" s="198"/>
      <c r="K1" s="219"/>
      <c r="M1" s="227" t="s">
        <v>486</v>
      </c>
      <c r="N1" s="207" t="str">
        <f>IF($M$1="Template","App For Payment-" &amp; $M$1, IF($M$1&lt;10,"App For Payment-0" &amp; $M$1,"App For Payment-" &amp; $M$1))</f>
        <v>App For Payment-template</v>
      </c>
      <c r="O1" s="217" t="s">
        <v>240</v>
      </c>
    </row>
    <row r="2" spans="1:15" s="207" customFormat="1" ht="11.25">
      <c r="A2" s="202" t="str">
        <f>'Project Info'!C25</f>
        <v>Address line 1</v>
      </c>
      <c r="B2" s="202"/>
      <c r="C2" s="202"/>
      <c r="D2" s="202"/>
      <c r="E2" s="202"/>
      <c r="F2" s="202"/>
      <c r="G2" s="202"/>
      <c r="H2" s="202"/>
      <c r="I2" s="202"/>
      <c r="J2" s="202"/>
      <c r="K2" s="220"/>
      <c r="N2" s="207" t="str">
        <f>IF($M$1="Template","StartDate", IF($M$1&lt;2,"StartDate",IF($M$1&lt;11,"App For Payment-0" &amp; $M$1-1,"App For Payment-" &amp; $M$1-1)))</f>
        <v>StartDate</v>
      </c>
    </row>
    <row r="3" spans="1:15" s="207" customFormat="1" ht="11.25">
      <c r="A3" s="202" t="str">
        <f>'Project Info'!C26</f>
        <v>Address line 2</v>
      </c>
      <c r="B3" s="202"/>
      <c r="C3" s="202"/>
      <c r="D3" s="202"/>
      <c r="E3" s="202"/>
      <c r="F3" s="202"/>
      <c r="G3" s="202"/>
      <c r="H3" s="202"/>
      <c r="I3" s="202"/>
      <c r="J3" s="202"/>
      <c r="K3" s="220"/>
    </row>
    <row r="4" spans="1:15" s="207" customFormat="1" ht="12.75">
      <c r="A4" s="202" t="str">
        <f>"Tel: " &amp; 'Project Info'!C27 &amp; "     Fax: " &amp;  'Project Info'!C28</f>
        <v>Tel: (999) 123-4567     Fax: (000) 987-6543</v>
      </c>
      <c r="B4" s="202"/>
      <c r="C4" s="202"/>
      <c r="D4" s="202"/>
      <c r="E4" s="202"/>
      <c r="F4" s="202"/>
      <c r="G4" s="202"/>
      <c r="I4" s="202"/>
      <c r="J4" s="202"/>
      <c r="K4" s="220"/>
      <c r="N4" s="326">
        <f ca="1">COLUMN(INDIRECT("'"&amp; $N$1 &amp; "'" &amp;"!CertQualifier"))</f>
        <v>3</v>
      </c>
    </row>
    <row r="5" spans="1:15" s="207" customFormat="1" ht="12.75">
      <c r="A5" s="202"/>
      <c r="B5" s="202"/>
      <c r="C5" s="202"/>
      <c r="D5" s="202"/>
      <c r="E5" s="202"/>
      <c r="F5" s="202"/>
      <c r="G5" s="202"/>
      <c r="H5" s="202"/>
      <c r="I5" s="202"/>
      <c r="J5" s="202"/>
      <c r="K5" s="220"/>
      <c r="N5" s="326">
        <f ca="1">ROW(INDIRECT("'"&amp; $N$1 &amp; "'" &amp;"!CertQualifier"))</f>
        <v>141</v>
      </c>
    </row>
    <row r="6" spans="1:15" ht="15.75">
      <c r="A6" s="197" t="s">
        <v>238</v>
      </c>
      <c r="B6" s="197"/>
      <c r="C6" s="201" t="str">
        <f>'Project Info'!C22</f>
        <v>Award Winner</v>
      </c>
      <c r="D6" s="197"/>
      <c r="E6" s="197"/>
      <c r="F6" s="197"/>
      <c r="G6" s="197"/>
      <c r="H6" s="197" t="s">
        <v>261</v>
      </c>
      <c r="I6" s="228" t="str">
        <f>$M$1</f>
        <v>template</v>
      </c>
      <c r="K6" s="219"/>
      <c r="N6" s="264" t="str">
        <f ca="1">ADDRESS(N5,N4,4,1)</f>
        <v>C141</v>
      </c>
    </row>
    <row r="7" spans="1:15" ht="14.25">
      <c r="A7" s="197" t="s">
        <v>152</v>
      </c>
      <c r="B7" s="197"/>
      <c r="C7" s="200" t="str">
        <f>'Project Info'!C21</f>
        <v>18.32001.00</v>
      </c>
      <c r="D7" s="197"/>
      <c r="E7" s="197"/>
      <c r="F7" s="197"/>
      <c r="G7" s="197"/>
      <c r="H7" s="225" t="str">
        <f ca="1">IF(INDIRECT("'"&amp; $N$1 &amp; "'" &amp; "!CertQualifier")="-","Select Certificate qualifier in cell " &amp; $N$6 &amp; " on the AfP tab before printing this certificate.",INDIRECT("'"&amp; $N$1 &amp; "'" &amp;"!CertQualifier"))</f>
        <v>Select Certificate qualifier in cell C141 on the AfP tab before printing this certificate.</v>
      </c>
      <c r="I7" s="197"/>
      <c r="J7" s="197"/>
      <c r="K7" s="219"/>
    </row>
    <row r="8" spans="1:15" ht="14.25">
      <c r="A8" s="197" t="s">
        <v>239</v>
      </c>
      <c r="B8" s="197"/>
      <c r="C8" s="200" t="str">
        <f>'Project Info'!C16</f>
        <v>Favourite Client Company</v>
      </c>
      <c r="D8" s="197"/>
      <c r="E8" s="197"/>
      <c r="F8" s="197"/>
      <c r="G8" s="197"/>
      <c r="H8" s="197" t="s">
        <v>262</v>
      </c>
      <c r="I8" s="229" t="str">
        <f ca="1">TEXT(INDIRECT("'"&amp; $N$1 &amp; "'" &amp;"!IssueDate"), "YYYY MM DD")</f>
        <v>2021 06 16</v>
      </c>
      <c r="J8" s="197"/>
      <c r="K8" s="219"/>
    </row>
    <row r="9" spans="1:15" s="208" customFormat="1" ht="12.75">
      <c r="A9" s="197"/>
      <c r="B9" s="197"/>
      <c r="C9" s="197" t="str">
        <f>'Project Info'!C17</f>
        <v>Client Address 1</v>
      </c>
      <c r="D9" s="197"/>
      <c r="E9" s="197"/>
      <c r="F9" s="197"/>
      <c r="G9" s="197"/>
      <c r="H9" s="197"/>
      <c r="I9" s="197"/>
      <c r="J9" s="197"/>
      <c r="K9" s="221"/>
    </row>
    <row r="10" spans="1:15" s="208" customFormat="1" ht="12.75">
      <c r="A10" s="197"/>
      <c r="B10" s="197"/>
      <c r="C10" s="197" t="str">
        <f>'Project Info'!C18</f>
        <v>Client Address 2</v>
      </c>
      <c r="D10" s="197"/>
      <c r="E10" s="197"/>
      <c r="F10" s="197"/>
      <c r="G10" s="197"/>
      <c r="H10" s="197"/>
      <c r="I10" s="197"/>
      <c r="J10" s="197"/>
      <c r="K10" s="221"/>
    </row>
    <row r="11" spans="1:15" s="207" customFormat="1" ht="9.9499999999999993" customHeight="1">
      <c r="A11" s="202"/>
      <c r="B11" s="202"/>
      <c r="C11" s="202"/>
      <c r="D11" s="202"/>
      <c r="E11" s="202"/>
      <c r="F11" s="202"/>
      <c r="G11" s="202"/>
      <c r="H11" s="202"/>
      <c r="I11" s="202"/>
      <c r="J11" s="202"/>
      <c r="K11" s="220"/>
      <c r="O11" s="208"/>
    </row>
    <row r="12" spans="1:15" ht="14.25">
      <c r="A12" s="197" t="s">
        <v>243</v>
      </c>
      <c r="B12" s="197"/>
      <c r="C12" s="200" t="str">
        <f>'Project Info'!C19</f>
        <v>Favourite Person</v>
      </c>
      <c r="D12" s="197"/>
      <c r="E12" s="197"/>
      <c r="F12" s="197"/>
      <c r="G12" s="197"/>
      <c r="H12" s="197" t="s">
        <v>263</v>
      </c>
      <c r="I12" s="224"/>
      <c r="J12" s="197"/>
      <c r="K12" s="219"/>
    </row>
    <row r="13" spans="1:15" s="207" customFormat="1" ht="9.9499999999999993" customHeight="1">
      <c r="A13" s="202"/>
      <c r="B13" s="202"/>
      <c r="C13" s="202"/>
      <c r="D13" s="202"/>
      <c r="E13" s="202"/>
      <c r="F13" s="202"/>
      <c r="G13" s="202"/>
      <c r="H13" s="202"/>
      <c r="I13" s="202"/>
      <c r="J13" s="202"/>
      <c r="K13" s="220"/>
      <c r="O13" s="208"/>
    </row>
    <row r="14" spans="1:15" ht="54" customHeight="1">
      <c r="A14" s="351" t="str">
        <f ca="1">"This is to certify that "&amp;'Project Info'!C29&amp;" has completed work and delivered products to the place of the work to date, to the value of "&amp;TEXT(E31,"$#,##0.00")&amp;" and is entitled to "&amp;TEXT(H42,"$#,##0.00")&amp;" for the period from " &amp; TEXT( INDIRECT($N$2), "MMMM DD, YYYY")&amp;" to "&amp;TEXT( INDIRECT("'"&amp;$N$1&amp;"'"&amp;"!PeriodEnding"),"MMMM DD, YYYY")&amp;"."</f>
        <v>This is to certify that Quality Contractors Inc. has completed work and delivered products to the place of the work to date, to the value of $0.00 and is entitled to $0.00 for the period from July 01, 2018 to July 31, 2018.</v>
      </c>
      <c r="B14" s="351"/>
      <c r="C14" s="351"/>
      <c r="D14" s="351"/>
      <c r="E14" s="351"/>
      <c r="F14" s="351"/>
      <c r="G14" s="351"/>
      <c r="H14" s="351"/>
      <c r="I14" s="351"/>
      <c r="J14" s="351"/>
      <c r="K14" s="219"/>
    </row>
    <row r="15" spans="1:15" s="207" customFormat="1" ht="23.45" customHeight="1">
      <c r="A15" s="354" t="s">
        <v>257</v>
      </c>
      <c r="B15" s="354"/>
      <c r="C15" s="354"/>
      <c r="D15" s="354"/>
      <c r="E15" s="354"/>
      <c r="F15" s="354"/>
      <c r="G15" s="354"/>
      <c r="H15" s="354"/>
      <c r="I15" s="354"/>
      <c r="J15" s="354"/>
      <c r="K15" s="220"/>
    </row>
    <row r="16" spans="1:15" s="207" customFormat="1" ht="11.25">
      <c r="A16" s="202"/>
      <c r="B16" s="202"/>
      <c r="C16" s="202"/>
      <c r="D16" s="202"/>
      <c r="E16" s="202"/>
      <c r="F16" s="202"/>
      <c r="G16" s="202"/>
      <c r="H16" s="202"/>
      <c r="I16" s="202"/>
      <c r="J16" s="202"/>
      <c r="K16" s="220"/>
    </row>
    <row r="17" spans="1:11" s="207" customFormat="1" ht="30.6" customHeight="1">
      <c r="A17" s="355" t="s">
        <v>461</v>
      </c>
      <c r="B17" s="355"/>
      <c r="C17" s="355"/>
      <c r="D17" s="355"/>
      <c r="E17" s="355"/>
      <c r="F17" s="355"/>
      <c r="G17" s="355"/>
      <c r="H17" s="355"/>
      <c r="I17" s="355"/>
      <c r="J17" s="355"/>
      <c r="K17" s="220"/>
    </row>
    <row r="18" spans="1:11" s="207" customFormat="1" ht="11.25">
      <c r="A18" s="202"/>
      <c r="B18" s="202"/>
      <c r="C18" s="202"/>
      <c r="D18" s="202"/>
      <c r="E18" s="202"/>
      <c r="F18" s="202"/>
      <c r="G18" s="202"/>
      <c r="H18" s="202"/>
      <c r="I18" s="202"/>
      <c r="J18" s="202"/>
      <c r="K18" s="220"/>
    </row>
    <row r="19" spans="1:11" s="207" customFormat="1" ht="15">
      <c r="A19" s="353" t="str">
        <f>'Project Info'!C24</f>
        <v>Visionary Architects</v>
      </c>
      <c r="B19" s="353"/>
      <c r="C19" s="353"/>
      <c r="D19" s="353"/>
      <c r="E19" s="353"/>
      <c r="F19" s="198"/>
      <c r="G19" s="198"/>
      <c r="H19" s="353" t="str">
        <f>'Project Info'!C29</f>
        <v>Quality Contractors Inc.</v>
      </c>
      <c r="I19" s="353"/>
      <c r="J19" s="353"/>
      <c r="K19" s="220"/>
    </row>
    <row r="20" spans="1:11" s="207" customFormat="1" ht="11.25">
      <c r="A20" s="202"/>
      <c r="B20" s="202"/>
      <c r="C20" s="202"/>
      <c r="D20" s="202"/>
      <c r="E20" s="202"/>
      <c r="F20" s="202"/>
      <c r="G20" s="202"/>
      <c r="H20" s="202"/>
      <c r="I20" s="202"/>
      <c r="J20" s="202"/>
      <c r="K20" s="220"/>
    </row>
    <row r="21" spans="1:11" s="207" customFormat="1" ht="23.45" customHeight="1">
      <c r="A21" s="202" t="s">
        <v>275</v>
      </c>
      <c r="B21" s="352"/>
      <c r="C21" s="352"/>
      <c r="D21" s="352"/>
      <c r="E21" s="352"/>
      <c r="F21" s="202"/>
      <c r="G21" s="202"/>
      <c r="H21" s="352"/>
      <c r="I21" s="352"/>
      <c r="J21" s="352"/>
      <c r="K21" s="220"/>
    </row>
    <row r="22" spans="1:11" s="207" customFormat="1" ht="11.25">
      <c r="A22" s="203" t="s">
        <v>258</v>
      </c>
      <c r="B22" s="203"/>
      <c r="C22" s="203"/>
      <c r="D22" s="203"/>
      <c r="E22" s="203"/>
      <c r="F22" s="202"/>
      <c r="G22" s="202"/>
      <c r="H22" s="203" t="s">
        <v>259</v>
      </c>
      <c r="I22" s="203"/>
      <c r="J22" s="203"/>
      <c r="K22" s="220"/>
    </row>
    <row r="23" spans="1:11" s="207" customFormat="1" ht="11.25">
      <c r="J23" s="202"/>
      <c r="K23" s="220"/>
    </row>
    <row r="24" spans="1:11" s="207" customFormat="1" ht="18.95" customHeight="1">
      <c r="A24" s="202"/>
      <c r="B24" s="202"/>
      <c r="C24" s="202"/>
      <c r="D24" s="202"/>
      <c r="E24" s="202"/>
      <c r="F24" s="202"/>
      <c r="G24" s="202"/>
      <c r="H24" s="352"/>
      <c r="I24" s="352"/>
      <c r="J24" s="352"/>
      <c r="K24" s="220"/>
    </row>
    <row r="25" spans="1:11" s="207" customFormat="1" ht="11.25">
      <c r="H25" s="203" t="s">
        <v>274</v>
      </c>
      <c r="I25" s="203"/>
      <c r="J25" s="203"/>
      <c r="K25" s="220"/>
    </row>
    <row r="26" spans="1:11" s="207" customFormat="1" ht="11.25">
      <c r="A26" s="216"/>
      <c r="B26" s="216"/>
      <c r="C26" s="216"/>
      <c r="D26" s="216"/>
      <c r="E26" s="216"/>
      <c r="F26" s="216"/>
      <c r="G26" s="216"/>
      <c r="H26" s="216"/>
      <c r="I26" s="216"/>
      <c r="J26" s="216"/>
      <c r="K26" s="220"/>
    </row>
    <row r="27" spans="1:11" s="207" customFormat="1" ht="11.25">
      <c r="H27" s="304"/>
      <c r="I27" s="304"/>
      <c r="J27" s="304"/>
      <c r="K27" s="220"/>
    </row>
    <row r="28" spans="1:11" s="208" customFormat="1" ht="14.25">
      <c r="A28" s="197" t="s">
        <v>244</v>
      </c>
      <c r="B28" s="197"/>
      <c r="C28" s="197"/>
      <c r="D28" s="197"/>
      <c r="E28" s="209">
        <f>'Project Info'!$C$30</f>
        <v>1234567.8899999999</v>
      </c>
      <c r="F28" s="197"/>
      <c r="G28" s="197"/>
      <c r="H28" s="197"/>
      <c r="I28" s="197"/>
      <c r="J28" s="197"/>
      <c r="K28" s="219"/>
    </row>
    <row r="29" spans="1:11" s="208" customFormat="1" ht="14.25">
      <c r="A29" s="197" t="s">
        <v>245</v>
      </c>
      <c r="B29" s="197"/>
      <c r="C29" s="197"/>
      <c r="D29" s="197"/>
      <c r="E29" s="197">
        <f ca="1">INDIRECT("'"&amp; $N$1 &amp; "'" &amp;"!ChangesToDate")</f>
        <v>0</v>
      </c>
      <c r="F29" s="197"/>
      <c r="G29" s="197"/>
      <c r="H29" s="197"/>
      <c r="I29" s="197"/>
      <c r="J29" s="197"/>
      <c r="K29" s="219"/>
    </row>
    <row r="30" spans="1:11" s="208" customFormat="1" ht="14.25">
      <c r="A30" s="200" t="s">
        <v>246</v>
      </c>
      <c r="B30" s="197"/>
      <c r="C30" s="197"/>
      <c r="D30" s="210"/>
      <c r="E30" s="211">
        <f ca="1">E28+E29</f>
        <v>1234567.8899999999</v>
      </c>
      <c r="F30" s="197"/>
      <c r="G30" s="210"/>
      <c r="H30" s="211">
        <f ca="1">E30</f>
        <v>1234567.8899999999</v>
      </c>
      <c r="I30" s="197"/>
      <c r="J30" s="197"/>
      <c r="K30" s="219"/>
    </row>
    <row r="31" spans="1:11" s="208" customFormat="1" ht="18">
      <c r="A31" s="197" t="s">
        <v>247</v>
      </c>
      <c r="B31" s="197"/>
      <c r="C31" s="197"/>
      <c r="D31" s="197"/>
      <c r="E31" s="212">
        <f ca="1">INDIRECT("'"&amp; $N$1 &amp; "'" &amp;"!WorkFinished")</f>
        <v>0</v>
      </c>
      <c r="F31" s="197"/>
      <c r="G31" s="197"/>
      <c r="H31" s="197"/>
      <c r="I31" s="197"/>
      <c r="J31" s="197"/>
      <c r="K31" s="230"/>
    </row>
    <row r="32" spans="1:11" s="208" customFormat="1" ht="14.25">
      <c r="A32" s="197" t="s">
        <v>248</v>
      </c>
      <c r="B32" s="197"/>
      <c r="C32" s="197"/>
      <c r="D32" s="197"/>
      <c r="E32" s="212">
        <f ca="1">INDIRECT("'"&amp; $N$1 &amp; "'" &amp;"!DeficiencyRetainage")</f>
        <v>0</v>
      </c>
      <c r="F32" s="197"/>
      <c r="G32" s="197"/>
      <c r="H32" s="197"/>
      <c r="I32" s="197"/>
      <c r="J32" s="197"/>
      <c r="K32" s="219"/>
    </row>
    <row r="33" spans="1:11" s="208" customFormat="1" ht="14.25">
      <c r="A33" s="197" t="str">
        <f xml:space="preserve"> "Statutory Holdback  @ " &amp; TEXT('Project Info'!C38*100,"#0") &amp; " %"</f>
        <v>Statutory Holdback  @ 10 %</v>
      </c>
      <c r="B33" s="197"/>
      <c r="C33" s="197"/>
      <c r="D33" s="197"/>
      <c r="E33" s="212">
        <f ca="1">INDIRECT("'"&amp; $N$1 &amp; "'" &amp;"!StatFinHoldback")</f>
        <v>0</v>
      </c>
      <c r="F33" s="197"/>
      <c r="G33" s="197"/>
      <c r="H33" s="197"/>
      <c r="I33" s="197"/>
      <c r="J33" s="197"/>
      <c r="K33" s="219"/>
    </row>
    <row r="34" spans="1:11" s="208" customFormat="1" ht="14.25">
      <c r="A34" s="197" t="s">
        <v>249</v>
      </c>
      <c r="B34" s="197"/>
      <c r="C34" s="197"/>
      <c r="D34" s="210"/>
      <c r="E34" s="213">
        <f ca="1">E31-E32-E33</f>
        <v>0</v>
      </c>
      <c r="F34" s="197"/>
      <c r="G34" s="210"/>
      <c r="H34" s="214">
        <f ca="1">E34</f>
        <v>0</v>
      </c>
      <c r="I34" s="197"/>
      <c r="J34" s="197"/>
      <c r="K34" s="219"/>
    </row>
    <row r="35" spans="1:11" s="208" customFormat="1" ht="14.25">
      <c r="A35" s="197" t="s">
        <v>250</v>
      </c>
      <c r="B35" s="197"/>
      <c r="C35" s="197"/>
      <c r="D35" s="197"/>
      <c r="E35" s="212">
        <f ca="1">INDIRECT("'"&amp; $N$1 &amp; "'" &amp;"!HbPrevRel")</f>
        <v>0</v>
      </c>
      <c r="F35" s="197"/>
      <c r="G35" s="197"/>
      <c r="H35" s="197"/>
      <c r="I35" s="197"/>
      <c r="J35" s="197"/>
      <c r="K35" s="219"/>
    </row>
    <row r="36" spans="1:11" s="208" customFormat="1" ht="14.25">
      <c r="A36" s="197" t="s">
        <v>255</v>
      </c>
      <c r="B36" s="197"/>
      <c r="C36" s="197"/>
      <c r="D36" s="197"/>
      <c r="E36" s="212">
        <f ca="1">INDIRECT("'"&amp; $N$1 &amp; "'" &amp;"!HbCurRel")</f>
        <v>0</v>
      </c>
      <c r="F36" s="197"/>
      <c r="G36" s="197"/>
      <c r="H36" s="197"/>
      <c r="I36" s="197"/>
      <c r="J36" s="197"/>
      <c r="K36" s="219"/>
    </row>
    <row r="37" spans="1:11" s="208" customFormat="1" ht="14.25">
      <c r="A37" s="197" t="s">
        <v>251</v>
      </c>
      <c r="B37" s="197"/>
      <c r="C37" s="197"/>
      <c r="D37" s="210"/>
      <c r="E37" s="213">
        <f ca="1">E35+E36</f>
        <v>0</v>
      </c>
      <c r="F37" s="197"/>
      <c r="G37" s="210"/>
      <c r="H37" s="214">
        <f ca="1">E37</f>
        <v>0</v>
      </c>
      <c r="I37" s="197"/>
      <c r="J37" s="197"/>
      <c r="K37" s="219"/>
    </row>
    <row r="38" spans="1:11" s="208" customFormat="1" ht="18">
      <c r="A38" s="197" t="s">
        <v>252</v>
      </c>
      <c r="B38" s="197"/>
      <c r="C38" s="197"/>
      <c r="D38" s="197"/>
      <c r="E38" s="197"/>
      <c r="F38" s="197"/>
      <c r="G38" s="197"/>
      <c r="H38" s="212">
        <f ca="1">INDIRECT("'"&amp; $N$1 &amp; "'" &amp;"!PayableToDate")</f>
        <v>0</v>
      </c>
      <c r="I38" s="197"/>
      <c r="J38" s="197"/>
      <c r="K38" s="230"/>
    </row>
    <row r="39" spans="1:11" s="208" customFormat="1" ht="14.25">
      <c r="A39" s="197" t="s">
        <v>253</v>
      </c>
      <c r="B39" s="197"/>
      <c r="C39" s="197"/>
      <c r="D39" s="197"/>
      <c r="E39" s="197"/>
      <c r="F39" s="197"/>
      <c r="G39" s="197"/>
      <c r="H39" s="212">
        <f ca="1">INDIRECT("'"&amp; $N$1 &amp; "'" &amp;"!PreviouslyPayable")</f>
        <v>0</v>
      </c>
      <c r="I39" s="197"/>
      <c r="J39" s="197"/>
      <c r="K39" s="219"/>
    </row>
    <row r="40" spans="1:11" s="208" customFormat="1" ht="14.25">
      <c r="A40" s="200" t="s">
        <v>254</v>
      </c>
      <c r="B40" s="197"/>
      <c r="C40" s="197"/>
      <c r="D40" s="197"/>
      <c r="E40" s="197"/>
      <c r="F40" s="197"/>
      <c r="G40" s="197"/>
      <c r="H40" s="209">
        <f ca="1">H38-H39</f>
        <v>0</v>
      </c>
      <c r="I40" s="197"/>
      <c r="J40" s="197"/>
      <c r="K40" s="219"/>
    </row>
    <row r="41" spans="1:11" s="208" customFormat="1" ht="18">
      <c r="A41" s="197" t="str">
        <f ca="1">"Applicable Taxes for Place of the Work " &amp; 'Project Info'!C42 &amp; " @ " &amp; TEXT('Project Info'!C41*100,"#0") &amp; " %"</f>
        <v>Applicable Taxes for Place of the Work HST @ 13 %</v>
      </c>
      <c r="B41" s="197"/>
      <c r="C41" s="197"/>
      <c r="D41" s="197"/>
      <c r="E41" s="197"/>
      <c r="F41" s="197"/>
      <c r="G41" s="197"/>
      <c r="H41" s="212">
        <f ca="1">INDIRECT("'"&amp; $N$1 &amp; "'" &amp;"!TaxesThisIssue")</f>
        <v>0</v>
      </c>
      <c r="I41" s="197"/>
      <c r="J41" s="197"/>
      <c r="K41" s="230"/>
    </row>
    <row r="42" spans="1:11" s="208" customFormat="1" ht="14.25">
      <c r="A42" s="200" t="s">
        <v>256</v>
      </c>
      <c r="B42" s="197"/>
      <c r="C42" s="197"/>
      <c r="D42" s="197"/>
      <c r="E42" s="197"/>
      <c r="F42" s="197"/>
      <c r="G42" s="210"/>
      <c r="H42" s="215">
        <f ca="1">INDIRECT("'"&amp; $N$1 &amp; "'" &amp;"!TotalPayable")</f>
        <v>0</v>
      </c>
      <c r="I42" s="197"/>
      <c r="J42" s="197"/>
      <c r="K42" s="219"/>
    </row>
    <row r="43" spans="1:11">
      <c r="A43" s="216"/>
      <c r="B43" s="216"/>
      <c r="C43" s="216"/>
      <c r="D43" s="216"/>
      <c r="E43" s="216"/>
      <c r="F43" s="216"/>
      <c r="G43" s="216"/>
      <c r="H43" s="216"/>
      <c r="I43" s="216"/>
      <c r="J43" s="216"/>
      <c r="K43" s="222"/>
    </row>
    <row r="44" spans="1:11">
      <c r="A44" s="223"/>
      <c r="B44" s="223"/>
      <c r="C44" s="223"/>
      <c r="D44" s="223"/>
      <c r="E44" s="223"/>
      <c r="F44" s="223"/>
      <c r="G44" s="223"/>
      <c r="H44" s="223"/>
      <c r="I44" s="223"/>
      <c r="J44" s="223"/>
      <c r="K44" s="222"/>
    </row>
  </sheetData>
  <sheetProtection formatCells="0" formatColumns="0" formatRows="0" selectLockedCells="1"/>
  <mergeCells count="8">
    <mergeCell ref="H24:J24"/>
    <mergeCell ref="A14:J14"/>
    <mergeCell ref="A15:J15"/>
    <mergeCell ref="A17:J17"/>
    <mergeCell ref="A19:E19"/>
    <mergeCell ref="H19:J19"/>
    <mergeCell ref="B21:E21"/>
    <mergeCell ref="H21:J21"/>
  </mergeCells>
  <conditionalFormatting sqref="H7">
    <cfRule type="expression" dxfId="7" priority="2" stopIfTrue="1">
      <formula>LEFT(H7,6)="Select"</formula>
    </cfRule>
  </conditionalFormatting>
  <conditionalFormatting sqref="I12">
    <cfRule type="expression" dxfId="6" priority="1" stopIfTrue="1">
      <formula>ISBLANK(I12)</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101"/>
  <sheetViews>
    <sheetView workbookViewId="0">
      <selection activeCell="B21" sqref="B21"/>
    </sheetView>
  </sheetViews>
  <sheetFormatPr defaultRowHeight="12"/>
  <cols>
    <col min="1" max="1" width="13.5703125" bestFit="1" customWidth="1"/>
    <col min="2" max="2" width="29.7109375" bestFit="1" customWidth="1"/>
    <col min="3" max="3" width="8.140625" customWidth="1"/>
    <col min="4" max="4" width="5.7109375" bestFit="1" customWidth="1"/>
    <col min="5" max="5" width="8.5703125" bestFit="1" customWidth="1"/>
    <col min="6" max="6" width="7.42578125" customWidth="1"/>
    <col min="7" max="7" width="7.7109375" customWidth="1"/>
    <col min="8" max="8" width="8.85546875" customWidth="1"/>
    <col min="9" max="9" width="8.42578125" bestFit="1" customWidth="1"/>
    <col min="10" max="10" width="6" bestFit="1" customWidth="1"/>
    <col min="11" max="11" width="9" bestFit="1" customWidth="1"/>
    <col min="12" max="12" width="7" bestFit="1" customWidth="1"/>
    <col min="13" max="13" width="11.42578125" bestFit="1" customWidth="1"/>
    <col min="14" max="14" width="6.140625" bestFit="1" customWidth="1"/>
    <col min="15" max="15" width="8" bestFit="1" customWidth="1"/>
    <col min="16" max="16" width="10.140625" bestFit="1" customWidth="1"/>
    <col min="17" max="17" width="12" bestFit="1" customWidth="1"/>
    <col min="18" max="18" width="10.140625" bestFit="1" customWidth="1"/>
    <col min="19" max="19" width="5" bestFit="1" customWidth="1"/>
    <col min="20" max="20" width="3.5703125" customWidth="1"/>
    <col min="21" max="21" width="17.5703125" bestFit="1" customWidth="1"/>
    <col min="22" max="22" width="39.42578125" bestFit="1" customWidth="1"/>
    <col min="23" max="23" width="8.28515625" customWidth="1"/>
    <col min="24" max="24" width="8.140625" bestFit="1" customWidth="1"/>
    <col min="25" max="25" width="5" bestFit="1" customWidth="1"/>
    <col min="26" max="26" width="10.5703125" bestFit="1" customWidth="1"/>
    <col min="27" max="27" width="19.140625" bestFit="1" customWidth="1"/>
    <col min="28" max="28" width="19.140625" customWidth="1"/>
    <col min="29" max="29" width="20.140625" bestFit="1" customWidth="1"/>
    <col min="30" max="30" width="15.85546875" bestFit="1" customWidth="1"/>
    <col min="31" max="31" width="30" bestFit="1" customWidth="1"/>
    <col min="32" max="32" width="52.140625" bestFit="1" customWidth="1"/>
  </cols>
  <sheetData>
    <row r="2" spans="1:17">
      <c r="A2" t="s">
        <v>307</v>
      </c>
      <c r="B2" t="str">
        <f>Province</f>
        <v xml:space="preserve"> Ontario </v>
      </c>
    </row>
    <row r="3" spans="1:17">
      <c r="G3" t="s">
        <v>426</v>
      </c>
      <c r="K3" t="s">
        <v>453</v>
      </c>
      <c r="O3" t="s">
        <v>488</v>
      </c>
    </row>
    <row r="4" spans="1:17">
      <c r="G4" s="311" t="s">
        <v>188</v>
      </c>
      <c r="H4" s="310"/>
      <c r="K4" s="310" t="s">
        <v>454</v>
      </c>
      <c r="L4" s="310"/>
      <c r="M4" s="310"/>
      <c r="O4" s="310" t="s">
        <v>454</v>
      </c>
      <c r="P4" s="310"/>
      <c r="Q4" s="310"/>
    </row>
    <row r="5" spans="1:17">
      <c r="G5" s="311" t="s">
        <v>302</v>
      </c>
      <c r="H5" s="310"/>
      <c r="K5" s="310" t="s">
        <v>455</v>
      </c>
      <c r="L5" s="310"/>
      <c r="M5" s="310"/>
      <c r="O5" s="310" t="s">
        <v>287</v>
      </c>
      <c r="P5" s="310"/>
      <c r="Q5" s="310"/>
    </row>
    <row r="6" spans="1:17">
      <c r="G6" s="311" t="s">
        <v>301</v>
      </c>
      <c r="H6" s="310"/>
      <c r="K6" s="310" t="s">
        <v>287</v>
      </c>
      <c r="L6" s="310"/>
      <c r="M6" s="310"/>
      <c r="O6" s="310" t="s">
        <v>326</v>
      </c>
      <c r="P6" s="310"/>
      <c r="Q6" s="310"/>
    </row>
    <row r="7" spans="1:17">
      <c r="G7" s="311" t="s">
        <v>300</v>
      </c>
      <c r="H7" s="310"/>
      <c r="K7" s="310" t="s">
        <v>379</v>
      </c>
      <c r="L7" s="310"/>
      <c r="M7" s="310"/>
      <c r="O7" s="310" t="s">
        <v>489</v>
      </c>
      <c r="P7" s="310"/>
      <c r="Q7" s="310"/>
    </row>
    <row r="8" spans="1:17">
      <c r="G8" s="311" t="s">
        <v>299</v>
      </c>
      <c r="H8" s="310"/>
      <c r="K8" s="310" t="s">
        <v>380</v>
      </c>
      <c r="L8" s="310"/>
      <c r="M8" s="310"/>
      <c r="O8" s="310" t="s">
        <v>490</v>
      </c>
      <c r="P8" s="310"/>
      <c r="Q8" s="310"/>
    </row>
    <row r="9" spans="1:17">
      <c r="G9" s="310" t="s">
        <v>427</v>
      </c>
      <c r="H9" s="310"/>
      <c r="K9" s="310" t="s">
        <v>456</v>
      </c>
      <c r="L9" s="310"/>
      <c r="M9" s="310"/>
    </row>
    <row r="10" spans="1:17">
      <c r="A10" s="272" t="s">
        <v>95</v>
      </c>
      <c r="B10" s="273" t="s">
        <v>103</v>
      </c>
      <c r="C10" s="274" t="s">
        <v>192</v>
      </c>
      <c r="G10" s="309" t="s">
        <v>298</v>
      </c>
      <c r="H10" s="310"/>
      <c r="K10" s="310" t="s">
        <v>458</v>
      </c>
      <c r="L10" s="310"/>
      <c r="M10" s="310"/>
    </row>
    <row r="11" spans="1:17">
      <c r="A11" s="13">
        <v>1</v>
      </c>
      <c r="B11" s="12" t="s">
        <v>96</v>
      </c>
      <c r="C11" s="274">
        <v>1</v>
      </c>
      <c r="G11" s="309" t="s">
        <v>297</v>
      </c>
      <c r="H11" s="310"/>
      <c r="K11" s="310" t="s">
        <v>459</v>
      </c>
      <c r="L11" s="310"/>
      <c r="M11" s="310"/>
    </row>
    <row r="12" spans="1:17">
      <c r="A12" s="13">
        <v>2</v>
      </c>
      <c r="B12" s="12" t="s">
        <v>97</v>
      </c>
      <c r="C12" s="274">
        <v>0</v>
      </c>
      <c r="G12" s="309" t="s">
        <v>296</v>
      </c>
      <c r="H12" s="310"/>
      <c r="K12" s="310" t="s">
        <v>319</v>
      </c>
      <c r="L12" s="310"/>
      <c r="M12" s="310"/>
    </row>
    <row r="13" spans="1:17">
      <c r="A13" s="13">
        <v>3</v>
      </c>
      <c r="B13" s="12" t="s">
        <v>98</v>
      </c>
      <c r="C13" s="274">
        <v>0</v>
      </c>
      <c r="G13" s="309" t="s">
        <v>295</v>
      </c>
      <c r="H13" s="310"/>
      <c r="K13" s="310" t="s">
        <v>326</v>
      </c>
      <c r="L13" s="310"/>
      <c r="M13" s="310"/>
    </row>
    <row r="14" spans="1:17">
      <c r="A14" s="13">
        <v>4</v>
      </c>
      <c r="B14" s="12" t="s">
        <v>99</v>
      </c>
      <c r="C14" s="274">
        <v>0</v>
      </c>
      <c r="G14" s="309" t="s">
        <v>294</v>
      </c>
      <c r="H14" s="310"/>
      <c r="K14" s="310" t="s">
        <v>457</v>
      </c>
      <c r="L14" s="310"/>
      <c r="M14" s="310"/>
    </row>
    <row r="15" spans="1:17">
      <c r="A15" s="14">
        <v>5</v>
      </c>
      <c r="B15" s="12" t="s">
        <v>100</v>
      </c>
      <c r="C15" s="274">
        <v>0</v>
      </c>
      <c r="G15" s="309" t="s">
        <v>293</v>
      </c>
      <c r="H15" s="310"/>
    </row>
    <row r="16" spans="1:17">
      <c r="A16" s="13">
        <v>6</v>
      </c>
      <c r="B16" s="12" t="s">
        <v>101</v>
      </c>
      <c r="C16" s="274">
        <v>0</v>
      </c>
      <c r="G16" s="309" t="s">
        <v>292</v>
      </c>
      <c r="H16" s="310"/>
    </row>
    <row r="17" spans="1:32">
      <c r="A17" s="13">
        <v>7</v>
      </c>
      <c r="B17" s="12" t="s">
        <v>102</v>
      </c>
      <c r="C17" s="274">
        <v>2</v>
      </c>
      <c r="K17" s="348" t="s">
        <v>319</v>
      </c>
      <c r="L17" s="348"/>
    </row>
    <row r="18" spans="1:32">
      <c r="A18" s="1"/>
      <c r="C18" s="2"/>
    </row>
    <row r="19" spans="1:32">
      <c r="A19" s="1"/>
      <c r="B19" s="1"/>
      <c r="C19" s="1"/>
      <c r="D19" s="1"/>
    </row>
    <row r="20" spans="1:32">
      <c r="D20" s="274" t="s">
        <v>306</v>
      </c>
      <c r="E20" s="293">
        <v>0.05</v>
      </c>
    </row>
    <row r="21" spans="1:32">
      <c r="D21" s="274" t="s">
        <v>370</v>
      </c>
      <c r="E21" s="293">
        <v>9.5000000000000001E-2</v>
      </c>
    </row>
    <row r="22" spans="1:32">
      <c r="D22" s="274" t="s">
        <v>485</v>
      </c>
      <c r="E22" s="325">
        <f>((1+E20)*(1+E21)-1)</f>
        <v>0.14975000000000005</v>
      </c>
    </row>
    <row r="24" spans="1:32">
      <c r="A24" s="295" t="s">
        <v>373</v>
      </c>
      <c r="B24" s="294"/>
      <c r="C24" s="294"/>
      <c r="D24" s="294"/>
      <c r="E24" s="294"/>
      <c r="F24" s="294"/>
      <c r="G24" s="294"/>
      <c r="H24" s="294"/>
      <c r="I24" s="294"/>
      <c r="J24" s="294"/>
      <c r="K24" s="294"/>
    </row>
    <row r="25" spans="1:32">
      <c r="A25" s="295" t="s">
        <v>403</v>
      </c>
      <c r="B25" s="294"/>
      <c r="C25" s="294"/>
      <c r="D25" s="294"/>
      <c r="E25" s="294"/>
      <c r="F25" s="294"/>
      <c r="G25" s="294"/>
      <c r="H25" s="294"/>
      <c r="I25" s="294"/>
      <c r="J25" s="294"/>
      <c r="K25" s="294"/>
    </row>
    <row r="27" spans="1:32">
      <c r="I27" s="357" t="s">
        <v>377</v>
      </c>
      <c r="J27" s="357"/>
      <c r="K27" s="357"/>
      <c r="L27" s="357"/>
      <c r="M27" s="357"/>
      <c r="N27" s="357"/>
      <c r="O27" s="358" t="s">
        <v>372</v>
      </c>
      <c r="P27" s="358"/>
      <c r="Q27" s="358"/>
      <c r="R27" s="358"/>
      <c r="S27" s="358"/>
      <c r="T27" s="358"/>
      <c r="U27" s="357" t="s">
        <v>379</v>
      </c>
      <c r="V27" s="357"/>
      <c r="W27" s="358" t="s">
        <v>378</v>
      </c>
      <c r="X27" s="358"/>
      <c r="Y27" s="358"/>
      <c r="Z27" s="358"/>
      <c r="AA27" s="357" t="s">
        <v>380</v>
      </c>
      <c r="AB27" s="357"/>
      <c r="AC27" s="357"/>
      <c r="AD27" s="357"/>
    </row>
    <row r="28" spans="1:32">
      <c r="A28" s="1"/>
      <c r="B28" s="238">
        <v>0</v>
      </c>
      <c r="C28" s="238">
        <v>1</v>
      </c>
      <c r="D28" s="238">
        <v>2</v>
      </c>
      <c r="E28" s="238">
        <v>3</v>
      </c>
      <c r="F28" s="238">
        <v>4</v>
      </c>
      <c r="G28" s="238">
        <v>5</v>
      </c>
      <c r="H28" s="238">
        <v>6</v>
      </c>
      <c r="I28" s="238">
        <v>7</v>
      </c>
      <c r="J28" s="238">
        <v>8</v>
      </c>
      <c r="K28" s="238">
        <v>9</v>
      </c>
      <c r="L28" s="238">
        <v>10</v>
      </c>
      <c r="M28" s="238">
        <v>11</v>
      </c>
      <c r="N28" s="238">
        <v>12</v>
      </c>
      <c r="O28" s="238">
        <v>13</v>
      </c>
      <c r="P28" s="238">
        <v>14</v>
      </c>
      <c r="Q28" s="238">
        <v>15</v>
      </c>
      <c r="R28" s="238">
        <v>16</v>
      </c>
      <c r="S28" s="238">
        <v>17</v>
      </c>
      <c r="T28" s="238">
        <v>18</v>
      </c>
      <c r="U28" s="238">
        <v>19</v>
      </c>
      <c r="V28" s="238">
        <v>20</v>
      </c>
      <c r="W28" s="238">
        <v>21</v>
      </c>
      <c r="X28" s="238">
        <v>22</v>
      </c>
      <c r="Y28" s="238">
        <v>23</v>
      </c>
      <c r="Z28" s="238">
        <v>24</v>
      </c>
      <c r="AA28" s="238">
        <v>25</v>
      </c>
      <c r="AB28" s="238">
        <v>26</v>
      </c>
      <c r="AC28" s="238">
        <v>27</v>
      </c>
      <c r="AD28" s="238">
        <v>28</v>
      </c>
      <c r="AE28" s="238">
        <v>29</v>
      </c>
      <c r="AF28" s="238">
        <v>30</v>
      </c>
    </row>
    <row r="29" spans="1:32" ht="38.25" customHeight="1">
      <c r="A29" s="1"/>
      <c r="B29" s="239" t="s">
        <v>308</v>
      </c>
      <c r="C29" s="244" t="s">
        <v>371</v>
      </c>
      <c r="D29" s="244" t="s">
        <v>399</v>
      </c>
      <c r="E29" s="244" t="s">
        <v>400</v>
      </c>
      <c r="F29" s="240" t="s">
        <v>398</v>
      </c>
      <c r="G29" s="240" t="s">
        <v>401</v>
      </c>
      <c r="H29" s="275" t="s">
        <v>159</v>
      </c>
      <c r="I29" s="244" t="s">
        <v>375</v>
      </c>
      <c r="J29" s="241" t="s">
        <v>309</v>
      </c>
      <c r="K29" s="244" t="s">
        <v>374</v>
      </c>
      <c r="L29" s="241" t="s">
        <v>309</v>
      </c>
      <c r="M29" s="278" t="s">
        <v>376</v>
      </c>
      <c r="N29" s="242" t="s">
        <v>311</v>
      </c>
      <c r="O29" s="276" t="s">
        <v>309</v>
      </c>
      <c r="P29" s="277" t="s">
        <v>310</v>
      </c>
      <c r="Q29" s="243" t="s">
        <v>309</v>
      </c>
      <c r="R29" s="242" t="s">
        <v>310</v>
      </c>
      <c r="S29" s="276" t="s">
        <v>309</v>
      </c>
      <c r="T29" s="277"/>
      <c r="U29" s="242" t="s">
        <v>312</v>
      </c>
      <c r="V29" s="242" t="s">
        <v>313</v>
      </c>
      <c r="W29" s="244" t="s">
        <v>314</v>
      </c>
      <c r="X29" s="242" t="s">
        <v>315</v>
      </c>
      <c r="Y29" s="243" t="s">
        <v>309</v>
      </c>
      <c r="Z29" s="242" t="s">
        <v>405</v>
      </c>
      <c r="AA29" s="242" t="s">
        <v>312</v>
      </c>
      <c r="AB29" s="242"/>
      <c r="AC29" s="245"/>
      <c r="AD29" s="245"/>
      <c r="AE29" s="242" t="s">
        <v>316</v>
      </c>
      <c r="AF29" s="246" t="s">
        <v>305</v>
      </c>
    </row>
    <row r="30" spans="1:32" ht="12.75" thickBot="1">
      <c r="A30" s="1" t="s">
        <v>369</v>
      </c>
      <c r="B30" s="247" t="str">
        <f>Province</f>
        <v xml:space="preserve"> Ontario </v>
      </c>
      <c r="C30" s="248" t="s">
        <v>317</v>
      </c>
      <c r="D30" s="249">
        <f t="shared" ref="D30:AF30" si="0">VLOOKUP("X",$C$31:$AF$44,D$28,FALSE)</f>
        <v>0</v>
      </c>
      <c r="E30" s="280">
        <f t="shared" si="0"/>
        <v>0</v>
      </c>
      <c r="F30" s="281" t="str">
        <f t="shared" ca="1" si="0"/>
        <v>HST</v>
      </c>
      <c r="G30" s="280">
        <f t="shared" si="0"/>
        <v>0.13</v>
      </c>
      <c r="H30" s="315">
        <f t="shared" si="0"/>
        <v>0.13</v>
      </c>
      <c r="I30" s="280">
        <f t="shared" si="0"/>
        <v>0.1</v>
      </c>
      <c r="J30" s="280">
        <f t="shared" si="0"/>
        <v>0</v>
      </c>
      <c r="K30" s="279">
        <f t="shared" si="0"/>
        <v>0</v>
      </c>
      <c r="L30" s="280">
        <f t="shared" si="0"/>
        <v>1</v>
      </c>
      <c r="M30" s="279">
        <f t="shared" si="0"/>
        <v>0</v>
      </c>
      <c r="N30" s="314">
        <f t="shared" si="0"/>
        <v>60</v>
      </c>
      <c r="O30" s="280">
        <f t="shared" si="0"/>
        <v>0.03</v>
      </c>
      <c r="P30" s="281">
        <f t="shared" si="0"/>
        <v>1000000</v>
      </c>
      <c r="Q30" s="280">
        <f t="shared" si="0"/>
        <v>0.02</v>
      </c>
      <c r="R30" s="281">
        <f t="shared" si="0"/>
        <v>1000000</v>
      </c>
      <c r="S30" s="280">
        <f t="shared" si="0"/>
        <v>0.01</v>
      </c>
      <c r="T30" s="281">
        <f t="shared" si="0"/>
        <v>0</v>
      </c>
      <c r="U30" s="281" t="str">
        <f t="shared" si="0"/>
        <v>Date of Publication</v>
      </c>
      <c r="V30" s="281" t="str">
        <f t="shared" si="0"/>
        <v>Certificate of Substantial Performance</v>
      </c>
      <c r="W30" s="280">
        <f t="shared" si="0"/>
        <v>0.1</v>
      </c>
      <c r="X30" s="312">
        <f t="shared" si="0"/>
        <v>60</v>
      </c>
      <c r="Y30" s="313">
        <f t="shared" si="0"/>
        <v>0.01</v>
      </c>
      <c r="Z30" s="281">
        <f t="shared" si="0"/>
        <v>5000</v>
      </c>
      <c r="AA30" s="281" t="str">
        <f t="shared" si="0"/>
        <v>Deemed Completion</v>
      </c>
      <c r="AB30" s="281" t="str">
        <f t="shared" si="0"/>
        <v>Finishing Holdback</v>
      </c>
      <c r="AC30" s="281" t="str">
        <f t="shared" si="0"/>
        <v>Substantially Performed</v>
      </c>
      <c r="AD30" s="281" t="str">
        <f t="shared" si="0"/>
        <v>Deemed Complete</v>
      </c>
      <c r="AE30" s="281" t="str">
        <f t="shared" si="0"/>
        <v>Construction Act, Ontario</v>
      </c>
      <c r="AF30" s="281">
        <f t="shared" si="0"/>
        <v>0</v>
      </c>
    </row>
    <row r="31" spans="1:32" ht="12.75" thickTop="1">
      <c r="A31" s="1" t="s">
        <v>428</v>
      </c>
      <c r="B31" s="306" t="s">
        <v>188</v>
      </c>
      <c r="C31" s="250" t="str">
        <f>IF(Province=$B31,IF(Act=$AE31,"X",""),"")</f>
        <v/>
      </c>
      <c r="D31" s="289"/>
      <c r="E31" s="289"/>
      <c r="F31" s="3" t="str">
        <f ca="1">IF(NOW()&gt;DATE(2010,7,1),"HST","GST")</f>
        <v>HST</v>
      </c>
      <c r="G31" s="41">
        <v>0.13</v>
      </c>
      <c r="H31" s="251">
        <f>G31</f>
        <v>0.13</v>
      </c>
      <c r="I31" s="231">
        <v>0.1</v>
      </c>
      <c r="J31" s="231"/>
      <c r="K31" s="252"/>
      <c r="L31" s="231">
        <v>1</v>
      </c>
      <c r="M31" s="252"/>
      <c r="N31" s="253">
        <v>45</v>
      </c>
      <c r="O31" s="254">
        <v>0.03</v>
      </c>
      <c r="P31" s="255">
        <v>500000</v>
      </c>
      <c r="Q31" s="254">
        <v>0.02</v>
      </c>
      <c r="R31" s="255">
        <v>500000</v>
      </c>
      <c r="S31" s="254">
        <v>0.01</v>
      </c>
      <c r="T31" s="253"/>
      <c r="U31" s="256" t="s">
        <v>452</v>
      </c>
      <c r="V31" s="256" t="s">
        <v>318</v>
      </c>
      <c r="W31" s="231">
        <v>0.1</v>
      </c>
      <c r="X31" s="253">
        <v>45</v>
      </c>
      <c r="Y31" s="254">
        <v>0.01</v>
      </c>
      <c r="Z31" s="255">
        <v>1000</v>
      </c>
      <c r="AA31" s="256" t="s">
        <v>319</v>
      </c>
      <c r="AB31" s="265" t="s">
        <v>492</v>
      </c>
      <c r="AC31" s="256" t="s">
        <v>320</v>
      </c>
      <c r="AD31" s="256" t="s">
        <v>321</v>
      </c>
      <c r="AE31" t="s">
        <v>430</v>
      </c>
    </row>
    <row r="32" spans="1:32">
      <c r="A32" s="1" t="s">
        <v>429</v>
      </c>
      <c r="B32" s="306" t="s">
        <v>188</v>
      </c>
      <c r="C32" s="250" t="str">
        <f>IF(Province=$B32,IF(Act=$AE32,"X",""),"")</f>
        <v>X</v>
      </c>
      <c r="D32" s="289"/>
      <c r="E32" s="289"/>
      <c r="F32" s="3" t="str">
        <f ca="1">IF(NOW()&gt;DATE(2010,7,1),"HST","GST")</f>
        <v>HST</v>
      </c>
      <c r="G32" s="41">
        <v>0.13</v>
      </c>
      <c r="H32" s="251">
        <f>G32</f>
        <v>0.13</v>
      </c>
      <c r="I32" s="231">
        <v>0.1</v>
      </c>
      <c r="J32" s="231"/>
      <c r="K32" s="252"/>
      <c r="L32" s="231">
        <v>1</v>
      </c>
      <c r="M32" s="252"/>
      <c r="N32" s="253">
        <v>60</v>
      </c>
      <c r="O32" s="254">
        <v>0.03</v>
      </c>
      <c r="P32" s="255">
        <v>1000000</v>
      </c>
      <c r="Q32" s="254">
        <v>0.02</v>
      </c>
      <c r="R32" s="255">
        <v>1000000</v>
      </c>
      <c r="S32" s="254">
        <v>0.01</v>
      </c>
      <c r="T32" s="253"/>
      <c r="U32" s="256" t="s">
        <v>452</v>
      </c>
      <c r="V32" s="256" t="s">
        <v>318</v>
      </c>
      <c r="W32" s="231">
        <v>0.1</v>
      </c>
      <c r="X32" s="253">
        <v>60</v>
      </c>
      <c r="Y32" s="254">
        <v>0.01</v>
      </c>
      <c r="Z32" s="255">
        <v>5000</v>
      </c>
      <c r="AA32" s="256" t="s">
        <v>319</v>
      </c>
      <c r="AB32" s="265" t="s">
        <v>492</v>
      </c>
      <c r="AC32" s="256" t="s">
        <v>320</v>
      </c>
      <c r="AD32" s="256" t="s">
        <v>321</v>
      </c>
      <c r="AE32" t="s">
        <v>431</v>
      </c>
    </row>
    <row r="33" spans="1:32">
      <c r="A33" s="1">
        <v>6</v>
      </c>
      <c r="B33" s="306" t="s">
        <v>304</v>
      </c>
      <c r="C33" s="250" t="str">
        <f t="shared" ref="C33:C44" si="1">IF(Province=$B33,"X","")</f>
        <v/>
      </c>
      <c r="D33" s="289" t="s">
        <v>370</v>
      </c>
      <c r="E33" s="291">
        <f>QST</f>
        <v>9.5000000000000001E-2</v>
      </c>
      <c r="F33" s="3" t="s">
        <v>306</v>
      </c>
      <c r="G33" s="41">
        <f>GST</f>
        <v>0.05</v>
      </c>
      <c r="H33" s="292">
        <f>((1+G33)*(1+E33)-1)</f>
        <v>0.14975000000000005</v>
      </c>
      <c r="I33" s="236">
        <v>0.1</v>
      </c>
      <c r="J33" s="236"/>
      <c r="K33" s="258"/>
      <c r="L33" s="236">
        <v>1</v>
      </c>
      <c r="M33" s="258"/>
      <c r="N33" s="259">
        <v>30</v>
      </c>
      <c r="O33" s="260">
        <v>0.03</v>
      </c>
      <c r="P33" s="261">
        <v>500000</v>
      </c>
      <c r="Q33" s="260">
        <v>0.02</v>
      </c>
      <c r="R33" s="261">
        <v>500000</v>
      </c>
      <c r="S33" s="260">
        <v>0.01</v>
      </c>
      <c r="T33" s="259"/>
      <c r="U33" s="262" t="s">
        <v>450</v>
      </c>
      <c r="V33" s="262" t="s">
        <v>322</v>
      </c>
      <c r="W33" s="236">
        <v>0.1</v>
      </c>
      <c r="X33" s="263">
        <v>30</v>
      </c>
      <c r="Y33" s="260">
        <v>0.01</v>
      </c>
      <c r="Z33" s="261">
        <v>1000</v>
      </c>
      <c r="AA33" s="262" t="s">
        <v>319</v>
      </c>
      <c r="AB33" s="262" t="s">
        <v>492</v>
      </c>
      <c r="AC33" s="262" t="s">
        <v>320</v>
      </c>
      <c r="AD33" s="262" t="s">
        <v>321</v>
      </c>
      <c r="AE33" s="235" t="s">
        <v>402</v>
      </c>
      <c r="AF33" s="235" t="s">
        <v>303</v>
      </c>
    </row>
    <row r="34" spans="1:32">
      <c r="A34" s="1">
        <v>1</v>
      </c>
      <c r="B34" s="306" t="s">
        <v>302</v>
      </c>
      <c r="C34" s="250" t="str">
        <f t="shared" si="1"/>
        <v/>
      </c>
      <c r="D34" s="289"/>
      <c r="E34" s="289"/>
      <c r="F34" s="3" t="str">
        <f ca="1">IF(NOW()&gt;DATE(2013,4,1),"GST","HST")</f>
        <v>GST</v>
      </c>
      <c r="G34" s="41">
        <f>GST</f>
        <v>0.05</v>
      </c>
      <c r="H34" s="251">
        <f t="shared" ref="H34:H44" si="2">G34</f>
        <v>0.05</v>
      </c>
      <c r="I34" s="231">
        <v>0.1</v>
      </c>
      <c r="J34" s="231"/>
      <c r="K34" s="252"/>
      <c r="L34" s="231">
        <v>1</v>
      </c>
      <c r="M34" s="252"/>
      <c r="N34" s="264">
        <v>55</v>
      </c>
      <c r="O34" s="264">
        <v>0</v>
      </c>
      <c r="P34" s="264">
        <v>0</v>
      </c>
      <c r="Q34" s="264">
        <v>0</v>
      </c>
      <c r="R34" s="264">
        <v>0</v>
      </c>
      <c r="S34" s="264">
        <v>0</v>
      </c>
      <c r="T34" s="264"/>
      <c r="U34" s="265" t="s">
        <v>450</v>
      </c>
      <c r="V34" s="265" t="s">
        <v>323</v>
      </c>
      <c r="W34" s="231">
        <v>0</v>
      </c>
      <c r="X34" s="264">
        <v>0</v>
      </c>
      <c r="Y34" s="266">
        <v>0</v>
      </c>
      <c r="Z34" s="267">
        <v>0</v>
      </c>
      <c r="AA34" s="265" t="s">
        <v>324</v>
      </c>
      <c r="AB34" s="265" t="s">
        <v>491</v>
      </c>
      <c r="AC34" s="265" t="s">
        <v>325</v>
      </c>
      <c r="AD34" s="265"/>
      <c r="AE34" t="s">
        <v>432</v>
      </c>
    </row>
    <row r="35" spans="1:32">
      <c r="A35" s="1">
        <v>2</v>
      </c>
      <c r="B35" s="306" t="s">
        <v>301</v>
      </c>
      <c r="C35" s="250" t="str">
        <f t="shared" si="1"/>
        <v/>
      </c>
      <c r="D35" s="289"/>
      <c r="E35" s="289"/>
      <c r="F35" s="3" t="s">
        <v>306</v>
      </c>
      <c r="G35" s="41">
        <f>GST</f>
        <v>0.05</v>
      </c>
      <c r="H35" s="251">
        <f t="shared" si="2"/>
        <v>0.05</v>
      </c>
      <c r="I35" s="231">
        <v>0.1</v>
      </c>
      <c r="J35" s="231"/>
      <c r="K35" s="252"/>
      <c r="L35" s="231">
        <v>1</v>
      </c>
      <c r="M35" s="252"/>
      <c r="N35" s="264">
        <v>45</v>
      </c>
      <c r="O35" s="254">
        <v>0.03</v>
      </c>
      <c r="P35" s="267">
        <v>500000</v>
      </c>
      <c r="Q35" s="254">
        <v>0.02</v>
      </c>
      <c r="R35" s="267">
        <v>500000</v>
      </c>
      <c r="S35" s="254">
        <v>0.01</v>
      </c>
      <c r="T35" s="264"/>
      <c r="U35" s="265" t="s">
        <v>450</v>
      </c>
      <c r="V35" s="256" t="s">
        <v>318</v>
      </c>
      <c r="W35" s="231">
        <v>0.1</v>
      </c>
      <c r="X35" s="264">
        <v>45</v>
      </c>
      <c r="Y35" s="266">
        <v>0</v>
      </c>
      <c r="Z35" s="267">
        <v>0</v>
      </c>
      <c r="AA35" s="1" t="s">
        <v>326</v>
      </c>
      <c r="AB35" s="265" t="s">
        <v>492</v>
      </c>
      <c r="AC35" s="256" t="s">
        <v>320</v>
      </c>
      <c r="AD35" s="256" t="s">
        <v>327</v>
      </c>
      <c r="AE35" t="s">
        <v>433</v>
      </c>
    </row>
    <row r="36" spans="1:32">
      <c r="A36" s="1">
        <v>3</v>
      </c>
      <c r="B36" s="306" t="s">
        <v>300</v>
      </c>
      <c r="C36" s="250" t="str">
        <f t="shared" si="1"/>
        <v/>
      </c>
      <c r="D36" s="289"/>
      <c r="E36" s="289"/>
      <c r="F36" s="3" t="s">
        <v>306</v>
      </c>
      <c r="G36" s="41">
        <f>GST</f>
        <v>0.05</v>
      </c>
      <c r="H36" s="251">
        <f t="shared" si="2"/>
        <v>0.05</v>
      </c>
      <c r="I36" s="231">
        <v>0.1</v>
      </c>
      <c r="J36" s="231"/>
      <c r="K36" s="252"/>
      <c r="L36" s="231">
        <v>1</v>
      </c>
      <c r="M36" s="252"/>
      <c r="N36" s="264">
        <v>40</v>
      </c>
      <c r="O36" s="254">
        <v>0.03</v>
      </c>
      <c r="P36" s="267">
        <v>500000</v>
      </c>
      <c r="Q36" s="254">
        <v>0.02</v>
      </c>
      <c r="R36" s="267">
        <v>500000</v>
      </c>
      <c r="S36" s="254">
        <v>0.01</v>
      </c>
      <c r="T36" s="264"/>
      <c r="U36" s="265" t="s">
        <v>450</v>
      </c>
      <c r="V36" s="256" t="s">
        <v>318</v>
      </c>
      <c r="W36" s="231">
        <v>0.1</v>
      </c>
      <c r="X36" s="264">
        <v>40</v>
      </c>
      <c r="Y36" s="266">
        <v>0.01</v>
      </c>
      <c r="Z36" s="267">
        <v>1000</v>
      </c>
      <c r="AA36" s="256" t="s">
        <v>319</v>
      </c>
      <c r="AB36" s="265" t="s">
        <v>492</v>
      </c>
      <c r="AC36" s="256" t="s">
        <v>320</v>
      </c>
      <c r="AD36" s="256" t="s">
        <v>321</v>
      </c>
      <c r="AE36" t="s">
        <v>434</v>
      </c>
    </row>
    <row r="37" spans="1:32">
      <c r="A37" s="1">
        <v>4</v>
      </c>
      <c r="B37" s="306" t="s">
        <v>299</v>
      </c>
      <c r="C37" s="250" t="str">
        <f t="shared" si="1"/>
        <v/>
      </c>
      <c r="D37" s="289"/>
      <c r="E37" s="289"/>
      <c r="F37" s="3" t="s">
        <v>306</v>
      </c>
      <c r="G37" s="41">
        <f>GST</f>
        <v>0.05</v>
      </c>
      <c r="H37" s="251">
        <f t="shared" si="2"/>
        <v>0.05</v>
      </c>
      <c r="I37" s="231">
        <v>7.4999999999999997E-2</v>
      </c>
      <c r="J37" s="231"/>
      <c r="K37" s="252"/>
      <c r="L37" s="231">
        <v>1</v>
      </c>
      <c r="M37" s="252"/>
      <c r="N37" s="264">
        <v>40</v>
      </c>
      <c r="O37" s="254">
        <v>0.03</v>
      </c>
      <c r="P37" s="267">
        <v>250000</v>
      </c>
      <c r="Q37" s="254">
        <v>0.02</v>
      </c>
      <c r="R37" s="267">
        <v>250000</v>
      </c>
      <c r="S37" s="254">
        <v>0.01</v>
      </c>
      <c r="T37" s="264"/>
      <c r="U37" s="265" t="s">
        <v>450</v>
      </c>
      <c r="V37" s="256" t="s">
        <v>318</v>
      </c>
      <c r="W37" s="231">
        <v>7.4999999999999997E-2</v>
      </c>
      <c r="X37" s="264">
        <v>40</v>
      </c>
      <c r="Y37" s="266">
        <v>0</v>
      </c>
      <c r="Z37" s="267">
        <v>0</v>
      </c>
      <c r="AA37" s="1" t="s">
        <v>326</v>
      </c>
      <c r="AB37" s="265" t="s">
        <v>492</v>
      </c>
      <c r="AC37" s="256" t="s">
        <v>320</v>
      </c>
      <c r="AD37" s="256" t="s">
        <v>327</v>
      </c>
      <c r="AE37" t="s">
        <v>435</v>
      </c>
    </row>
    <row r="38" spans="1:32">
      <c r="A38" s="1">
        <v>7</v>
      </c>
      <c r="B38" s="306" t="s">
        <v>298</v>
      </c>
      <c r="C38" s="250" t="str">
        <f t="shared" si="1"/>
        <v/>
      </c>
      <c r="D38" s="289"/>
      <c r="E38" s="289"/>
      <c r="F38" s="232" t="s">
        <v>160</v>
      </c>
      <c r="G38" s="290">
        <v>0.13</v>
      </c>
      <c r="H38" s="251">
        <f t="shared" si="2"/>
        <v>0.13</v>
      </c>
      <c r="I38" s="268">
        <f ca="1">IF(Contract_Amount&gt;=K38,IF($I$47&lt;K38,J38,L38),J38)</f>
        <v>0.2</v>
      </c>
      <c r="J38" s="268">
        <v>0.2</v>
      </c>
      <c r="K38" s="269">
        <v>15000</v>
      </c>
      <c r="L38" s="268">
        <v>0.15</v>
      </c>
      <c r="M38" s="269">
        <f>J38*K38</f>
        <v>3000</v>
      </c>
      <c r="N38" s="264">
        <v>60</v>
      </c>
      <c r="O38" s="264">
        <v>0</v>
      </c>
      <c r="P38" s="264">
        <v>0</v>
      </c>
      <c r="Q38" s="264">
        <v>0</v>
      </c>
      <c r="R38" s="264">
        <v>0</v>
      </c>
      <c r="S38" s="264">
        <v>0</v>
      </c>
      <c r="T38" s="264"/>
      <c r="U38" s="265" t="s">
        <v>450</v>
      </c>
      <c r="V38" s="265" t="s">
        <v>323</v>
      </c>
      <c r="W38" s="231">
        <v>0</v>
      </c>
      <c r="X38" s="264">
        <v>0</v>
      </c>
      <c r="Y38" s="266">
        <v>0</v>
      </c>
      <c r="Z38" s="267">
        <v>0</v>
      </c>
      <c r="AA38" s="265" t="s">
        <v>324</v>
      </c>
      <c r="AB38" s="265" t="s">
        <v>491</v>
      </c>
      <c r="AC38" s="265" t="s">
        <v>325</v>
      </c>
      <c r="AD38" s="265"/>
      <c r="AE38" t="s">
        <v>436</v>
      </c>
      <c r="AF38" s="234" t="s">
        <v>328</v>
      </c>
    </row>
    <row r="39" spans="1:32">
      <c r="A39" s="1">
        <v>8</v>
      </c>
      <c r="B39" s="306" t="s">
        <v>297</v>
      </c>
      <c r="C39" s="250" t="str">
        <f t="shared" si="1"/>
        <v/>
      </c>
      <c r="D39" s="289"/>
      <c r="E39" s="289"/>
      <c r="F39" s="232" t="s">
        <v>160</v>
      </c>
      <c r="G39" s="231">
        <f ca="1">IF(NOW()&gt;DATE(2010,7,1),0.15,0.13)</f>
        <v>0.15</v>
      </c>
      <c r="H39" s="251">
        <f t="shared" ca="1" si="2"/>
        <v>0.15</v>
      </c>
      <c r="I39" s="231">
        <v>0.1</v>
      </c>
      <c r="J39" s="231"/>
      <c r="K39" s="252"/>
      <c r="L39" s="231">
        <v>1</v>
      </c>
      <c r="M39" s="252"/>
      <c r="N39" s="264">
        <v>60</v>
      </c>
      <c r="O39" s="270">
        <v>2.5000000000000001E-2</v>
      </c>
      <c r="P39" s="267">
        <v>500000</v>
      </c>
      <c r="Q39" s="270">
        <v>2.5000000000000001E-2</v>
      </c>
      <c r="R39" s="267">
        <v>500000</v>
      </c>
      <c r="S39" s="270">
        <v>2.5000000000000001E-2</v>
      </c>
      <c r="T39" s="264"/>
      <c r="U39" s="265" t="s">
        <v>450</v>
      </c>
      <c r="V39" s="256" t="s">
        <v>318</v>
      </c>
      <c r="W39" s="231">
        <v>2.5000000000000001E-2</v>
      </c>
      <c r="X39" s="264">
        <v>60</v>
      </c>
      <c r="Y39" s="266">
        <v>0</v>
      </c>
      <c r="Z39" s="267">
        <v>0</v>
      </c>
      <c r="AA39" s="1" t="s">
        <v>326</v>
      </c>
      <c r="AB39" s="265" t="s">
        <v>492</v>
      </c>
      <c r="AC39" s="256" t="s">
        <v>320</v>
      </c>
      <c r="AD39" s="256" t="s">
        <v>327</v>
      </c>
      <c r="AE39" t="s">
        <v>437</v>
      </c>
      <c r="AF39" t="s">
        <v>329</v>
      </c>
    </row>
    <row r="40" spans="1:32">
      <c r="A40" s="1">
        <v>9</v>
      </c>
      <c r="B40" s="306" t="s">
        <v>296</v>
      </c>
      <c r="C40" s="250" t="str">
        <f t="shared" si="1"/>
        <v/>
      </c>
      <c r="D40" s="289"/>
      <c r="E40" s="289"/>
      <c r="F40" s="3" t="s">
        <v>160</v>
      </c>
      <c r="G40" s="41">
        <v>0.14000000000000001</v>
      </c>
      <c r="H40" s="251">
        <f t="shared" si="2"/>
        <v>0.14000000000000001</v>
      </c>
      <c r="I40" s="268">
        <f ca="1">IF(Contract_Amount&gt;=K40,IF($I$47&lt;K40,J40,L40),J40)</f>
        <v>0.2</v>
      </c>
      <c r="J40" s="268">
        <v>0.2</v>
      </c>
      <c r="K40" s="269">
        <v>15000</v>
      </c>
      <c r="L40" s="268">
        <v>0.15</v>
      </c>
      <c r="M40" s="269">
        <f>J40*K40</f>
        <v>3000</v>
      </c>
      <c r="N40" s="264">
        <v>60</v>
      </c>
      <c r="O40" s="264">
        <v>0</v>
      </c>
      <c r="P40" s="264">
        <v>0</v>
      </c>
      <c r="Q40" s="264">
        <v>0</v>
      </c>
      <c r="R40" s="264">
        <v>0</v>
      </c>
      <c r="S40" s="264">
        <v>0</v>
      </c>
      <c r="T40" s="264"/>
      <c r="U40" s="265" t="s">
        <v>450</v>
      </c>
      <c r="V40" s="265" t="s">
        <v>323</v>
      </c>
      <c r="W40" s="231">
        <v>0</v>
      </c>
      <c r="X40" s="264">
        <v>0</v>
      </c>
      <c r="Y40" s="266">
        <v>0</v>
      </c>
      <c r="Z40" s="267">
        <v>0</v>
      </c>
      <c r="AA40" s="265" t="s">
        <v>324</v>
      </c>
      <c r="AB40" s="265" t="s">
        <v>491</v>
      </c>
      <c r="AC40" s="256" t="s">
        <v>320</v>
      </c>
      <c r="AD40" s="265"/>
      <c r="AE40" t="s">
        <v>438</v>
      </c>
      <c r="AF40" s="234" t="s">
        <v>328</v>
      </c>
    </row>
    <row r="41" spans="1:32">
      <c r="A41" s="1">
        <v>10</v>
      </c>
      <c r="B41" s="306" t="s">
        <v>295</v>
      </c>
      <c r="C41" s="250" t="str">
        <f t="shared" si="1"/>
        <v/>
      </c>
      <c r="D41" s="289"/>
      <c r="E41" s="289"/>
      <c r="F41" s="232" t="s">
        <v>160</v>
      </c>
      <c r="G41" s="290">
        <v>0.13</v>
      </c>
      <c r="H41" s="251">
        <f t="shared" si="2"/>
        <v>0.13</v>
      </c>
      <c r="I41" s="231">
        <v>0.1</v>
      </c>
      <c r="J41" s="231"/>
      <c r="K41" s="252"/>
      <c r="L41" s="231">
        <v>1</v>
      </c>
      <c r="M41" s="252"/>
      <c r="N41" s="264">
        <v>30</v>
      </c>
      <c r="O41" s="254">
        <v>0.03</v>
      </c>
      <c r="P41" s="267">
        <v>250000</v>
      </c>
      <c r="Q41" s="254">
        <v>0.02</v>
      </c>
      <c r="R41" s="267">
        <v>250000</v>
      </c>
      <c r="S41" s="254">
        <v>0.01</v>
      </c>
      <c r="T41" s="264"/>
      <c r="U41" s="265" t="s">
        <v>450</v>
      </c>
      <c r="V41" s="256" t="s">
        <v>318</v>
      </c>
      <c r="W41" s="231">
        <v>0</v>
      </c>
      <c r="X41" s="264">
        <v>0</v>
      </c>
      <c r="Y41" s="266">
        <v>0</v>
      </c>
      <c r="Z41" s="267">
        <v>0</v>
      </c>
      <c r="AA41" s="265" t="s">
        <v>324</v>
      </c>
      <c r="AB41" s="265" t="s">
        <v>491</v>
      </c>
      <c r="AC41" s="256" t="s">
        <v>320</v>
      </c>
      <c r="AD41" s="265"/>
      <c r="AE41" t="s">
        <v>439</v>
      </c>
    </row>
    <row r="42" spans="1:32">
      <c r="A42" s="1">
        <v>11</v>
      </c>
      <c r="B42" s="306" t="s">
        <v>294</v>
      </c>
      <c r="C42" s="250" t="str">
        <f t="shared" si="1"/>
        <v/>
      </c>
      <c r="D42" s="289"/>
      <c r="E42" s="289"/>
      <c r="F42" s="3" t="s">
        <v>306</v>
      </c>
      <c r="G42" s="41">
        <f>GST</f>
        <v>0.05</v>
      </c>
      <c r="H42" s="251">
        <f t="shared" si="2"/>
        <v>0.05</v>
      </c>
      <c r="I42" s="231">
        <v>0.1</v>
      </c>
      <c r="J42" s="231"/>
      <c r="K42" s="252"/>
      <c r="L42" s="231">
        <v>1</v>
      </c>
      <c r="M42" s="252"/>
      <c r="N42" s="264">
        <v>30</v>
      </c>
      <c r="O42" s="264">
        <v>0</v>
      </c>
      <c r="P42" s="264">
        <v>0</v>
      </c>
      <c r="Q42" s="264">
        <v>0</v>
      </c>
      <c r="R42" s="264">
        <v>0</v>
      </c>
      <c r="S42" s="264">
        <v>0</v>
      </c>
      <c r="T42" s="264"/>
      <c r="U42" s="265" t="s">
        <v>451</v>
      </c>
      <c r="V42" s="1" t="s">
        <v>326</v>
      </c>
      <c r="W42" s="231">
        <v>0</v>
      </c>
      <c r="X42" s="264">
        <v>0</v>
      </c>
      <c r="Y42" s="266">
        <v>0</v>
      </c>
      <c r="Z42" s="267">
        <v>0</v>
      </c>
      <c r="AA42" s="265" t="s">
        <v>324</v>
      </c>
      <c r="AB42" s="265" t="s">
        <v>491</v>
      </c>
      <c r="AC42" s="265" t="s">
        <v>325</v>
      </c>
      <c r="AD42" s="265"/>
      <c r="AE42" t="s">
        <v>440</v>
      </c>
    </row>
    <row r="43" spans="1:32">
      <c r="A43" s="1">
        <v>12</v>
      </c>
      <c r="B43" s="306" t="s">
        <v>293</v>
      </c>
      <c r="C43" s="250" t="str">
        <f t="shared" si="1"/>
        <v/>
      </c>
      <c r="D43" s="289"/>
      <c r="E43" s="289"/>
      <c r="F43" s="3" t="s">
        <v>306</v>
      </c>
      <c r="G43" s="41">
        <f>GST</f>
        <v>0.05</v>
      </c>
      <c r="H43" s="251">
        <f t="shared" si="2"/>
        <v>0.05</v>
      </c>
      <c r="I43" s="231">
        <v>0.1</v>
      </c>
      <c r="J43" s="231"/>
      <c r="K43" s="252"/>
      <c r="L43" s="231">
        <v>1</v>
      </c>
      <c r="M43" s="252"/>
      <c r="N43" s="264">
        <v>45</v>
      </c>
      <c r="O43" s="264">
        <v>0</v>
      </c>
      <c r="P43" s="264">
        <v>0</v>
      </c>
      <c r="Q43" s="264">
        <v>0</v>
      </c>
      <c r="R43" s="264">
        <v>0</v>
      </c>
      <c r="S43" s="264">
        <v>0</v>
      </c>
      <c r="T43" s="264"/>
      <c r="U43" s="265" t="s">
        <v>451</v>
      </c>
      <c r="V43" s="1" t="s">
        <v>326</v>
      </c>
      <c r="W43" s="231">
        <v>0</v>
      </c>
      <c r="X43" s="264">
        <v>0</v>
      </c>
      <c r="Y43" s="266">
        <v>0</v>
      </c>
      <c r="Z43" s="267">
        <v>0</v>
      </c>
      <c r="AA43" s="265" t="s">
        <v>324</v>
      </c>
      <c r="AB43" s="265" t="s">
        <v>491</v>
      </c>
      <c r="AC43" s="265" t="s">
        <v>325</v>
      </c>
      <c r="AD43" s="265"/>
      <c r="AE43" t="s">
        <v>441</v>
      </c>
    </row>
    <row r="44" spans="1:32">
      <c r="A44" s="1">
        <v>13</v>
      </c>
      <c r="B44" s="306" t="s">
        <v>292</v>
      </c>
      <c r="C44" s="250" t="str">
        <f t="shared" si="1"/>
        <v/>
      </c>
      <c r="D44" s="289"/>
      <c r="E44" s="289"/>
      <c r="F44" s="3" t="s">
        <v>306</v>
      </c>
      <c r="G44" s="41">
        <f>GST</f>
        <v>0.05</v>
      </c>
      <c r="H44" s="251">
        <f t="shared" si="2"/>
        <v>0.05</v>
      </c>
      <c r="I44" s="231">
        <v>0.1</v>
      </c>
      <c r="J44" s="231"/>
      <c r="K44" s="252"/>
      <c r="L44" s="231">
        <v>1</v>
      </c>
      <c r="M44" s="252"/>
      <c r="N44" s="264">
        <v>45</v>
      </c>
      <c r="O44" s="264">
        <v>0</v>
      </c>
      <c r="P44" s="264">
        <v>0</v>
      </c>
      <c r="Q44" s="264">
        <v>0</v>
      </c>
      <c r="R44" s="264">
        <v>0</v>
      </c>
      <c r="S44" s="264">
        <v>0</v>
      </c>
      <c r="T44" s="264"/>
      <c r="U44" s="265" t="s">
        <v>451</v>
      </c>
      <c r="V44" s="1" t="s">
        <v>326</v>
      </c>
      <c r="W44" s="231">
        <v>0</v>
      </c>
      <c r="X44" s="264">
        <v>0</v>
      </c>
      <c r="Y44" s="266">
        <v>0</v>
      </c>
      <c r="Z44" s="267">
        <v>0</v>
      </c>
      <c r="AA44" s="265" t="s">
        <v>324</v>
      </c>
      <c r="AB44" s="265" t="s">
        <v>491</v>
      </c>
      <c r="AC44" s="265" t="s">
        <v>325</v>
      </c>
      <c r="AD44" s="265"/>
      <c r="AE44" t="s">
        <v>442</v>
      </c>
    </row>
    <row r="45" spans="1:32" ht="15">
      <c r="A45" s="1"/>
      <c r="B45" s="233"/>
      <c r="C45" s="250"/>
      <c r="D45" s="289"/>
      <c r="E45" s="289"/>
      <c r="F45" s="3"/>
      <c r="G45" s="3"/>
      <c r="H45" s="232"/>
      <c r="I45" s="231"/>
      <c r="J45" s="231"/>
      <c r="K45" s="252"/>
      <c r="L45" s="231"/>
      <c r="M45" s="252"/>
      <c r="N45" s="264"/>
      <c r="O45" s="264"/>
      <c r="P45" s="264"/>
      <c r="Q45" s="264"/>
      <c r="R45" s="264"/>
      <c r="S45" s="264"/>
      <c r="T45" s="264"/>
      <c r="U45" s="265"/>
      <c r="V45" s="1"/>
      <c r="W45" s="231"/>
      <c r="X45" s="264"/>
      <c r="Y45" s="266"/>
      <c r="Z45" s="264"/>
      <c r="AA45" s="265"/>
      <c r="AB45" s="265"/>
      <c r="AC45" s="265"/>
      <c r="AD45" s="265"/>
      <c r="AE45" s="308" t="s">
        <v>425</v>
      </c>
    </row>
    <row r="46" spans="1:32" ht="15">
      <c r="A46" s="1"/>
      <c r="B46" s="233"/>
      <c r="C46" s="250"/>
      <c r="D46" s="3"/>
      <c r="E46" s="232"/>
      <c r="F46" s="231"/>
      <c r="G46" s="231"/>
      <c r="H46" s="252"/>
      <c r="I46" s="231"/>
      <c r="J46" s="252"/>
      <c r="K46" s="264"/>
      <c r="L46" s="264"/>
      <c r="M46" s="264"/>
      <c r="N46" s="264"/>
      <c r="O46" s="264"/>
      <c r="P46" s="264"/>
      <c r="Q46" s="264"/>
      <c r="R46" s="265"/>
      <c r="S46" s="1"/>
      <c r="T46" s="231"/>
      <c r="U46" s="264"/>
      <c r="V46" s="266"/>
      <c r="W46" s="264"/>
      <c r="X46" s="265"/>
      <c r="Y46" s="265"/>
      <c r="Z46" s="265"/>
      <c r="AA46" s="257"/>
      <c r="AB46" s="257"/>
    </row>
    <row r="47" spans="1:32" ht="15">
      <c r="A47" s="1"/>
      <c r="B47" s="233" t="s">
        <v>381</v>
      </c>
      <c r="C47" s="250"/>
      <c r="D47" s="3"/>
      <c r="E47" s="232"/>
      <c r="F47" s="231"/>
      <c r="G47" s="231"/>
      <c r="I47" s="356">
        <f ca="1">MAX(O50:O97)</f>
        <v>0</v>
      </c>
      <c r="J47" s="356"/>
      <c r="K47" s="264"/>
      <c r="L47" s="264"/>
      <c r="M47" s="264"/>
      <c r="N47" s="264"/>
      <c r="O47" s="264"/>
      <c r="P47" s="264"/>
      <c r="Q47" s="264"/>
      <c r="R47" s="265"/>
      <c r="S47" s="1"/>
      <c r="T47" s="231"/>
      <c r="U47" s="264"/>
      <c r="V47" s="266"/>
      <c r="W47" s="264"/>
      <c r="X47" s="265"/>
      <c r="Y47" s="265"/>
      <c r="Z47" s="265"/>
      <c r="AA47" s="257"/>
      <c r="AB47" s="257"/>
    </row>
    <row r="48" spans="1:32" ht="15">
      <c r="A48" s="1"/>
      <c r="B48" s="233"/>
      <c r="C48" s="250"/>
      <c r="D48" s="3"/>
      <c r="E48" s="232"/>
      <c r="F48" s="231"/>
      <c r="G48" s="231"/>
      <c r="H48" s="231"/>
      <c r="I48" s="231"/>
      <c r="J48" s="252"/>
      <c r="K48" s="264"/>
      <c r="L48" s="264"/>
      <c r="M48" s="264"/>
      <c r="N48" s="264"/>
      <c r="O48" s="264"/>
      <c r="P48" s="264"/>
      <c r="Q48" s="264"/>
      <c r="R48" s="265"/>
      <c r="S48" s="1"/>
      <c r="T48" s="231"/>
      <c r="U48" s="264"/>
      <c r="V48" s="266"/>
      <c r="W48" s="264"/>
      <c r="X48" s="265"/>
      <c r="Y48" s="265"/>
      <c r="Z48" s="265"/>
      <c r="AA48" s="257"/>
      <c r="AB48" s="257"/>
    </row>
    <row r="49" spans="1:28" ht="15">
      <c r="A49" s="1"/>
      <c r="B49" s="282"/>
      <c r="C49" s="283" t="s">
        <v>382</v>
      </c>
      <c r="D49" s="284" t="s">
        <v>384</v>
      </c>
      <c r="E49" s="285" t="s">
        <v>383</v>
      </c>
      <c r="F49" s="286"/>
      <c r="G49" s="286"/>
      <c r="H49" s="287" t="s">
        <v>385</v>
      </c>
      <c r="I49" s="286"/>
      <c r="J49" s="288"/>
      <c r="K49" s="238"/>
      <c r="L49" s="238"/>
      <c r="M49" s="238"/>
      <c r="N49" s="238"/>
      <c r="O49" s="238"/>
      <c r="P49" s="238" t="s">
        <v>330</v>
      </c>
      <c r="Q49" s="238" t="s">
        <v>331</v>
      </c>
      <c r="R49" s="265"/>
      <c r="S49" s="1"/>
      <c r="T49" s="231"/>
      <c r="U49" s="264"/>
      <c r="V49" s="266"/>
      <c r="W49" s="264"/>
      <c r="X49" s="265"/>
      <c r="Y49" s="265"/>
      <c r="Z49" s="265"/>
      <c r="AA49" s="257"/>
      <c r="AB49" s="257"/>
    </row>
    <row r="50" spans="1:28" ht="15">
      <c r="A50" s="1"/>
      <c r="B50" s="237" t="s">
        <v>332</v>
      </c>
      <c r="C50" s="237" t="s">
        <v>493</v>
      </c>
      <c r="D50" s="271" t="s">
        <v>333</v>
      </c>
      <c r="E50" s="335" t="s">
        <v>494</v>
      </c>
      <c r="F50" s="231"/>
      <c r="G50" s="231" t="str">
        <f t="shared" ref="G50:G101" si="3" xml:space="preserve"> "'" &amp;$C$50 &amp; $D50 &amp; $E$50</f>
        <v>'App For Payment-01'!WorkFinished</v>
      </c>
      <c r="H50" s="252"/>
      <c r="I50" s="2"/>
      <c r="J50" s="252"/>
      <c r="K50" s="2"/>
      <c r="L50" s="2"/>
      <c r="M50" s="264" t="e">
        <f t="shared" ref="M50:M52" ca="1" si="4">INDIRECT(G50)</f>
        <v>#REF!</v>
      </c>
      <c r="N50" s="264"/>
      <c r="O50" s="264">
        <f ca="1">IF(ISERR(M50),0,M50)</f>
        <v>0</v>
      </c>
      <c r="P50" s="3">
        <f t="shared" ref="P50:P101" ca="1" si="5">IF(Contract_Amount&gt;=$K$38,IF($O50&lt;=$K$38,$J$38,$L$38),$J$38)</f>
        <v>0.2</v>
      </c>
      <c r="Q50" s="3">
        <f t="shared" ref="Q50:Q101" ca="1" si="6">IF(Contract_Amount&gt;=$K$40,IF($O50&lt;=$K$40,$J$40,$L$40),$J$40)</f>
        <v>0.2</v>
      </c>
      <c r="R50" s="265"/>
      <c r="S50" s="1"/>
      <c r="T50" s="231"/>
      <c r="U50" s="264"/>
      <c r="V50" s="266"/>
      <c r="W50" s="264"/>
      <c r="X50" s="265"/>
      <c r="Y50" s="265"/>
      <c r="Z50" s="265"/>
      <c r="AA50" s="257"/>
      <c r="AB50" s="257"/>
    </row>
    <row r="51" spans="1:28" ht="15">
      <c r="A51" s="1"/>
      <c r="C51" s="233"/>
      <c r="D51" s="271" t="s">
        <v>334</v>
      </c>
      <c r="E51" s="232"/>
      <c r="F51" s="231"/>
      <c r="G51" s="231" t="str">
        <f t="shared" si="3"/>
        <v>'App For Payment-02'!WorkFinished</v>
      </c>
      <c r="H51" s="252"/>
      <c r="I51" s="2"/>
      <c r="J51" s="252"/>
      <c r="K51" s="2"/>
      <c r="L51" s="2"/>
      <c r="M51" s="264" t="e">
        <f t="shared" ca="1" si="4"/>
        <v>#REF!</v>
      </c>
      <c r="N51" s="264"/>
      <c r="O51" s="264">
        <f t="shared" ref="O51:O52" ca="1" si="7">IF(ISERR(M51),0,M51)</f>
        <v>0</v>
      </c>
      <c r="P51" s="3">
        <f t="shared" ca="1" si="5"/>
        <v>0.2</v>
      </c>
      <c r="Q51" s="3">
        <f t="shared" ca="1" si="6"/>
        <v>0.2</v>
      </c>
      <c r="R51" s="265"/>
      <c r="S51" s="1"/>
      <c r="T51" s="231"/>
      <c r="U51" s="264"/>
      <c r="V51" s="266"/>
      <c r="W51" s="264"/>
      <c r="X51" s="265"/>
      <c r="Y51" s="265"/>
      <c r="Z51" s="265"/>
      <c r="AA51" s="257"/>
      <c r="AB51" s="257"/>
    </row>
    <row r="52" spans="1:28" ht="15">
      <c r="A52" s="1"/>
      <c r="C52" s="233"/>
      <c r="D52" s="271" t="s">
        <v>335</v>
      </c>
      <c r="E52" s="232"/>
      <c r="F52" s="231"/>
      <c r="G52" s="231" t="str">
        <f t="shared" si="3"/>
        <v>'App For Payment-03'!WorkFinished</v>
      </c>
      <c r="H52" s="252"/>
      <c r="I52" s="2"/>
      <c r="J52" s="252"/>
      <c r="K52" s="2"/>
      <c r="L52" s="2"/>
      <c r="M52" s="264" t="e">
        <f t="shared" ca="1" si="4"/>
        <v>#REF!</v>
      </c>
      <c r="N52" s="264"/>
      <c r="O52" s="264">
        <f t="shared" ca="1" si="7"/>
        <v>0</v>
      </c>
      <c r="P52" s="3">
        <f t="shared" ca="1" si="5"/>
        <v>0.2</v>
      </c>
      <c r="Q52" s="3">
        <f t="shared" ca="1" si="6"/>
        <v>0.2</v>
      </c>
      <c r="R52" s="265"/>
      <c r="S52" s="1"/>
      <c r="T52" s="231"/>
      <c r="U52" s="264"/>
      <c r="V52" s="266"/>
      <c r="W52" s="264"/>
      <c r="X52" s="265"/>
      <c r="Y52" s="265"/>
      <c r="Z52" s="265"/>
      <c r="AA52" s="257"/>
      <c r="AB52" s="257"/>
    </row>
    <row r="53" spans="1:28" ht="15">
      <c r="A53" s="1"/>
      <c r="C53" s="233"/>
      <c r="D53" s="271" t="s">
        <v>336</v>
      </c>
      <c r="E53" s="232"/>
      <c r="F53" s="231"/>
      <c r="G53" s="231" t="str">
        <f t="shared" si="3"/>
        <v>'App For Payment-04'!WorkFinished</v>
      </c>
      <c r="H53" s="252"/>
      <c r="I53" s="2"/>
      <c r="J53" s="252"/>
      <c r="K53" s="2"/>
      <c r="L53" s="2"/>
      <c r="M53" s="264" t="e">
        <f t="shared" ref="M53:M80" ca="1" si="8">INDIRECT(G53)</f>
        <v>#REF!</v>
      </c>
      <c r="N53" s="264"/>
      <c r="O53" s="264">
        <f t="shared" ref="O53:O80" ca="1" si="9">IF(ISERR(M53),0,M53)</f>
        <v>0</v>
      </c>
      <c r="P53" s="3">
        <f t="shared" ca="1" si="5"/>
        <v>0.2</v>
      </c>
      <c r="Q53" s="3">
        <f t="shared" ca="1" si="6"/>
        <v>0.2</v>
      </c>
      <c r="R53" s="265"/>
      <c r="S53" s="1"/>
      <c r="T53" s="231"/>
      <c r="U53" s="264"/>
      <c r="V53" s="266"/>
      <c r="W53" s="264"/>
      <c r="X53" s="265"/>
      <c r="Y53" s="265"/>
      <c r="Z53" s="265"/>
      <c r="AA53" s="257"/>
      <c r="AB53" s="257"/>
    </row>
    <row r="54" spans="1:28" ht="15">
      <c r="A54" s="1"/>
      <c r="C54" s="233"/>
      <c r="D54" s="271" t="s">
        <v>337</v>
      </c>
      <c r="E54" s="232"/>
      <c r="F54" s="231"/>
      <c r="G54" s="231" t="str">
        <f t="shared" si="3"/>
        <v>'App For Payment-05'!WorkFinished</v>
      </c>
      <c r="H54" s="252"/>
      <c r="I54" s="2"/>
      <c r="J54" s="252"/>
      <c r="K54" s="2"/>
      <c r="L54" s="2"/>
      <c r="M54" s="264" t="e">
        <f t="shared" ca="1" si="8"/>
        <v>#REF!</v>
      </c>
      <c r="N54" s="264"/>
      <c r="O54" s="264">
        <f t="shared" ca="1" si="9"/>
        <v>0</v>
      </c>
      <c r="P54" s="3">
        <f t="shared" ca="1" si="5"/>
        <v>0.2</v>
      </c>
      <c r="Q54" s="3">
        <f t="shared" ca="1" si="6"/>
        <v>0.2</v>
      </c>
      <c r="R54" s="265"/>
      <c r="S54" s="1"/>
      <c r="T54" s="231"/>
      <c r="U54" s="264"/>
      <c r="V54" s="266"/>
      <c r="W54" s="264"/>
      <c r="X54" s="265"/>
      <c r="Y54" s="265"/>
      <c r="Z54" s="265"/>
      <c r="AA54" s="257"/>
      <c r="AB54" s="257"/>
    </row>
    <row r="55" spans="1:28" ht="15">
      <c r="A55" s="1"/>
      <c r="C55" s="233"/>
      <c r="D55" s="271" t="s">
        <v>338</v>
      </c>
      <c r="E55" s="232"/>
      <c r="F55" s="231"/>
      <c r="G55" s="231" t="str">
        <f t="shared" si="3"/>
        <v>'App For Payment-06'!WorkFinished</v>
      </c>
      <c r="H55" s="252"/>
      <c r="I55" s="2"/>
      <c r="J55" s="252"/>
      <c r="K55" s="2"/>
      <c r="L55" s="2"/>
      <c r="M55" s="264" t="e">
        <f t="shared" ca="1" si="8"/>
        <v>#REF!</v>
      </c>
      <c r="N55" s="264"/>
      <c r="O55" s="264">
        <f t="shared" ca="1" si="9"/>
        <v>0</v>
      </c>
      <c r="P55" s="3">
        <f t="shared" ca="1" si="5"/>
        <v>0.2</v>
      </c>
      <c r="Q55" s="3">
        <f t="shared" ca="1" si="6"/>
        <v>0.2</v>
      </c>
      <c r="R55" s="265"/>
      <c r="S55" s="1"/>
      <c r="T55" s="231"/>
      <c r="U55" s="264"/>
      <c r="V55" s="266"/>
      <c r="W55" s="264"/>
      <c r="X55" s="265"/>
      <c r="Y55" s="265"/>
      <c r="Z55" s="265"/>
      <c r="AA55" s="257"/>
      <c r="AB55" s="257"/>
    </row>
    <row r="56" spans="1:28" ht="15">
      <c r="A56" s="1"/>
      <c r="C56" s="233"/>
      <c r="D56" s="271" t="s">
        <v>339</v>
      </c>
      <c r="E56" s="232"/>
      <c r="F56" s="231"/>
      <c r="G56" s="231" t="str">
        <f t="shared" si="3"/>
        <v>'App For Payment-07'!WorkFinished</v>
      </c>
      <c r="H56" s="252"/>
      <c r="I56" s="2"/>
      <c r="J56" s="252"/>
      <c r="K56" s="2"/>
      <c r="L56" s="2"/>
      <c r="M56" s="264" t="e">
        <f t="shared" ca="1" si="8"/>
        <v>#REF!</v>
      </c>
      <c r="N56" s="264"/>
      <c r="O56" s="264">
        <f t="shared" ca="1" si="9"/>
        <v>0</v>
      </c>
      <c r="P56" s="3">
        <f t="shared" ca="1" si="5"/>
        <v>0.2</v>
      </c>
      <c r="Q56" s="3">
        <f t="shared" ca="1" si="6"/>
        <v>0.2</v>
      </c>
      <c r="R56" s="265"/>
      <c r="S56" s="1"/>
      <c r="T56" s="231"/>
      <c r="U56" s="264"/>
      <c r="V56" s="266"/>
      <c r="W56" s="264"/>
      <c r="X56" s="265"/>
      <c r="Y56" s="265"/>
      <c r="Z56" s="265"/>
      <c r="AA56" s="257"/>
      <c r="AB56" s="257"/>
    </row>
    <row r="57" spans="1:28" ht="15">
      <c r="A57" s="1"/>
      <c r="C57" s="233"/>
      <c r="D57" s="271" t="s">
        <v>340</v>
      </c>
      <c r="E57" s="232"/>
      <c r="F57" s="231"/>
      <c r="G57" s="231" t="str">
        <f t="shared" si="3"/>
        <v>'App For Payment-08'!WorkFinished</v>
      </c>
      <c r="H57" s="252"/>
      <c r="I57" s="2"/>
      <c r="J57" s="252"/>
      <c r="K57" s="2"/>
      <c r="L57" s="2"/>
      <c r="M57" s="264" t="e">
        <f t="shared" ca="1" si="8"/>
        <v>#REF!</v>
      </c>
      <c r="N57" s="264"/>
      <c r="O57" s="264">
        <f t="shared" ca="1" si="9"/>
        <v>0</v>
      </c>
      <c r="P57" s="3">
        <f t="shared" ca="1" si="5"/>
        <v>0.2</v>
      </c>
      <c r="Q57" s="3">
        <f t="shared" ca="1" si="6"/>
        <v>0.2</v>
      </c>
      <c r="R57" s="265"/>
      <c r="S57" s="1"/>
      <c r="T57" s="231"/>
      <c r="U57" s="264"/>
      <c r="V57" s="266"/>
      <c r="W57" s="264"/>
      <c r="X57" s="265"/>
      <c r="Y57" s="265"/>
      <c r="Z57" s="265"/>
      <c r="AA57" s="257"/>
      <c r="AB57" s="257"/>
    </row>
    <row r="58" spans="1:28" ht="15">
      <c r="A58" s="1"/>
      <c r="C58" s="233"/>
      <c r="D58" s="271" t="s">
        <v>341</v>
      </c>
      <c r="E58" s="232"/>
      <c r="F58" s="231"/>
      <c r="G58" s="231" t="str">
        <f t="shared" si="3"/>
        <v>'App For Payment-09'!WorkFinished</v>
      </c>
      <c r="H58" s="252"/>
      <c r="I58" s="2"/>
      <c r="J58" s="252"/>
      <c r="K58" s="2"/>
      <c r="L58" s="2"/>
      <c r="M58" s="264" t="e">
        <f t="shared" ca="1" si="8"/>
        <v>#REF!</v>
      </c>
      <c r="N58" s="264"/>
      <c r="O58" s="264">
        <f t="shared" ca="1" si="9"/>
        <v>0</v>
      </c>
      <c r="P58" s="3">
        <f t="shared" ca="1" si="5"/>
        <v>0.2</v>
      </c>
      <c r="Q58" s="3">
        <f t="shared" ca="1" si="6"/>
        <v>0.2</v>
      </c>
      <c r="R58" s="265"/>
      <c r="S58" s="1"/>
      <c r="T58" s="231"/>
      <c r="U58" s="264"/>
      <c r="V58" s="266"/>
      <c r="W58" s="264"/>
      <c r="X58" s="265"/>
      <c r="Y58" s="265"/>
      <c r="Z58" s="265"/>
      <c r="AA58" s="257"/>
      <c r="AB58" s="257"/>
    </row>
    <row r="59" spans="1:28" ht="15">
      <c r="A59" s="1"/>
      <c r="C59" s="233"/>
      <c r="D59" s="271" t="s">
        <v>342</v>
      </c>
      <c r="E59" s="232"/>
      <c r="F59" s="231"/>
      <c r="G59" s="231" t="str">
        <f t="shared" si="3"/>
        <v>'App For Payment-10'!WorkFinished</v>
      </c>
      <c r="H59" s="252"/>
      <c r="I59" s="2"/>
      <c r="J59" s="252"/>
      <c r="K59" s="2"/>
      <c r="L59" s="2"/>
      <c r="M59" s="264" t="e">
        <f t="shared" ca="1" si="8"/>
        <v>#REF!</v>
      </c>
      <c r="N59" s="264"/>
      <c r="O59" s="264">
        <f t="shared" ca="1" si="9"/>
        <v>0</v>
      </c>
      <c r="P59" s="3">
        <f t="shared" ca="1" si="5"/>
        <v>0.2</v>
      </c>
      <c r="Q59" s="3">
        <f t="shared" ca="1" si="6"/>
        <v>0.2</v>
      </c>
      <c r="R59" s="265"/>
      <c r="S59" s="1"/>
      <c r="T59" s="231"/>
      <c r="U59" s="264"/>
      <c r="V59" s="266"/>
      <c r="W59" s="264"/>
      <c r="X59" s="265"/>
      <c r="Y59" s="265"/>
      <c r="Z59" s="265"/>
      <c r="AA59" s="257"/>
      <c r="AB59" s="257"/>
    </row>
    <row r="60" spans="1:28" ht="15">
      <c r="A60" s="1"/>
      <c r="C60" s="233"/>
      <c r="D60" s="271" t="s">
        <v>343</v>
      </c>
      <c r="E60" s="232"/>
      <c r="F60" s="231"/>
      <c r="G60" s="231" t="str">
        <f t="shared" si="3"/>
        <v>'App For Payment-11'!WorkFinished</v>
      </c>
      <c r="H60" s="252"/>
      <c r="I60" s="2"/>
      <c r="J60" s="252"/>
      <c r="K60" s="2"/>
      <c r="L60" s="2"/>
      <c r="M60" s="264" t="e">
        <f t="shared" ca="1" si="8"/>
        <v>#REF!</v>
      </c>
      <c r="N60" s="264"/>
      <c r="O60" s="264">
        <f t="shared" ca="1" si="9"/>
        <v>0</v>
      </c>
      <c r="P60" s="3">
        <f t="shared" ca="1" si="5"/>
        <v>0.2</v>
      </c>
      <c r="Q60" s="3">
        <f t="shared" ca="1" si="6"/>
        <v>0.2</v>
      </c>
      <c r="R60" s="265"/>
      <c r="S60" s="1"/>
      <c r="T60" s="231"/>
      <c r="U60" s="264"/>
      <c r="V60" s="266"/>
      <c r="W60" s="264"/>
      <c r="X60" s="265"/>
      <c r="Y60" s="265"/>
      <c r="Z60" s="265"/>
      <c r="AA60" s="257"/>
      <c r="AB60" s="257"/>
    </row>
    <row r="61" spans="1:28" ht="15">
      <c r="A61" s="1"/>
      <c r="C61" s="233"/>
      <c r="D61" s="271" t="s">
        <v>344</v>
      </c>
      <c r="E61" s="232"/>
      <c r="F61" s="231"/>
      <c r="G61" s="231" t="str">
        <f t="shared" si="3"/>
        <v>'App For Payment-12'!WorkFinished</v>
      </c>
      <c r="H61" s="252"/>
      <c r="I61" s="2"/>
      <c r="J61" s="252"/>
      <c r="K61" s="2"/>
      <c r="L61" s="2"/>
      <c r="M61" s="264" t="e">
        <f t="shared" ca="1" si="8"/>
        <v>#REF!</v>
      </c>
      <c r="N61" s="264"/>
      <c r="O61" s="264">
        <f t="shared" ca="1" si="9"/>
        <v>0</v>
      </c>
      <c r="P61" s="3">
        <f t="shared" ca="1" si="5"/>
        <v>0.2</v>
      </c>
      <c r="Q61" s="3">
        <f t="shared" ca="1" si="6"/>
        <v>0.2</v>
      </c>
      <c r="R61" s="265"/>
      <c r="S61" s="1"/>
      <c r="T61" s="231"/>
      <c r="U61" s="264"/>
      <c r="V61" s="266"/>
      <c r="W61" s="264"/>
      <c r="X61" s="265"/>
      <c r="Y61" s="265"/>
      <c r="Z61" s="265"/>
      <c r="AA61" s="257"/>
      <c r="AB61" s="257"/>
    </row>
    <row r="62" spans="1:28" ht="15">
      <c r="A62" s="1"/>
      <c r="C62" s="233"/>
      <c r="D62" s="271" t="s">
        <v>345</v>
      </c>
      <c r="E62" s="232"/>
      <c r="F62" s="231"/>
      <c r="G62" s="231" t="str">
        <f t="shared" si="3"/>
        <v>'App For Payment-13'!WorkFinished</v>
      </c>
      <c r="H62" s="252"/>
      <c r="I62" s="2"/>
      <c r="J62" s="252"/>
      <c r="K62" s="2"/>
      <c r="L62" s="2"/>
      <c r="M62" s="264" t="e">
        <f t="shared" ca="1" si="8"/>
        <v>#REF!</v>
      </c>
      <c r="N62" s="264"/>
      <c r="O62" s="264">
        <f t="shared" ca="1" si="9"/>
        <v>0</v>
      </c>
      <c r="P62" s="3">
        <f t="shared" ca="1" si="5"/>
        <v>0.2</v>
      </c>
      <c r="Q62" s="3">
        <f t="shared" ca="1" si="6"/>
        <v>0.2</v>
      </c>
      <c r="R62" s="265"/>
      <c r="S62" s="1"/>
      <c r="T62" s="231"/>
      <c r="U62" s="264"/>
      <c r="V62" s="266"/>
      <c r="W62" s="264"/>
      <c r="X62" s="265"/>
      <c r="Y62" s="265"/>
      <c r="Z62" s="265"/>
      <c r="AA62" s="257"/>
      <c r="AB62" s="257"/>
    </row>
    <row r="63" spans="1:28" ht="15">
      <c r="A63" s="1"/>
      <c r="C63" s="233"/>
      <c r="D63" s="271" t="s">
        <v>346</v>
      </c>
      <c r="E63" s="232"/>
      <c r="F63" s="231"/>
      <c r="G63" s="231" t="str">
        <f t="shared" si="3"/>
        <v>'App For Payment-14'!WorkFinished</v>
      </c>
      <c r="H63" s="252"/>
      <c r="I63" s="2"/>
      <c r="J63" s="252"/>
      <c r="K63" s="2"/>
      <c r="L63" s="2"/>
      <c r="M63" s="264" t="e">
        <f t="shared" ca="1" si="8"/>
        <v>#REF!</v>
      </c>
      <c r="N63" s="264"/>
      <c r="O63" s="264">
        <f t="shared" ca="1" si="9"/>
        <v>0</v>
      </c>
      <c r="P63" s="3">
        <f t="shared" ca="1" si="5"/>
        <v>0.2</v>
      </c>
      <c r="Q63" s="3">
        <f t="shared" ca="1" si="6"/>
        <v>0.2</v>
      </c>
      <c r="R63" s="265"/>
      <c r="S63" s="1"/>
      <c r="T63" s="231"/>
      <c r="U63" s="264"/>
      <c r="V63" s="266"/>
      <c r="W63" s="264"/>
      <c r="X63" s="265"/>
      <c r="Y63" s="265"/>
      <c r="Z63" s="265"/>
      <c r="AA63" s="257"/>
      <c r="AB63" s="257"/>
    </row>
    <row r="64" spans="1:28" ht="15">
      <c r="A64" s="1"/>
      <c r="C64" s="233"/>
      <c r="D64" s="271" t="s">
        <v>347</v>
      </c>
      <c r="E64" s="232"/>
      <c r="F64" s="231"/>
      <c r="G64" s="231" t="str">
        <f t="shared" si="3"/>
        <v>'App For Payment-15'!WorkFinished</v>
      </c>
      <c r="H64" s="252"/>
      <c r="I64" s="2"/>
      <c r="J64" s="252"/>
      <c r="K64" s="2"/>
      <c r="L64" s="2"/>
      <c r="M64" s="264" t="e">
        <f t="shared" ca="1" si="8"/>
        <v>#REF!</v>
      </c>
      <c r="N64" s="264"/>
      <c r="O64" s="264">
        <f t="shared" ca="1" si="9"/>
        <v>0</v>
      </c>
      <c r="P64" s="3">
        <f t="shared" ca="1" si="5"/>
        <v>0.2</v>
      </c>
      <c r="Q64" s="3">
        <f t="shared" ca="1" si="6"/>
        <v>0.2</v>
      </c>
      <c r="R64" s="265"/>
      <c r="S64" s="1"/>
      <c r="T64" s="231"/>
      <c r="U64" s="264"/>
      <c r="V64" s="266"/>
      <c r="W64" s="264"/>
      <c r="X64" s="265"/>
      <c r="Y64" s="265"/>
      <c r="Z64" s="265"/>
      <c r="AA64" s="257"/>
      <c r="AB64" s="257"/>
    </row>
    <row r="65" spans="1:28" ht="15">
      <c r="A65" s="1"/>
      <c r="C65" s="233"/>
      <c r="D65" s="271" t="s">
        <v>348</v>
      </c>
      <c r="E65" s="232"/>
      <c r="F65" s="231"/>
      <c r="G65" s="231" t="str">
        <f t="shared" si="3"/>
        <v>'App For Payment-16'!WorkFinished</v>
      </c>
      <c r="H65" s="252"/>
      <c r="I65" s="2"/>
      <c r="J65" s="252"/>
      <c r="K65" s="2"/>
      <c r="L65" s="2"/>
      <c r="M65" s="264" t="e">
        <f t="shared" ca="1" si="8"/>
        <v>#REF!</v>
      </c>
      <c r="N65" s="264"/>
      <c r="O65" s="264">
        <f t="shared" ca="1" si="9"/>
        <v>0</v>
      </c>
      <c r="P65" s="3">
        <f t="shared" ca="1" si="5"/>
        <v>0.2</v>
      </c>
      <c r="Q65" s="3">
        <f t="shared" ca="1" si="6"/>
        <v>0.2</v>
      </c>
      <c r="R65" s="265"/>
      <c r="S65" s="1"/>
      <c r="T65" s="231"/>
      <c r="U65" s="264"/>
      <c r="V65" s="266"/>
      <c r="W65" s="264"/>
      <c r="X65" s="265"/>
      <c r="Y65" s="265"/>
      <c r="Z65" s="265"/>
      <c r="AA65" s="257"/>
      <c r="AB65" s="257"/>
    </row>
    <row r="66" spans="1:28" ht="15">
      <c r="A66" s="1"/>
      <c r="C66" s="233"/>
      <c r="D66" s="271" t="s">
        <v>349</v>
      </c>
      <c r="E66" s="232"/>
      <c r="F66" s="231"/>
      <c r="G66" s="231" t="str">
        <f t="shared" si="3"/>
        <v>'App For Payment-17'!WorkFinished</v>
      </c>
      <c r="H66" s="252"/>
      <c r="I66" s="2"/>
      <c r="J66" s="252"/>
      <c r="K66" s="2"/>
      <c r="L66" s="2"/>
      <c r="M66" s="264" t="e">
        <f t="shared" ca="1" si="8"/>
        <v>#REF!</v>
      </c>
      <c r="N66" s="264"/>
      <c r="O66" s="264">
        <f t="shared" ca="1" si="9"/>
        <v>0</v>
      </c>
      <c r="P66" s="3">
        <f t="shared" ca="1" si="5"/>
        <v>0.2</v>
      </c>
      <c r="Q66" s="3">
        <f t="shared" ca="1" si="6"/>
        <v>0.2</v>
      </c>
      <c r="R66" s="265"/>
      <c r="S66" s="1"/>
      <c r="T66" s="231"/>
      <c r="U66" s="264"/>
      <c r="V66" s="266"/>
      <c r="W66" s="264"/>
      <c r="X66" s="265"/>
      <c r="Y66" s="265"/>
      <c r="Z66" s="265"/>
      <c r="AA66" s="257"/>
      <c r="AB66" s="257"/>
    </row>
    <row r="67" spans="1:28" ht="15">
      <c r="A67" s="1"/>
      <c r="C67" s="233"/>
      <c r="D67" s="271" t="s">
        <v>350</v>
      </c>
      <c r="E67" s="232"/>
      <c r="F67" s="231"/>
      <c r="G67" s="231" t="str">
        <f t="shared" si="3"/>
        <v>'App For Payment-18'!WorkFinished</v>
      </c>
      <c r="H67" s="252"/>
      <c r="I67" s="2"/>
      <c r="J67" s="252"/>
      <c r="K67" s="2"/>
      <c r="L67" s="2"/>
      <c r="M67" s="264" t="e">
        <f t="shared" ca="1" si="8"/>
        <v>#REF!</v>
      </c>
      <c r="N67" s="264"/>
      <c r="O67" s="264">
        <f t="shared" ca="1" si="9"/>
        <v>0</v>
      </c>
      <c r="P67" s="3">
        <f t="shared" ca="1" si="5"/>
        <v>0.2</v>
      </c>
      <c r="Q67" s="3">
        <f t="shared" ca="1" si="6"/>
        <v>0.2</v>
      </c>
      <c r="R67" s="265"/>
      <c r="S67" s="1"/>
      <c r="T67" s="231"/>
      <c r="U67" s="264"/>
      <c r="V67" s="266"/>
      <c r="W67" s="264"/>
      <c r="X67" s="265"/>
      <c r="Y67" s="265"/>
      <c r="Z67" s="265"/>
      <c r="AA67" s="257"/>
      <c r="AB67" s="257"/>
    </row>
    <row r="68" spans="1:28" ht="15">
      <c r="A68" s="1"/>
      <c r="C68" s="233"/>
      <c r="D68" s="271" t="s">
        <v>351</v>
      </c>
      <c r="E68" s="232"/>
      <c r="F68" s="231"/>
      <c r="G68" s="231" t="str">
        <f t="shared" si="3"/>
        <v>'App For Payment-19'!WorkFinished</v>
      </c>
      <c r="H68" s="252"/>
      <c r="I68" s="2"/>
      <c r="J68" s="252"/>
      <c r="K68" s="2"/>
      <c r="L68" s="2"/>
      <c r="M68" s="264" t="e">
        <f t="shared" ca="1" si="8"/>
        <v>#REF!</v>
      </c>
      <c r="N68" s="264"/>
      <c r="O68" s="264">
        <f t="shared" ca="1" si="9"/>
        <v>0</v>
      </c>
      <c r="P68" s="3">
        <f t="shared" ca="1" si="5"/>
        <v>0.2</v>
      </c>
      <c r="Q68" s="3">
        <f t="shared" ca="1" si="6"/>
        <v>0.2</v>
      </c>
      <c r="R68" s="265"/>
      <c r="S68" s="1"/>
      <c r="T68" s="231"/>
      <c r="U68" s="264"/>
      <c r="V68" s="266"/>
      <c r="W68" s="264"/>
      <c r="X68" s="265"/>
      <c r="Y68" s="265"/>
      <c r="Z68" s="265"/>
      <c r="AA68" s="257"/>
      <c r="AB68" s="257"/>
    </row>
    <row r="69" spans="1:28" ht="15">
      <c r="A69" s="1"/>
      <c r="C69" s="233"/>
      <c r="D69" s="271" t="s">
        <v>352</v>
      </c>
      <c r="E69" s="232"/>
      <c r="F69" s="231"/>
      <c r="G69" s="231" t="str">
        <f t="shared" si="3"/>
        <v>'App For Payment-20'!WorkFinished</v>
      </c>
      <c r="H69" s="252"/>
      <c r="I69" s="2"/>
      <c r="J69" s="252"/>
      <c r="K69" s="2"/>
      <c r="L69" s="2"/>
      <c r="M69" s="264" t="e">
        <f t="shared" ca="1" si="8"/>
        <v>#REF!</v>
      </c>
      <c r="N69" s="264"/>
      <c r="O69" s="264">
        <f t="shared" ca="1" si="9"/>
        <v>0</v>
      </c>
      <c r="P69" s="3">
        <f t="shared" ca="1" si="5"/>
        <v>0.2</v>
      </c>
      <c r="Q69" s="3">
        <f t="shared" ca="1" si="6"/>
        <v>0.2</v>
      </c>
      <c r="R69" s="265"/>
      <c r="S69" s="1"/>
      <c r="T69" s="231"/>
      <c r="U69" s="264"/>
      <c r="V69" s="266"/>
      <c r="W69" s="264"/>
      <c r="X69" s="265"/>
      <c r="Y69" s="265"/>
      <c r="Z69" s="265"/>
      <c r="AA69" s="257"/>
      <c r="AB69" s="257"/>
    </row>
    <row r="70" spans="1:28" ht="15">
      <c r="A70" s="1"/>
      <c r="C70" s="233"/>
      <c r="D70" s="271" t="s">
        <v>353</v>
      </c>
      <c r="E70" s="232"/>
      <c r="F70" s="231"/>
      <c r="G70" s="231" t="str">
        <f t="shared" si="3"/>
        <v>'App For Payment-21'!WorkFinished</v>
      </c>
      <c r="H70" s="252"/>
      <c r="I70" s="2"/>
      <c r="J70" s="252"/>
      <c r="K70" s="2"/>
      <c r="L70" s="2"/>
      <c r="M70" s="264" t="e">
        <f t="shared" ca="1" si="8"/>
        <v>#REF!</v>
      </c>
      <c r="N70" s="264"/>
      <c r="O70" s="264">
        <f t="shared" ca="1" si="9"/>
        <v>0</v>
      </c>
      <c r="P70" s="3">
        <f t="shared" ca="1" si="5"/>
        <v>0.2</v>
      </c>
      <c r="Q70" s="3">
        <f t="shared" ca="1" si="6"/>
        <v>0.2</v>
      </c>
      <c r="R70" s="265"/>
      <c r="S70" s="1"/>
      <c r="T70" s="231"/>
      <c r="U70" s="264"/>
      <c r="V70" s="266"/>
      <c r="W70" s="264"/>
      <c r="X70" s="265"/>
      <c r="Y70" s="265"/>
      <c r="Z70" s="265"/>
      <c r="AA70" s="257"/>
      <c r="AB70" s="257"/>
    </row>
    <row r="71" spans="1:28" ht="15">
      <c r="A71" s="1"/>
      <c r="C71" s="233"/>
      <c r="D71" s="271" t="s">
        <v>354</v>
      </c>
      <c r="E71" s="232"/>
      <c r="F71" s="231"/>
      <c r="G71" s="231" t="str">
        <f t="shared" si="3"/>
        <v>'App For Payment-22'!WorkFinished</v>
      </c>
      <c r="H71" s="252"/>
      <c r="I71" s="2"/>
      <c r="J71" s="252"/>
      <c r="K71" s="2"/>
      <c r="L71" s="2"/>
      <c r="M71" s="264" t="e">
        <f t="shared" ca="1" si="8"/>
        <v>#REF!</v>
      </c>
      <c r="N71" s="264"/>
      <c r="O71" s="264">
        <f t="shared" ca="1" si="9"/>
        <v>0</v>
      </c>
      <c r="P71" s="3">
        <f t="shared" ca="1" si="5"/>
        <v>0.2</v>
      </c>
      <c r="Q71" s="3">
        <f t="shared" ca="1" si="6"/>
        <v>0.2</v>
      </c>
      <c r="R71" s="265"/>
      <c r="S71" s="1"/>
      <c r="T71" s="231"/>
      <c r="U71" s="264"/>
      <c r="V71" s="266"/>
      <c r="W71" s="264"/>
      <c r="X71" s="265"/>
      <c r="Y71" s="265"/>
      <c r="Z71" s="265"/>
      <c r="AA71" s="257"/>
      <c r="AB71" s="257"/>
    </row>
    <row r="72" spans="1:28" ht="15">
      <c r="A72" s="1"/>
      <c r="C72" s="233"/>
      <c r="D72" s="271" t="s">
        <v>355</v>
      </c>
      <c r="E72" s="232"/>
      <c r="F72" s="231"/>
      <c r="G72" s="231" t="str">
        <f t="shared" si="3"/>
        <v>'App For Payment-23'!WorkFinished</v>
      </c>
      <c r="H72" s="252"/>
      <c r="I72" s="2"/>
      <c r="J72" s="252"/>
      <c r="K72" s="2"/>
      <c r="L72" s="2"/>
      <c r="M72" s="264" t="e">
        <f t="shared" ca="1" si="8"/>
        <v>#REF!</v>
      </c>
      <c r="N72" s="264"/>
      <c r="O72" s="264">
        <f t="shared" ca="1" si="9"/>
        <v>0</v>
      </c>
      <c r="P72" s="3">
        <f t="shared" ca="1" si="5"/>
        <v>0.2</v>
      </c>
      <c r="Q72" s="3">
        <f t="shared" ca="1" si="6"/>
        <v>0.2</v>
      </c>
      <c r="R72" s="265"/>
      <c r="S72" s="1"/>
      <c r="T72" s="231"/>
      <c r="U72" s="264"/>
      <c r="V72" s="266"/>
      <c r="W72" s="264"/>
      <c r="X72" s="265"/>
      <c r="Y72" s="265"/>
      <c r="Z72" s="265"/>
      <c r="AA72" s="257"/>
      <c r="AB72" s="257"/>
    </row>
    <row r="73" spans="1:28" ht="15">
      <c r="A73" s="1"/>
      <c r="C73" s="233"/>
      <c r="D73" s="271" t="s">
        <v>356</v>
      </c>
      <c r="E73" s="232"/>
      <c r="F73" s="231"/>
      <c r="G73" s="231" t="str">
        <f t="shared" si="3"/>
        <v>'App For Payment-24'!WorkFinished</v>
      </c>
      <c r="H73" s="252"/>
      <c r="I73" s="2"/>
      <c r="J73" s="252"/>
      <c r="K73" s="2"/>
      <c r="L73" s="2"/>
      <c r="M73" s="264" t="e">
        <f t="shared" ca="1" si="8"/>
        <v>#REF!</v>
      </c>
      <c r="N73" s="264"/>
      <c r="O73" s="264">
        <f t="shared" ca="1" si="9"/>
        <v>0</v>
      </c>
      <c r="P73" s="3">
        <f t="shared" ca="1" si="5"/>
        <v>0.2</v>
      </c>
      <c r="Q73" s="3">
        <f t="shared" ca="1" si="6"/>
        <v>0.2</v>
      </c>
      <c r="R73" s="265"/>
      <c r="S73" s="1"/>
      <c r="T73" s="231"/>
      <c r="U73" s="264"/>
      <c r="V73" s="266"/>
      <c r="W73" s="264"/>
      <c r="X73" s="265"/>
      <c r="Y73" s="265"/>
      <c r="Z73" s="265"/>
      <c r="AA73" s="257"/>
      <c r="AB73" s="257"/>
    </row>
    <row r="74" spans="1:28" ht="15">
      <c r="A74" s="1"/>
      <c r="C74" s="233"/>
      <c r="D74" s="271" t="s">
        <v>357</v>
      </c>
      <c r="E74" s="232"/>
      <c r="F74" s="231"/>
      <c r="G74" s="231" t="str">
        <f t="shared" si="3"/>
        <v>'App For Payment-25'!WorkFinished</v>
      </c>
      <c r="H74" s="252"/>
      <c r="I74" s="2"/>
      <c r="J74" s="252"/>
      <c r="K74" s="2"/>
      <c r="L74" s="2"/>
      <c r="M74" s="264" t="e">
        <f t="shared" ca="1" si="8"/>
        <v>#REF!</v>
      </c>
      <c r="N74" s="264"/>
      <c r="O74" s="264">
        <f t="shared" ca="1" si="9"/>
        <v>0</v>
      </c>
      <c r="P74" s="3">
        <f t="shared" ca="1" si="5"/>
        <v>0.2</v>
      </c>
      <c r="Q74" s="3">
        <f t="shared" ca="1" si="6"/>
        <v>0.2</v>
      </c>
      <c r="R74" s="265"/>
      <c r="S74" s="1"/>
      <c r="T74" s="231"/>
      <c r="U74" s="264"/>
      <c r="V74" s="266"/>
      <c r="W74" s="264"/>
      <c r="X74" s="265"/>
      <c r="Y74" s="265"/>
      <c r="Z74" s="265"/>
      <c r="AA74" s="257"/>
      <c r="AB74" s="257"/>
    </row>
    <row r="75" spans="1:28" ht="15">
      <c r="A75" s="1"/>
      <c r="C75" s="233"/>
      <c r="D75" s="271" t="s">
        <v>358</v>
      </c>
      <c r="E75" s="232"/>
      <c r="F75" s="231"/>
      <c r="G75" s="231" t="str">
        <f t="shared" si="3"/>
        <v>'App For Payment-26'!WorkFinished</v>
      </c>
      <c r="H75" s="252"/>
      <c r="I75" s="2"/>
      <c r="J75" s="252"/>
      <c r="K75" s="2"/>
      <c r="L75" s="2"/>
      <c r="M75" s="264" t="e">
        <f t="shared" ca="1" si="8"/>
        <v>#REF!</v>
      </c>
      <c r="N75" s="264"/>
      <c r="O75" s="264">
        <f t="shared" ca="1" si="9"/>
        <v>0</v>
      </c>
      <c r="P75" s="3">
        <f t="shared" ca="1" si="5"/>
        <v>0.2</v>
      </c>
      <c r="Q75" s="3">
        <f t="shared" ca="1" si="6"/>
        <v>0.2</v>
      </c>
      <c r="R75" s="265"/>
      <c r="S75" s="1"/>
      <c r="T75" s="231"/>
      <c r="U75" s="264"/>
      <c r="V75" s="266"/>
      <c r="W75" s="264"/>
      <c r="X75" s="265"/>
      <c r="Y75" s="265"/>
      <c r="Z75" s="265"/>
      <c r="AA75" s="257"/>
      <c r="AB75" s="257"/>
    </row>
    <row r="76" spans="1:28" ht="15">
      <c r="A76" s="1"/>
      <c r="C76" s="233"/>
      <c r="D76" s="271" t="s">
        <v>359</v>
      </c>
      <c r="E76" s="232"/>
      <c r="F76" s="231"/>
      <c r="G76" s="231" t="str">
        <f t="shared" si="3"/>
        <v>'App For Payment-27'!WorkFinished</v>
      </c>
      <c r="H76" s="252"/>
      <c r="I76" s="2"/>
      <c r="J76" s="252"/>
      <c r="K76" s="2"/>
      <c r="L76" s="2"/>
      <c r="M76" s="264" t="e">
        <f t="shared" ca="1" si="8"/>
        <v>#REF!</v>
      </c>
      <c r="N76" s="264"/>
      <c r="O76" s="264">
        <f t="shared" ca="1" si="9"/>
        <v>0</v>
      </c>
      <c r="P76" s="3">
        <f t="shared" ca="1" si="5"/>
        <v>0.2</v>
      </c>
      <c r="Q76" s="3">
        <f t="shared" ca="1" si="6"/>
        <v>0.2</v>
      </c>
      <c r="R76" s="265"/>
      <c r="S76" s="1"/>
      <c r="T76" s="231"/>
      <c r="U76" s="264"/>
      <c r="V76" s="266"/>
      <c r="W76" s="264"/>
      <c r="X76" s="265"/>
      <c r="Y76" s="265"/>
      <c r="Z76" s="265"/>
      <c r="AA76" s="257"/>
      <c r="AB76" s="257"/>
    </row>
    <row r="77" spans="1:28" ht="15">
      <c r="A77" s="1"/>
      <c r="C77" s="233"/>
      <c r="D77" s="271" t="s">
        <v>360</v>
      </c>
      <c r="E77" s="232"/>
      <c r="F77" s="231"/>
      <c r="G77" s="231" t="str">
        <f t="shared" si="3"/>
        <v>'App For Payment-28'!WorkFinished</v>
      </c>
      <c r="H77" s="252"/>
      <c r="I77" s="2"/>
      <c r="J77" s="252"/>
      <c r="K77" s="2"/>
      <c r="L77" s="2"/>
      <c r="M77" s="264" t="e">
        <f t="shared" ca="1" si="8"/>
        <v>#REF!</v>
      </c>
      <c r="N77" s="264"/>
      <c r="O77" s="264">
        <f t="shared" ca="1" si="9"/>
        <v>0</v>
      </c>
      <c r="P77" s="3">
        <f t="shared" ca="1" si="5"/>
        <v>0.2</v>
      </c>
      <c r="Q77" s="3">
        <f t="shared" ca="1" si="6"/>
        <v>0.2</v>
      </c>
      <c r="R77" s="265"/>
      <c r="S77" s="1"/>
      <c r="T77" s="231"/>
      <c r="U77" s="264"/>
      <c r="V77" s="266"/>
      <c r="W77" s="264"/>
      <c r="X77" s="265"/>
      <c r="Y77" s="265"/>
      <c r="Z77" s="265"/>
      <c r="AA77" s="257"/>
      <c r="AB77" s="257"/>
    </row>
    <row r="78" spans="1:28" ht="15">
      <c r="A78" s="1"/>
      <c r="C78" s="233"/>
      <c r="D78" s="271" t="s">
        <v>361</v>
      </c>
      <c r="E78" s="232"/>
      <c r="F78" s="231"/>
      <c r="G78" s="231" t="str">
        <f t="shared" si="3"/>
        <v>'App For Payment-29'!WorkFinished</v>
      </c>
      <c r="H78" s="252"/>
      <c r="I78" s="2"/>
      <c r="J78" s="252"/>
      <c r="K78" s="2"/>
      <c r="L78" s="2"/>
      <c r="M78" s="264" t="e">
        <f t="shared" ca="1" si="8"/>
        <v>#REF!</v>
      </c>
      <c r="N78" s="264"/>
      <c r="O78" s="264">
        <f t="shared" ca="1" si="9"/>
        <v>0</v>
      </c>
      <c r="P78" s="3">
        <f t="shared" ca="1" si="5"/>
        <v>0.2</v>
      </c>
      <c r="Q78" s="3">
        <f t="shared" ca="1" si="6"/>
        <v>0.2</v>
      </c>
      <c r="R78" s="265"/>
      <c r="S78" s="1"/>
      <c r="T78" s="231"/>
      <c r="U78" s="264"/>
      <c r="V78" s="266"/>
      <c r="W78" s="264"/>
      <c r="X78" s="265"/>
      <c r="Y78" s="265"/>
      <c r="Z78" s="265"/>
      <c r="AA78" s="257"/>
      <c r="AB78" s="257"/>
    </row>
    <row r="79" spans="1:28" ht="15">
      <c r="A79" s="1"/>
      <c r="C79" s="233"/>
      <c r="D79" s="271" t="s">
        <v>362</v>
      </c>
      <c r="E79" s="232"/>
      <c r="F79" s="231"/>
      <c r="G79" s="231" t="str">
        <f t="shared" si="3"/>
        <v>'App For Payment-30'!WorkFinished</v>
      </c>
      <c r="H79" s="252"/>
      <c r="I79" s="2"/>
      <c r="J79" s="252"/>
      <c r="K79" s="2"/>
      <c r="L79" s="2"/>
      <c r="M79" s="264" t="e">
        <f t="shared" ca="1" si="8"/>
        <v>#REF!</v>
      </c>
      <c r="N79" s="264"/>
      <c r="O79" s="264">
        <f t="shared" ca="1" si="9"/>
        <v>0</v>
      </c>
      <c r="P79" s="3">
        <f t="shared" ca="1" si="5"/>
        <v>0.2</v>
      </c>
      <c r="Q79" s="3">
        <f t="shared" ca="1" si="6"/>
        <v>0.2</v>
      </c>
      <c r="R79" s="265"/>
      <c r="S79" s="1"/>
      <c r="T79" s="231"/>
      <c r="U79" s="264"/>
      <c r="V79" s="266"/>
      <c r="W79" s="264"/>
      <c r="X79" s="265"/>
      <c r="Y79" s="265"/>
      <c r="Z79" s="265"/>
      <c r="AA79" s="257"/>
      <c r="AB79" s="257"/>
    </row>
    <row r="80" spans="1:28" ht="15">
      <c r="A80" s="1"/>
      <c r="C80" s="233"/>
      <c r="D80" s="271" t="s">
        <v>363</v>
      </c>
      <c r="E80" s="232"/>
      <c r="F80" s="231"/>
      <c r="G80" s="231" t="str">
        <f t="shared" si="3"/>
        <v>'App For Payment-31'!WorkFinished</v>
      </c>
      <c r="H80" s="252"/>
      <c r="I80" s="2"/>
      <c r="J80" s="252"/>
      <c r="K80" s="2"/>
      <c r="L80" s="2"/>
      <c r="M80" s="264" t="e">
        <f t="shared" ca="1" si="8"/>
        <v>#REF!</v>
      </c>
      <c r="N80" s="264"/>
      <c r="O80" s="264">
        <f t="shared" ca="1" si="9"/>
        <v>0</v>
      </c>
      <c r="P80" s="3">
        <f t="shared" ca="1" si="5"/>
        <v>0.2</v>
      </c>
      <c r="Q80" s="3">
        <f t="shared" ca="1" si="6"/>
        <v>0.2</v>
      </c>
      <c r="R80" s="265"/>
      <c r="S80" s="1"/>
      <c r="T80" s="231"/>
      <c r="U80" s="264"/>
      <c r="V80" s="266"/>
      <c r="W80" s="264"/>
      <c r="X80" s="265"/>
      <c r="Y80" s="265"/>
      <c r="Z80" s="265"/>
      <c r="AA80" s="257"/>
      <c r="AB80" s="257"/>
    </row>
    <row r="81" spans="1:28" ht="15">
      <c r="A81" s="1"/>
      <c r="C81" s="233"/>
      <c r="D81" s="271" t="s">
        <v>364</v>
      </c>
      <c r="E81" s="232"/>
      <c r="F81" s="231"/>
      <c r="G81" s="231" t="str">
        <f t="shared" si="3"/>
        <v>'App For Payment-32'!WorkFinished</v>
      </c>
      <c r="H81" s="252"/>
      <c r="I81" s="2"/>
      <c r="J81" s="252"/>
      <c r="K81" s="2"/>
      <c r="L81" s="2"/>
      <c r="M81" s="264" t="e">
        <f t="shared" ref="M81:M97" ca="1" si="10">INDIRECT(G81)</f>
        <v>#REF!</v>
      </c>
      <c r="N81" s="264"/>
      <c r="O81" s="264">
        <f t="shared" ref="O81:O97" ca="1" si="11">IF(ISERR(M81),0,M81)</f>
        <v>0</v>
      </c>
      <c r="P81" s="3">
        <f t="shared" ca="1" si="5"/>
        <v>0.2</v>
      </c>
      <c r="Q81" s="3">
        <f t="shared" ca="1" si="6"/>
        <v>0.2</v>
      </c>
      <c r="R81" s="265"/>
      <c r="S81" s="1"/>
      <c r="T81" s="231"/>
      <c r="U81" s="264"/>
      <c r="V81" s="266"/>
      <c r="W81" s="264"/>
      <c r="X81" s="265"/>
      <c r="Y81" s="265"/>
      <c r="Z81" s="265"/>
      <c r="AA81" s="257"/>
      <c r="AB81" s="257"/>
    </row>
    <row r="82" spans="1:28" ht="15">
      <c r="A82" s="1"/>
      <c r="C82" s="233"/>
      <c r="D82" s="271" t="s">
        <v>365</v>
      </c>
      <c r="E82" s="232"/>
      <c r="F82" s="231"/>
      <c r="G82" s="231" t="str">
        <f t="shared" si="3"/>
        <v>'App For Payment-33'!WorkFinished</v>
      </c>
      <c r="H82" s="252"/>
      <c r="I82" s="2"/>
      <c r="J82" s="252"/>
      <c r="K82" s="2"/>
      <c r="L82" s="2"/>
      <c r="M82" s="264" t="e">
        <f t="shared" ca="1" si="10"/>
        <v>#REF!</v>
      </c>
      <c r="N82" s="264"/>
      <c r="O82" s="264">
        <f t="shared" ca="1" si="11"/>
        <v>0</v>
      </c>
      <c r="P82" s="3">
        <f t="shared" ca="1" si="5"/>
        <v>0.2</v>
      </c>
      <c r="Q82" s="3">
        <f t="shared" ca="1" si="6"/>
        <v>0.2</v>
      </c>
      <c r="R82" s="265"/>
      <c r="S82" s="1"/>
      <c r="T82" s="231"/>
      <c r="U82" s="264"/>
      <c r="V82" s="266"/>
      <c r="W82" s="264"/>
      <c r="X82" s="265"/>
      <c r="Y82" s="265"/>
      <c r="Z82" s="265"/>
      <c r="AA82" s="257"/>
      <c r="AB82" s="257"/>
    </row>
    <row r="83" spans="1:28" ht="15">
      <c r="A83" s="1"/>
      <c r="C83" s="233"/>
      <c r="D83" s="271" t="s">
        <v>366</v>
      </c>
      <c r="E83" s="232"/>
      <c r="F83" s="231"/>
      <c r="G83" s="231" t="str">
        <f t="shared" si="3"/>
        <v>'App For Payment-34'!WorkFinished</v>
      </c>
      <c r="H83" s="252"/>
      <c r="I83" s="2"/>
      <c r="J83" s="252"/>
      <c r="K83" s="2"/>
      <c r="L83" s="2"/>
      <c r="M83" s="264" t="e">
        <f t="shared" ca="1" si="10"/>
        <v>#REF!</v>
      </c>
      <c r="N83" s="264"/>
      <c r="O83" s="264">
        <f t="shared" ca="1" si="11"/>
        <v>0</v>
      </c>
      <c r="P83" s="3">
        <f t="shared" ca="1" si="5"/>
        <v>0.2</v>
      </c>
      <c r="Q83" s="3">
        <f t="shared" ca="1" si="6"/>
        <v>0.2</v>
      </c>
      <c r="R83" s="265"/>
      <c r="S83" s="1"/>
      <c r="T83" s="231"/>
      <c r="U83" s="264"/>
      <c r="V83" s="266"/>
      <c r="W83" s="264"/>
      <c r="X83" s="265"/>
      <c r="Y83" s="265"/>
      <c r="Z83" s="265"/>
      <c r="AA83" s="257"/>
      <c r="AB83" s="257"/>
    </row>
    <row r="84" spans="1:28" ht="15">
      <c r="A84" s="1"/>
      <c r="C84" s="233"/>
      <c r="D84" s="271" t="s">
        <v>367</v>
      </c>
      <c r="E84" s="232"/>
      <c r="F84" s="231"/>
      <c r="G84" s="231" t="str">
        <f t="shared" si="3"/>
        <v>'App For Payment-35'!WorkFinished</v>
      </c>
      <c r="H84" s="252"/>
      <c r="I84" s="2"/>
      <c r="J84" s="252"/>
      <c r="K84" s="2"/>
      <c r="L84" s="2"/>
      <c r="M84" s="264" t="e">
        <f t="shared" ca="1" si="10"/>
        <v>#REF!</v>
      </c>
      <c r="N84" s="264"/>
      <c r="O84" s="264">
        <f t="shared" ca="1" si="11"/>
        <v>0</v>
      </c>
      <c r="P84" s="3">
        <f t="shared" ca="1" si="5"/>
        <v>0.2</v>
      </c>
      <c r="Q84" s="3">
        <f t="shared" ca="1" si="6"/>
        <v>0.2</v>
      </c>
      <c r="R84" s="265"/>
      <c r="S84" s="1"/>
      <c r="T84" s="231"/>
      <c r="U84" s="264"/>
      <c r="V84" s="266"/>
      <c r="W84" s="264"/>
      <c r="X84" s="265"/>
      <c r="Y84" s="265"/>
      <c r="Z84" s="265"/>
      <c r="AA84" s="257"/>
      <c r="AB84" s="257"/>
    </row>
    <row r="85" spans="1:28" ht="15">
      <c r="A85" s="1"/>
      <c r="C85" s="233"/>
      <c r="D85" s="271" t="s">
        <v>368</v>
      </c>
      <c r="E85" s="232"/>
      <c r="F85" s="231"/>
      <c r="G85" s="231" t="str">
        <f t="shared" si="3"/>
        <v>'App For Payment-36'!WorkFinished</v>
      </c>
      <c r="H85" s="252"/>
      <c r="I85" s="2"/>
      <c r="J85" s="252"/>
      <c r="K85" s="2"/>
      <c r="L85" s="2"/>
      <c r="M85" s="264" t="e">
        <f t="shared" ca="1" si="10"/>
        <v>#REF!</v>
      </c>
      <c r="N85" s="264"/>
      <c r="O85" s="264">
        <f t="shared" ca="1" si="11"/>
        <v>0</v>
      </c>
      <c r="P85" s="3">
        <f t="shared" ca="1" si="5"/>
        <v>0.2</v>
      </c>
      <c r="Q85" s="3">
        <f t="shared" ca="1" si="6"/>
        <v>0.2</v>
      </c>
      <c r="R85" s="265"/>
      <c r="S85" s="1"/>
      <c r="T85" s="231"/>
      <c r="U85" s="264"/>
      <c r="V85" s="266"/>
      <c r="W85" s="264"/>
      <c r="X85" s="265"/>
      <c r="Y85" s="265"/>
      <c r="Z85" s="265"/>
      <c r="AA85" s="257"/>
      <c r="AB85" s="257"/>
    </row>
    <row r="86" spans="1:28" ht="15">
      <c r="A86" s="1"/>
      <c r="C86" s="233"/>
      <c r="D86" s="271" t="s">
        <v>386</v>
      </c>
      <c r="E86" s="232"/>
      <c r="F86" s="231"/>
      <c r="G86" s="231" t="str">
        <f t="shared" si="3"/>
        <v>'App For Payment-37'!WorkFinished</v>
      </c>
      <c r="H86" s="252"/>
      <c r="I86" s="2"/>
      <c r="J86" s="252"/>
      <c r="K86" s="2"/>
      <c r="L86" s="2"/>
      <c r="M86" s="264" t="e">
        <f t="shared" ca="1" si="10"/>
        <v>#REF!</v>
      </c>
      <c r="N86" s="264"/>
      <c r="O86" s="264">
        <f t="shared" ca="1" si="11"/>
        <v>0</v>
      </c>
      <c r="P86" s="3">
        <f t="shared" ca="1" si="5"/>
        <v>0.2</v>
      </c>
      <c r="Q86" s="3">
        <f t="shared" ca="1" si="6"/>
        <v>0.2</v>
      </c>
      <c r="R86" s="265"/>
      <c r="S86" s="1"/>
      <c r="T86" s="231"/>
      <c r="U86" s="264"/>
      <c r="V86" s="266"/>
      <c r="W86" s="264"/>
      <c r="X86" s="265"/>
      <c r="Y86" s="265"/>
      <c r="Z86" s="265"/>
      <c r="AA86" s="257"/>
      <c r="AB86" s="257"/>
    </row>
    <row r="87" spans="1:28" ht="15">
      <c r="A87" s="1"/>
      <c r="C87" s="233"/>
      <c r="D87" s="271" t="s">
        <v>387</v>
      </c>
      <c r="E87" s="232"/>
      <c r="F87" s="231"/>
      <c r="G87" s="231" t="str">
        <f t="shared" si="3"/>
        <v>'App For Payment-38'!WorkFinished</v>
      </c>
      <c r="H87" s="252"/>
      <c r="I87" s="2"/>
      <c r="J87" s="252"/>
      <c r="K87" s="2"/>
      <c r="L87" s="2"/>
      <c r="M87" s="264" t="e">
        <f t="shared" ca="1" si="10"/>
        <v>#REF!</v>
      </c>
      <c r="N87" s="264"/>
      <c r="O87" s="264">
        <f t="shared" ca="1" si="11"/>
        <v>0</v>
      </c>
      <c r="P87" s="3">
        <f t="shared" ca="1" si="5"/>
        <v>0.2</v>
      </c>
      <c r="Q87" s="3">
        <f t="shared" ca="1" si="6"/>
        <v>0.2</v>
      </c>
      <c r="R87" s="265"/>
      <c r="S87" s="1"/>
      <c r="T87" s="231"/>
      <c r="U87" s="264"/>
      <c r="V87" s="266"/>
      <c r="W87" s="264"/>
      <c r="X87" s="265"/>
      <c r="Y87" s="265"/>
      <c r="Z87" s="265"/>
      <c r="AA87" s="257"/>
      <c r="AB87" s="257"/>
    </row>
    <row r="88" spans="1:28" ht="15">
      <c r="A88" s="1"/>
      <c r="C88" s="233"/>
      <c r="D88" s="271" t="s">
        <v>388</v>
      </c>
      <c r="E88" s="232"/>
      <c r="F88" s="231"/>
      <c r="G88" s="231" t="str">
        <f t="shared" si="3"/>
        <v>'App For Payment-39'!WorkFinished</v>
      </c>
      <c r="H88" s="252"/>
      <c r="I88" s="2"/>
      <c r="J88" s="252"/>
      <c r="K88" s="2"/>
      <c r="L88" s="2"/>
      <c r="M88" s="264" t="e">
        <f t="shared" ca="1" si="10"/>
        <v>#REF!</v>
      </c>
      <c r="N88" s="264"/>
      <c r="O88" s="264">
        <f t="shared" ca="1" si="11"/>
        <v>0</v>
      </c>
      <c r="P88" s="3">
        <f t="shared" ca="1" si="5"/>
        <v>0.2</v>
      </c>
      <c r="Q88" s="3">
        <f t="shared" ca="1" si="6"/>
        <v>0.2</v>
      </c>
      <c r="R88" s="265"/>
      <c r="S88" s="1"/>
      <c r="T88" s="231"/>
      <c r="U88" s="264"/>
      <c r="V88" s="266"/>
      <c r="W88" s="264"/>
      <c r="X88" s="265"/>
      <c r="Y88" s="265"/>
      <c r="Z88" s="265"/>
      <c r="AA88" s="257"/>
      <c r="AB88" s="257"/>
    </row>
    <row r="89" spans="1:28" ht="15">
      <c r="A89" s="1"/>
      <c r="C89" s="233"/>
      <c r="D89" s="271" t="s">
        <v>389</v>
      </c>
      <c r="E89" s="232"/>
      <c r="F89" s="231"/>
      <c r="G89" s="231" t="str">
        <f t="shared" si="3"/>
        <v>'App For Payment-40'!WorkFinished</v>
      </c>
      <c r="H89" s="252"/>
      <c r="I89" s="2"/>
      <c r="J89" s="252"/>
      <c r="K89" s="2"/>
      <c r="L89" s="2"/>
      <c r="M89" s="264" t="e">
        <f t="shared" ca="1" si="10"/>
        <v>#REF!</v>
      </c>
      <c r="N89" s="264"/>
      <c r="O89" s="264">
        <f t="shared" ca="1" si="11"/>
        <v>0</v>
      </c>
      <c r="P89" s="3">
        <f t="shared" ca="1" si="5"/>
        <v>0.2</v>
      </c>
      <c r="Q89" s="3">
        <f t="shared" ca="1" si="6"/>
        <v>0.2</v>
      </c>
      <c r="R89" s="265"/>
      <c r="S89" s="1"/>
      <c r="T89" s="231"/>
      <c r="U89" s="264"/>
      <c r="V89" s="266"/>
      <c r="W89" s="264"/>
      <c r="X89" s="265"/>
      <c r="Y89" s="265"/>
      <c r="Z89" s="265"/>
      <c r="AA89" s="257"/>
      <c r="AB89" s="257"/>
    </row>
    <row r="90" spans="1:28" ht="15">
      <c r="A90" s="1"/>
      <c r="C90" s="233"/>
      <c r="D90" s="271" t="s">
        <v>390</v>
      </c>
      <c r="E90" s="232"/>
      <c r="F90" s="231"/>
      <c r="G90" s="231" t="str">
        <f t="shared" si="3"/>
        <v>'App For Payment-41'!WorkFinished</v>
      </c>
      <c r="H90" s="252"/>
      <c r="I90" s="2"/>
      <c r="J90" s="252"/>
      <c r="K90" s="2"/>
      <c r="L90" s="2"/>
      <c r="M90" s="264" t="e">
        <f t="shared" ca="1" si="10"/>
        <v>#REF!</v>
      </c>
      <c r="N90" s="264"/>
      <c r="O90" s="264">
        <f t="shared" ca="1" si="11"/>
        <v>0</v>
      </c>
      <c r="P90" s="3">
        <f t="shared" ca="1" si="5"/>
        <v>0.2</v>
      </c>
      <c r="Q90" s="3">
        <f t="shared" ca="1" si="6"/>
        <v>0.2</v>
      </c>
      <c r="R90" s="265"/>
      <c r="S90" s="1"/>
      <c r="T90" s="231"/>
      <c r="U90" s="264"/>
      <c r="V90" s="266"/>
      <c r="W90" s="264"/>
      <c r="X90" s="265"/>
      <c r="Y90" s="265"/>
      <c r="Z90" s="265"/>
      <c r="AA90" s="257"/>
      <c r="AB90" s="257"/>
    </row>
    <row r="91" spans="1:28" ht="15">
      <c r="A91" s="1"/>
      <c r="C91" s="233"/>
      <c r="D91" s="271" t="s">
        <v>391</v>
      </c>
      <c r="E91" s="232"/>
      <c r="F91" s="231"/>
      <c r="G91" s="231" t="str">
        <f t="shared" si="3"/>
        <v>'App For Payment-42'!WorkFinished</v>
      </c>
      <c r="H91" s="252"/>
      <c r="I91" s="2"/>
      <c r="J91" s="252"/>
      <c r="K91" s="2"/>
      <c r="L91" s="2"/>
      <c r="M91" s="264" t="e">
        <f t="shared" ca="1" si="10"/>
        <v>#REF!</v>
      </c>
      <c r="N91" s="264"/>
      <c r="O91" s="264">
        <f t="shared" ca="1" si="11"/>
        <v>0</v>
      </c>
      <c r="P91" s="3">
        <f t="shared" ca="1" si="5"/>
        <v>0.2</v>
      </c>
      <c r="Q91" s="3">
        <f t="shared" ca="1" si="6"/>
        <v>0.2</v>
      </c>
      <c r="R91" s="265"/>
      <c r="S91" s="1"/>
      <c r="T91" s="231"/>
      <c r="U91" s="264"/>
      <c r="V91" s="266"/>
      <c r="W91" s="264"/>
      <c r="X91" s="265"/>
      <c r="Y91" s="265"/>
      <c r="Z91" s="265"/>
      <c r="AA91" s="257"/>
      <c r="AB91" s="257"/>
    </row>
    <row r="92" spans="1:28" ht="15">
      <c r="A92" s="1"/>
      <c r="C92" s="233"/>
      <c r="D92" s="271" t="s">
        <v>392</v>
      </c>
      <c r="E92" s="232"/>
      <c r="F92" s="231"/>
      <c r="G92" s="231" t="str">
        <f t="shared" si="3"/>
        <v>'App For Payment-43'!WorkFinished</v>
      </c>
      <c r="H92" s="252"/>
      <c r="I92" s="2"/>
      <c r="J92" s="252"/>
      <c r="K92" s="2"/>
      <c r="L92" s="2"/>
      <c r="M92" s="264" t="e">
        <f t="shared" ca="1" si="10"/>
        <v>#REF!</v>
      </c>
      <c r="N92" s="264"/>
      <c r="O92" s="264">
        <f t="shared" ca="1" si="11"/>
        <v>0</v>
      </c>
      <c r="P92" s="3">
        <f t="shared" ca="1" si="5"/>
        <v>0.2</v>
      </c>
      <c r="Q92" s="3">
        <f t="shared" ca="1" si="6"/>
        <v>0.2</v>
      </c>
      <c r="R92" s="265"/>
      <c r="S92" s="1"/>
      <c r="T92" s="231"/>
      <c r="U92" s="264"/>
      <c r="V92" s="266"/>
      <c r="W92" s="264"/>
      <c r="X92" s="265"/>
      <c r="Y92" s="265"/>
      <c r="Z92" s="265"/>
      <c r="AA92" s="257"/>
      <c r="AB92" s="257"/>
    </row>
    <row r="93" spans="1:28" ht="15">
      <c r="A93" s="1"/>
      <c r="C93" s="233"/>
      <c r="D93" s="271" t="s">
        <v>393</v>
      </c>
      <c r="E93" s="232"/>
      <c r="F93" s="231"/>
      <c r="G93" s="231" t="str">
        <f t="shared" si="3"/>
        <v>'App For Payment-44'!WorkFinished</v>
      </c>
      <c r="H93" s="252"/>
      <c r="I93" s="2"/>
      <c r="J93" s="252"/>
      <c r="K93" s="2"/>
      <c r="L93" s="2"/>
      <c r="M93" s="264" t="e">
        <f t="shared" ca="1" si="10"/>
        <v>#REF!</v>
      </c>
      <c r="N93" s="264"/>
      <c r="O93" s="264">
        <f t="shared" ca="1" si="11"/>
        <v>0</v>
      </c>
      <c r="P93" s="3">
        <f t="shared" ca="1" si="5"/>
        <v>0.2</v>
      </c>
      <c r="Q93" s="3">
        <f t="shared" ca="1" si="6"/>
        <v>0.2</v>
      </c>
      <c r="R93" s="265"/>
      <c r="S93" s="1"/>
      <c r="T93" s="231"/>
      <c r="U93" s="264"/>
      <c r="V93" s="266"/>
      <c r="W93" s="264"/>
      <c r="X93" s="265"/>
      <c r="Y93" s="265"/>
      <c r="Z93" s="265"/>
      <c r="AA93" s="257"/>
      <c r="AB93" s="257"/>
    </row>
    <row r="94" spans="1:28" ht="15">
      <c r="A94" s="1"/>
      <c r="C94" s="233"/>
      <c r="D94" s="271" t="s">
        <v>394</v>
      </c>
      <c r="E94" s="232"/>
      <c r="F94" s="231"/>
      <c r="G94" s="231" t="str">
        <f t="shared" si="3"/>
        <v>'App For Payment-45'!WorkFinished</v>
      </c>
      <c r="H94" s="252"/>
      <c r="I94" s="2"/>
      <c r="J94" s="252"/>
      <c r="K94" s="2"/>
      <c r="L94" s="2"/>
      <c r="M94" s="264" t="e">
        <f t="shared" ca="1" si="10"/>
        <v>#REF!</v>
      </c>
      <c r="N94" s="264"/>
      <c r="O94" s="264">
        <f t="shared" ca="1" si="11"/>
        <v>0</v>
      </c>
      <c r="P94" s="3">
        <f t="shared" ca="1" si="5"/>
        <v>0.2</v>
      </c>
      <c r="Q94" s="3">
        <f t="shared" ca="1" si="6"/>
        <v>0.2</v>
      </c>
      <c r="R94" s="265"/>
      <c r="S94" s="1"/>
      <c r="T94" s="231"/>
      <c r="U94" s="264"/>
      <c r="V94" s="266"/>
      <c r="W94" s="264"/>
      <c r="X94" s="265"/>
      <c r="Y94" s="265"/>
      <c r="Z94" s="265"/>
      <c r="AA94" s="257"/>
      <c r="AB94" s="257"/>
    </row>
    <row r="95" spans="1:28" ht="15">
      <c r="A95" s="1"/>
      <c r="C95" s="233"/>
      <c r="D95" s="271" t="s">
        <v>395</v>
      </c>
      <c r="E95" s="232"/>
      <c r="F95" s="231"/>
      <c r="G95" s="231" t="str">
        <f t="shared" si="3"/>
        <v>'App For Payment-46'!WorkFinished</v>
      </c>
      <c r="H95" s="252"/>
      <c r="I95" s="2"/>
      <c r="J95" s="252"/>
      <c r="K95" s="2"/>
      <c r="L95" s="2"/>
      <c r="M95" s="264" t="e">
        <f t="shared" ca="1" si="10"/>
        <v>#REF!</v>
      </c>
      <c r="N95" s="264"/>
      <c r="O95" s="264">
        <f t="shared" ca="1" si="11"/>
        <v>0</v>
      </c>
      <c r="P95" s="3">
        <f t="shared" ca="1" si="5"/>
        <v>0.2</v>
      </c>
      <c r="Q95" s="3">
        <f t="shared" ca="1" si="6"/>
        <v>0.2</v>
      </c>
      <c r="R95" s="265"/>
      <c r="S95" s="1"/>
      <c r="T95" s="231"/>
      <c r="U95" s="264"/>
      <c r="V95" s="266"/>
      <c r="W95" s="264"/>
      <c r="X95" s="265"/>
      <c r="Y95" s="265"/>
      <c r="Z95" s="265"/>
      <c r="AA95" s="257"/>
      <c r="AB95" s="257"/>
    </row>
    <row r="96" spans="1:28" ht="15">
      <c r="A96" s="1"/>
      <c r="C96" s="233"/>
      <c r="D96" s="271" t="s">
        <v>396</v>
      </c>
      <c r="E96" s="232"/>
      <c r="F96" s="231"/>
      <c r="G96" s="231" t="str">
        <f t="shared" si="3"/>
        <v>'App For Payment-47'!WorkFinished</v>
      </c>
      <c r="H96" s="252"/>
      <c r="I96" s="2"/>
      <c r="J96" s="252"/>
      <c r="K96" s="2"/>
      <c r="L96" s="2"/>
      <c r="M96" s="264" t="e">
        <f t="shared" ca="1" si="10"/>
        <v>#REF!</v>
      </c>
      <c r="N96" s="264"/>
      <c r="O96" s="264">
        <f t="shared" ca="1" si="11"/>
        <v>0</v>
      </c>
      <c r="P96" s="3">
        <f t="shared" ca="1" si="5"/>
        <v>0.2</v>
      </c>
      <c r="Q96" s="3">
        <f t="shared" ca="1" si="6"/>
        <v>0.2</v>
      </c>
      <c r="R96" s="265"/>
      <c r="S96" s="1"/>
      <c r="T96" s="231"/>
      <c r="U96" s="264"/>
      <c r="V96" s="266"/>
      <c r="W96" s="264"/>
      <c r="X96" s="265"/>
      <c r="Y96" s="265"/>
      <c r="Z96" s="265"/>
      <c r="AA96" s="257"/>
      <c r="AB96" s="257"/>
    </row>
    <row r="97" spans="1:28" ht="15">
      <c r="A97" s="1"/>
      <c r="C97" s="233"/>
      <c r="D97" s="271" t="s">
        <v>397</v>
      </c>
      <c r="E97" s="232"/>
      <c r="F97" s="231"/>
      <c r="G97" s="231" t="str">
        <f t="shared" si="3"/>
        <v>'App For Payment-48'!WorkFinished</v>
      </c>
      <c r="H97" s="252"/>
      <c r="I97" s="2"/>
      <c r="J97" s="252"/>
      <c r="K97" s="2"/>
      <c r="L97" s="2"/>
      <c r="M97" s="264" t="e">
        <f t="shared" ca="1" si="10"/>
        <v>#REF!</v>
      </c>
      <c r="N97" s="264"/>
      <c r="O97" s="264">
        <f t="shared" ca="1" si="11"/>
        <v>0</v>
      </c>
      <c r="P97" s="3">
        <f t="shared" ca="1" si="5"/>
        <v>0.2</v>
      </c>
      <c r="Q97" s="3">
        <f t="shared" ca="1" si="6"/>
        <v>0.2</v>
      </c>
      <c r="R97" s="265"/>
      <c r="S97" s="1"/>
      <c r="T97" s="231"/>
      <c r="U97" s="264"/>
      <c r="V97" s="266"/>
      <c r="W97" s="264"/>
      <c r="X97" s="265"/>
      <c r="Y97" s="265"/>
      <c r="Z97" s="265"/>
      <c r="AA97" s="257"/>
      <c r="AB97" s="257"/>
    </row>
    <row r="98" spans="1:28">
      <c r="A98" s="1"/>
      <c r="C98" s="2"/>
      <c r="D98" s="271" t="s">
        <v>495</v>
      </c>
      <c r="E98" s="232"/>
      <c r="F98" s="231"/>
      <c r="G98" s="231" t="str">
        <f t="shared" si="3"/>
        <v>'App For Payment-49'!WorkFinished</v>
      </c>
      <c r="H98" s="252"/>
      <c r="I98" s="2"/>
      <c r="J98" s="252"/>
      <c r="K98" s="2"/>
      <c r="L98" s="2"/>
      <c r="M98" s="264" t="e">
        <f t="shared" ref="M98:M101" ca="1" si="12">INDIRECT(G98)</f>
        <v>#REF!</v>
      </c>
      <c r="N98" s="264"/>
      <c r="O98" s="264">
        <f t="shared" ref="O98:O101" ca="1" si="13">IF(ISERR(M98),0,M98)</f>
        <v>0</v>
      </c>
      <c r="P98" s="3">
        <f t="shared" ca="1" si="5"/>
        <v>0.2</v>
      </c>
      <c r="Q98" s="3">
        <f t="shared" ca="1" si="6"/>
        <v>0.2</v>
      </c>
      <c r="R98" s="2"/>
      <c r="S98" s="2"/>
      <c r="T98" s="2"/>
      <c r="U98" s="2"/>
      <c r="V98" s="2"/>
      <c r="W98" s="2"/>
      <c r="X98" s="2"/>
      <c r="Y98" s="2"/>
      <c r="Z98" s="2"/>
      <c r="AA98" s="190"/>
      <c r="AB98" s="190"/>
    </row>
    <row r="99" spans="1:28">
      <c r="D99" s="271" t="s">
        <v>496</v>
      </c>
      <c r="E99" s="232"/>
      <c r="F99" s="231"/>
      <c r="G99" s="231" t="str">
        <f t="shared" si="3"/>
        <v>'App For Payment-50'!WorkFinished</v>
      </c>
      <c r="H99" s="252"/>
      <c r="I99" s="2"/>
      <c r="J99" s="252"/>
      <c r="K99" s="2"/>
      <c r="L99" s="2"/>
      <c r="M99" s="264" t="e">
        <f t="shared" ca="1" si="12"/>
        <v>#REF!</v>
      </c>
      <c r="N99" s="264"/>
      <c r="O99" s="264">
        <f t="shared" ca="1" si="13"/>
        <v>0</v>
      </c>
      <c r="P99" s="3">
        <f t="shared" ca="1" si="5"/>
        <v>0.2</v>
      </c>
      <c r="Q99" s="3">
        <f t="shared" ca="1" si="6"/>
        <v>0.2</v>
      </c>
    </row>
    <row r="100" spans="1:28">
      <c r="D100" s="271" t="s">
        <v>497</v>
      </c>
      <c r="E100" s="232"/>
      <c r="F100" s="231"/>
      <c r="G100" s="231" t="str">
        <f t="shared" si="3"/>
        <v>'App For Payment-51'!WorkFinished</v>
      </c>
      <c r="H100" s="252"/>
      <c r="I100" s="2"/>
      <c r="J100" s="252"/>
      <c r="K100" s="2"/>
      <c r="L100" s="2"/>
      <c r="M100" s="264" t="e">
        <f t="shared" ca="1" si="12"/>
        <v>#REF!</v>
      </c>
      <c r="N100" s="264"/>
      <c r="O100" s="264">
        <f t="shared" ca="1" si="13"/>
        <v>0</v>
      </c>
      <c r="P100" s="3">
        <f t="shared" ca="1" si="5"/>
        <v>0.2</v>
      </c>
      <c r="Q100" s="3">
        <f t="shared" ca="1" si="6"/>
        <v>0.2</v>
      </c>
    </row>
    <row r="101" spans="1:28">
      <c r="D101" s="271" t="s">
        <v>498</v>
      </c>
      <c r="E101" s="232"/>
      <c r="F101" s="231"/>
      <c r="G101" s="231" t="str">
        <f t="shared" si="3"/>
        <v>'App For Payment-52'!WorkFinished</v>
      </c>
      <c r="H101" s="252"/>
      <c r="I101" s="2"/>
      <c r="J101" s="252"/>
      <c r="K101" s="2"/>
      <c r="L101" s="2"/>
      <c r="M101" s="264" t="e">
        <f t="shared" ca="1" si="12"/>
        <v>#REF!</v>
      </c>
      <c r="N101" s="264"/>
      <c r="O101" s="264">
        <f t="shared" ca="1" si="13"/>
        <v>0</v>
      </c>
      <c r="P101" s="3">
        <f t="shared" ca="1" si="5"/>
        <v>0.2</v>
      </c>
      <c r="Q101" s="3">
        <f t="shared" ca="1" si="6"/>
        <v>0.2</v>
      </c>
    </row>
  </sheetData>
  <mergeCells count="7">
    <mergeCell ref="I47:J47"/>
    <mergeCell ref="AA27:AD27"/>
    <mergeCell ref="K17:L17"/>
    <mergeCell ref="O27:T27"/>
    <mergeCell ref="I27:N27"/>
    <mergeCell ref="W27:Z27"/>
    <mergeCell ref="U27:V27"/>
  </mergeCells>
  <conditionalFormatting sqref="B31 G10:G16 B33:B49">
    <cfRule type="expression" dxfId="5" priority="4" stopIfTrue="1">
      <formula>$B10=$C$34</formula>
    </cfRule>
  </conditionalFormatting>
  <conditionalFormatting sqref="C50:C97">
    <cfRule type="expression" dxfId="4" priority="5" stopIfTrue="1">
      <formula>$C50=$C$34</formula>
    </cfRule>
  </conditionalFormatting>
  <conditionalFormatting sqref="G4">
    <cfRule type="expression" dxfId="3" priority="3" stopIfTrue="1">
      <formula>$B4=$C$34</formula>
    </cfRule>
  </conditionalFormatting>
  <conditionalFormatting sqref="B32">
    <cfRule type="expression" dxfId="2" priority="2" stopIfTrue="1">
      <formula>$B32=$C$34</formula>
    </cfRule>
  </conditionalFormatting>
  <conditionalFormatting sqref="G5:G8">
    <cfRule type="expression" dxfId="1" priority="16" stopIfTrue="1">
      <formula>$B6=$C$34</formula>
    </cfRule>
  </conditionalFormatting>
  <conditionalFormatting sqref="B50">
    <cfRule type="expression" dxfId="0" priority="1" stopIfTrue="1">
      <formula>$C50=$C$34</formula>
    </cfRule>
  </conditionalFormatting>
  <dataValidations count="1">
    <dataValidation type="list" allowBlank="1" showInputMessage="1" showErrorMessage="1" sqref="K17">
      <formula1>"-, Progress Payment, Substantial Performance, Release of Basic Holdback, Release of Finishing Holdback, Release of Holdback, Deemed Completion"</formula1>
    </dataValidation>
  </dataValidation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8"/>
  <sheetViews>
    <sheetView workbookViewId="0">
      <selection activeCell="D9" sqref="D9"/>
    </sheetView>
  </sheetViews>
  <sheetFormatPr defaultRowHeight="12"/>
  <cols>
    <col min="1" max="1" width="5.140625" bestFit="1" customWidth="1"/>
    <col min="2" max="2" width="10.28515625" bestFit="1" customWidth="1"/>
    <col min="3" max="3" width="8.140625" bestFit="1" customWidth="1"/>
  </cols>
  <sheetData>
    <row r="1" spans="1:3" ht="36">
      <c r="A1" s="186" t="s">
        <v>95</v>
      </c>
      <c r="B1" s="187" t="s">
        <v>103</v>
      </c>
      <c r="C1" s="188" t="s">
        <v>192</v>
      </c>
    </row>
    <row r="2" spans="1:3">
      <c r="A2" s="13">
        <v>1</v>
      </c>
      <c r="B2" s="12" t="s">
        <v>96</v>
      </c>
      <c r="C2" s="185">
        <v>1</v>
      </c>
    </row>
    <row r="3" spans="1:3">
      <c r="A3" s="13">
        <v>2</v>
      </c>
      <c r="B3" s="12" t="s">
        <v>97</v>
      </c>
      <c r="C3" s="185">
        <v>0</v>
      </c>
    </row>
    <row r="4" spans="1:3">
      <c r="A4" s="13">
        <v>3</v>
      </c>
      <c r="B4" s="12" t="s">
        <v>98</v>
      </c>
      <c r="C4" s="185">
        <v>0</v>
      </c>
    </row>
    <row r="5" spans="1:3">
      <c r="A5" s="13">
        <v>4</v>
      </c>
      <c r="B5" s="12" t="s">
        <v>99</v>
      </c>
      <c r="C5" s="185">
        <v>0</v>
      </c>
    </row>
    <row r="6" spans="1:3">
      <c r="A6" s="14">
        <v>5</v>
      </c>
      <c r="B6" s="12" t="s">
        <v>100</v>
      </c>
      <c r="C6" s="185">
        <v>0</v>
      </c>
    </row>
    <row r="7" spans="1:3">
      <c r="A7" s="13">
        <v>6</v>
      </c>
      <c r="B7" s="12" t="s">
        <v>101</v>
      </c>
      <c r="C7" s="185">
        <v>0</v>
      </c>
    </row>
    <row r="8" spans="1:3">
      <c r="A8" s="13">
        <v>7</v>
      </c>
      <c r="B8" s="12" t="s">
        <v>102</v>
      </c>
      <c r="C8" s="185">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36</vt:i4>
      </vt:variant>
    </vt:vector>
  </HeadingPairs>
  <TitlesOfParts>
    <vt:vector size="44" baseType="lpstr">
      <vt:lpstr>Commentary</vt:lpstr>
      <vt:lpstr>Project Info</vt:lpstr>
      <vt:lpstr>Record Docs</vt:lpstr>
      <vt:lpstr>App For Payment-Template</vt:lpstr>
      <vt:lpstr>Certificates For Payment</vt:lpstr>
      <vt:lpstr>Cert For Pay (Annual or Phased)</vt:lpstr>
      <vt:lpstr>Lookups</vt:lpstr>
      <vt:lpstr>Sheet1</vt:lpstr>
      <vt:lpstr>Act</vt:lpstr>
      <vt:lpstr>'App For Payment-Template'!AfP_Num</vt:lpstr>
      <vt:lpstr>'App For Payment-Template'!AmtDeferred</vt:lpstr>
      <vt:lpstr>'App For Payment-Template'!CertQualifier</vt:lpstr>
      <vt:lpstr>CfP_Purpose</vt:lpstr>
      <vt:lpstr>'App For Payment-Template'!ChangesToDate</vt:lpstr>
      <vt:lpstr>'App For Payment-Template'!Completed_to_Date</vt:lpstr>
      <vt:lpstr>Contract_Amount</vt:lpstr>
      <vt:lpstr>'App For Payment-Template'!DeficiencyRetainage</vt:lpstr>
      <vt:lpstr>DOW</vt:lpstr>
      <vt:lpstr>GST</vt:lpstr>
      <vt:lpstr>HB_Release</vt:lpstr>
      <vt:lpstr>'App For Payment-Template'!HbCurRel</vt:lpstr>
      <vt:lpstr>'App For Payment-Template'!HbPrevRel</vt:lpstr>
      <vt:lpstr>'App For Payment-Template'!IssueDate</vt:lpstr>
      <vt:lpstr>Legislation</vt:lpstr>
      <vt:lpstr>'App For Payment-Template'!PayableToDate</vt:lpstr>
      <vt:lpstr>'App For Payment-Template'!Percent_to_Date</vt:lpstr>
      <vt:lpstr>'App For Payment-Template'!PeriodEnding</vt:lpstr>
      <vt:lpstr>'App For Payment-Template'!PreviouslyPayable</vt:lpstr>
      <vt:lpstr>'App For Payment-Template'!Print_Area</vt:lpstr>
      <vt:lpstr>'Cert For Pay (Annual or Phased)'!Print_Area</vt:lpstr>
      <vt:lpstr>'Certificates For Payment'!Print_Area</vt:lpstr>
      <vt:lpstr>Province</vt:lpstr>
      <vt:lpstr>ProvinceList</vt:lpstr>
      <vt:lpstr>QST</vt:lpstr>
      <vt:lpstr>QST_Blended</vt:lpstr>
      <vt:lpstr>RecDocMax</vt:lpstr>
      <vt:lpstr>RecDocMin</vt:lpstr>
      <vt:lpstr>StartDate</vt:lpstr>
      <vt:lpstr>StatFinHoldback</vt:lpstr>
      <vt:lpstr>'App For Payment-Template'!StatHoldback</vt:lpstr>
      <vt:lpstr>'App For Payment-Template'!TaxesThisIssue</vt:lpstr>
      <vt:lpstr>'App For Payment-Template'!TotalHbRel</vt:lpstr>
      <vt:lpstr>'App For Payment-Template'!TotalPayable</vt:lpstr>
      <vt:lpstr>'App For Payment-Template'!WorkFinished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SHAJEDUL ISLAM</dc:creator>
  <cp:keywords/>
  <cp:lastModifiedBy>MD SHAJEDUL ISLAM</cp:lastModifiedBy>
  <cp:lastPrinted>2021-06-16T06:48:57Z</cp:lastPrinted>
  <dcterms:created xsi:type="dcterms:W3CDTF">1998-07-12T17:17:57Z</dcterms:created>
  <dcterms:modified xsi:type="dcterms:W3CDTF">2021-06-16T06:49:03Z</dcterms:modified>
  <cp:category/>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Aleph 5</vt:lpwstr>
  </property>
</Properties>
</file>