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 Information" sheetId="1" r:id="rId4"/>
    <sheet state="visible" name="TYPICAL APPLICATION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<sst xmlns="http://schemas.openxmlformats.org/spreadsheetml/2006/main" count="203" uniqueCount="167">
  <si>
    <t>UCC2897A Controller Setup Tool</t>
  </si>
  <si>
    <t>Notes:</t>
  </si>
  <si>
    <r>
      <rPr>
        <rFont val="Calibri"/>
        <b/>
        <color theme="1"/>
        <sz val="14.0"/>
      </rPr>
      <t>Please enter design parameters into the YELLOW</t>
    </r>
    <r>
      <rPr>
        <rFont val="Calibri"/>
        <b/>
        <color rgb="FFFFFF00"/>
        <sz val="14.0"/>
      </rPr>
      <t xml:space="preserve"> </t>
    </r>
    <r>
      <rPr>
        <rFont val="Calibri"/>
        <b/>
        <color theme="1"/>
        <sz val="14.0"/>
      </rPr>
      <t xml:space="preserve"> </t>
    </r>
  </si>
  <si>
    <t xml:space="preserve"> </t>
  </si>
  <si>
    <t>Calculated results are in GRAY</t>
  </si>
  <si>
    <t>Design Parameters</t>
  </si>
  <si>
    <t>Variable Names</t>
  </si>
  <si>
    <t>Units</t>
  </si>
  <si>
    <t>Equations Annotation</t>
  </si>
  <si>
    <t>Input Characteristics</t>
  </si>
  <si>
    <t>Minimum Input Voltage</t>
  </si>
  <si>
    <t>VMIN</t>
  </si>
  <si>
    <t>V</t>
  </si>
  <si>
    <t>Nominal Input Voltage</t>
  </si>
  <si>
    <t>VNOM</t>
  </si>
  <si>
    <t>Maximum Input Voltage</t>
  </si>
  <si>
    <t>VMAX</t>
  </si>
  <si>
    <t>Maximum Duty Cycle</t>
  </si>
  <si>
    <t>DMAX</t>
  </si>
  <si>
    <t>Minimum Duty Cycle</t>
  </si>
  <si>
    <t>DMIN</t>
  </si>
  <si>
    <t>Output Ripple</t>
  </si>
  <si>
    <t>Δ IL</t>
  </si>
  <si>
    <t>%</t>
  </si>
  <si>
    <t>Input Overvoltage Limit</t>
  </si>
  <si>
    <t>VOV</t>
  </si>
  <si>
    <t>Input Undervoltage ON</t>
  </si>
  <si>
    <t>VUV(on)</t>
  </si>
  <si>
    <t>Input Undervoltage OFF</t>
  </si>
  <si>
    <t>VUV(off)</t>
  </si>
  <si>
    <t>Magnetizing Inductance</t>
  </si>
  <si>
    <r>
      <rPr>
        <rFont val="Calibri"/>
        <color theme="1"/>
        <sz val="11.0"/>
      </rPr>
      <t>L</t>
    </r>
    <r>
      <rPr>
        <rFont val="Calibri"/>
        <color theme="1"/>
        <sz val="11.0"/>
        <vertAlign val="subscript"/>
      </rPr>
      <t>MAG</t>
    </r>
  </si>
  <si>
    <t>µH</t>
  </si>
  <si>
    <t>Output Characteristics</t>
  </si>
  <si>
    <t>Minimum Output Voltage</t>
  </si>
  <si>
    <t>Nominal Output Voltage</t>
  </si>
  <si>
    <t>Output Voltage Ripple</t>
  </si>
  <si>
    <t>mVPP</t>
  </si>
  <si>
    <t>Minimum Output Current</t>
  </si>
  <si>
    <t>A</t>
  </si>
  <si>
    <t>Maximum Output Current</t>
  </si>
  <si>
    <t>Output Current Limit</t>
  </si>
  <si>
    <t>System Characteristics</t>
  </si>
  <si>
    <t>Switching Frequency</t>
  </si>
  <si>
    <t>kHz</t>
  </si>
  <si>
    <t>Soft Start Time</t>
  </si>
  <si>
    <t>ms</t>
  </si>
  <si>
    <t>Delay Time GDA to GDB</t>
  </si>
  <si>
    <t>µs</t>
  </si>
  <si>
    <t>Output Inductance</t>
  </si>
  <si>
    <t>Current Transformer Turns Ratio</t>
  </si>
  <si>
    <t>Min Full Load Efficiency</t>
  </si>
  <si>
    <t xml:space="preserve">Calculated Values </t>
  </si>
  <si>
    <t>Calculated Output Inductance</t>
  </si>
  <si>
    <t>Lo</t>
  </si>
  <si>
    <t>Vout(1-Dmin)/(Δ IL * Ioutmax*Fsw)</t>
  </si>
  <si>
    <t>Selected Output Inductance</t>
  </si>
  <si>
    <t>Secondary Current Ripple</t>
  </si>
  <si>
    <r>
      <rPr>
        <rFont val="Arial"/>
        <color theme="1"/>
        <sz val="11.0"/>
      </rPr>
      <t>Δ</t>
    </r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LO(PP)</t>
    </r>
  </si>
  <si>
    <t>Vout(1-Dmin)/(Lo * Fsw)</t>
  </si>
  <si>
    <t>Peak Secondary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</si>
  <si>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LO(PK)</t>
    </r>
  </si>
  <si>
    <t>Ioutmax + Δ IL/2</t>
  </si>
  <si>
    <t>Vos_max</t>
  </si>
  <si>
    <t>Forward Diode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</si>
  <si>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QF(RMS)</t>
    </r>
  </si>
  <si>
    <t>Ioutmax*sqrt(Dmax)</t>
  </si>
  <si>
    <t>Vos_min</t>
  </si>
  <si>
    <t>Freewheel Diode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</si>
  <si>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QR(RMS)</t>
    </r>
  </si>
  <si>
    <t>Ioutmax*sqrt(1-Dmin)</t>
  </si>
  <si>
    <t>Min Output Capacitance (Transient)</t>
  </si>
  <si>
    <t>CO(MIN_T)</t>
  </si>
  <si>
    <t>µF</t>
  </si>
  <si>
    <t>Min Output Capacitance (Ripple)</t>
  </si>
  <si>
    <t>CO(MIN_R)</t>
  </si>
  <si>
    <t>Δ IL/ (8 * Fsw *Vrpp )</t>
  </si>
  <si>
    <t>Min Input Capacitance</t>
  </si>
  <si>
    <r>
      <rPr>
        <rFont val="Calibri"/>
        <color theme="1"/>
        <sz val="11.0"/>
      </rPr>
      <t>C</t>
    </r>
    <r>
      <rPr>
        <rFont val="Calibri"/>
        <color theme="1"/>
        <sz val="11.0"/>
        <vertAlign val="subscript"/>
      </rPr>
      <t>IN(MIN)</t>
    </r>
  </si>
  <si>
    <t>1.25*(Vout*Ioutmax+Imag*0.01*eff*45)*(1-Dmax)/(eff*Vmin*Vmin*Fsw)</t>
  </si>
  <si>
    <t>Delay Resitor</t>
  </si>
  <si>
    <t>RDEL(cal)</t>
  </si>
  <si>
    <r>
      <rPr>
        <rFont val="Calibri"/>
        <color theme="1"/>
        <sz val="11.0"/>
      </rPr>
      <t>k</t>
    </r>
    <r>
      <rPr>
        <rFont val="Calibri"/>
        <color theme="1"/>
        <sz val="11.0"/>
      </rPr>
      <t>Ω</t>
    </r>
  </si>
  <si>
    <t>(Tdel - 15*e-9)*9*10^11</t>
  </si>
  <si>
    <t>RDEL selected</t>
  </si>
  <si>
    <t>RDEL</t>
  </si>
  <si>
    <t>kΩ</t>
  </si>
  <si>
    <t>RON(calculated)</t>
  </si>
  <si>
    <t>RON(cal)</t>
  </si>
  <si>
    <r>
      <rPr>
        <rFont val="Calibri"/>
        <color theme="1"/>
        <sz val="11.0"/>
      </rPr>
      <t>k</t>
    </r>
    <r>
      <rPr>
        <rFont val="Calibri"/>
        <color theme="1"/>
        <sz val="11.0"/>
      </rPr>
      <t>Ω</t>
    </r>
  </si>
  <si>
    <t>Ton+Tdel/(36.1*e-12)</t>
  </si>
  <si>
    <t>Ton</t>
  </si>
  <si>
    <t>Dmin/Fsw</t>
  </si>
  <si>
    <t>RON(chosen)</t>
  </si>
  <si>
    <t xml:space="preserve">RON </t>
  </si>
  <si>
    <t>ROFF(calculated)</t>
  </si>
  <si>
    <t>ROFF(cal)</t>
  </si>
  <si>
    <r>
      <rPr>
        <rFont val="Calibri"/>
        <color theme="1"/>
        <sz val="11.0"/>
      </rPr>
      <t>k</t>
    </r>
    <r>
      <rPr>
        <rFont val="Calibri"/>
        <color theme="1"/>
        <sz val="11.0"/>
      </rPr>
      <t>Ω</t>
    </r>
  </si>
  <si>
    <t>(Toff-Tdel-0.17)/(15e-12)</t>
  </si>
  <si>
    <t>Toff</t>
  </si>
  <si>
    <t>(1-Dmin)/Fsw</t>
  </si>
  <si>
    <t>ROFF(chosen)</t>
  </si>
  <si>
    <t xml:space="preserve">ROFF </t>
  </si>
  <si>
    <t>Soft Start Capacitor</t>
  </si>
  <si>
    <t>CSS(cal)</t>
  </si>
  <si>
    <t>nF</t>
  </si>
  <si>
    <t>Css = Iss * tss / 2, Iss = 0.43 * Vref / 2 * 1 / Ron</t>
  </si>
  <si>
    <t>CSS(chosen)</t>
  </si>
  <si>
    <t xml:space="preserve">CSS </t>
  </si>
  <si>
    <t>IHYS</t>
  </si>
  <si>
    <t>RIN1(calculated)</t>
  </si>
  <si>
    <t>RIN1(cal)</t>
  </si>
  <si>
    <r>
      <rPr>
        <rFont val="Calibri"/>
        <color theme="1"/>
        <sz val="11.0"/>
      </rPr>
      <t>k</t>
    </r>
    <r>
      <rPr>
        <rFont val="Calibri"/>
        <color theme="1"/>
        <sz val="11.0"/>
      </rPr>
      <t>Ω</t>
    </r>
  </si>
  <si>
    <t>RIN1(chosen)</t>
  </si>
  <si>
    <t>RIN1</t>
  </si>
  <si>
    <t>RIN2(calculated)</t>
  </si>
  <si>
    <t>RIN2(cal)</t>
  </si>
  <si>
    <t>RIN2(chosen)</t>
  </si>
  <si>
    <t>RIN2</t>
  </si>
  <si>
    <t>Current Sense Capacitor</t>
  </si>
  <si>
    <r>
      <rPr>
        <rFont val="Calibri"/>
        <color theme="1"/>
        <sz val="11.0"/>
      </rPr>
      <t>C</t>
    </r>
    <r>
      <rPr>
        <rFont val="Calibri"/>
        <color theme="1"/>
        <sz val="11.0"/>
        <vertAlign val="subscript"/>
      </rPr>
      <t>F</t>
    </r>
  </si>
  <si>
    <t>pF</t>
  </si>
  <si>
    <t>RF(calculated)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</si>
  <si>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bscript"/>
      </rPr>
      <t>F(cal)</t>
    </r>
  </si>
  <si>
    <t>Ω</t>
  </si>
  <si>
    <t>RF(chosen)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</si>
  <si>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bscript"/>
      </rPr>
      <t xml:space="preserve">F </t>
    </r>
  </si>
  <si>
    <t>Current Sense Resistor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</si>
  <si>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bscript"/>
      </rPr>
      <t>CS</t>
    </r>
  </si>
  <si>
    <t>0.43/Ipr(peak)</t>
  </si>
  <si>
    <t>IPR(PK)</t>
  </si>
  <si>
    <t>Peak Sec Voltage at Min Input</t>
  </si>
  <si>
    <t>VS(MIN)</t>
  </si>
  <si>
    <t>(Vout+0.2)/Dmin</t>
  </si>
  <si>
    <t xml:space="preserve">Main Transformer Turns Ratio </t>
  </si>
  <si>
    <t>N(prim/sec)</t>
  </si>
  <si>
    <t>Vinmin / Vsec(peak)</t>
  </si>
  <si>
    <t>dVL/dt</t>
  </si>
  <si>
    <t>(Vinmin-Vout*N)*Rcs/(L*N^2*Nc)</t>
  </si>
  <si>
    <t>Slope Resistor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</si>
  <si>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bscript"/>
      </rPr>
      <t>SLOPE</t>
    </r>
  </si>
  <si>
    <t>9*Rf*Fsw/(Dmax*dVL/dt)</t>
  </si>
  <si>
    <t>Qg(main)</t>
  </si>
  <si>
    <t>Qg(aux)</t>
  </si>
  <si>
    <t>Chf = (Qg(main) + Qg(aux))/0.1</t>
  </si>
  <si>
    <t>Magnetizing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</si>
  <si>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MAG</t>
    </r>
  </si>
  <si>
    <t>Vin_min*Dmax/(Fsw*Lmag)</t>
  </si>
  <si>
    <t>Peak Primary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</si>
  <si>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PRI(PK)</t>
    </r>
  </si>
  <si>
    <t>Imag+Isec(pk)/N</t>
  </si>
  <si>
    <t>Vdd</t>
  </si>
  <si>
    <t>RMS Primary Current</t>
  </si>
  <si>
    <r>
      <rPr>
        <rFont val="Calibri"/>
        <color theme="1"/>
        <sz val="11.0"/>
      </rPr>
      <t>I</t>
    </r>
    <r>
      <rPr>
        <rFont val="Calibri"/>
        <color theme="1"/>
        <sz val="11.0"/>
        <vertAlign val="subscript"/>
      </rPr>
      <t>PRI(RMS)</t>
    </r>
  </si>
  <si>
    <t>Iqf/N+Imag/2</t>
  </si>
  <si>
    <t>Idd</t>
  </si>
  <si>
    <t>Iext</t>
  </si>
  <si>
    <t>Peak Primary Drain Voltage</t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</si>
  <si>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DS(QMAIN)</t>
    </r>
  </si>
  <si>
    <t>Vmax/(1-Dmin)</t>
  </si>
  <si>
    <t>Pbias</t>
  </si>
  <si>
    <t>Cbias</t>
  </si>
  <si>
    <t>Min Clamp Capacitor</t>
  </si>
  <si>
    <r>
      <rPr>
        <rFont val="Calibri"/>
        <color theme="1"/>
        <sz val="11.0"/>
      </rPr>
      <t>C</t>
    </r>
    <r>
      <rPr>
        <rFont val="Calibri"/>
        <color theme="1"/>
        <sz val="11.0"/>
        <vertAlign val="subscript"/>
      </rPr>
      <t>CL</t>
    </r>
  </si>
  <si>
    <t>(1-Dmin)^2/Lmag*(2*pi*Fsw)^2</t>
  </si>
  <si>
    <t>Power Stage</t>
  </si>
  <si>
    <t>Controller 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</si>
</sst>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1.0"/>
      <color theme="1"/>
      <name val="Calibri"/>
      <scheme val="minor"/>
    </font>
    <font>
      <sz val="18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/>
    <font>
      <b/>
      <sz val="12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2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/>
    </xf>
    <xf borderId="1" fillId="0" fontId="4" numFmtId="0" xfId="0" applyBorder="1" applyFont="1"/>
    <xf borderId="2" fillId="2" fontId="5" numFmtId="0" xfId="0" applyBorder="1" applyFill="1" applyFont="1"/>
    <xf borderId="0" fillId="0" fontId="3" numFmtId="0" xfId="0" applyFont="1"/>
    <xf borderId="2" fillId="0" fontId="6" numFmtId="0" xfId="0" applyBorder="1" applyFont="1"/>
    <xf borderId="3" fillId="3" fontId="5" numFmtId="0" xfId="0" applyAlignment="1" applyBorder="1" applyFill="1" applyFont="1">
      <alignment horizontal="center"/>
    </xf>
    <xf borderId="2" fillId="4" fontId="6" numFmtId="0" xfId="0" applyBorder="1" applyFill="1" applyFont="1"/>
    <xf borderId="3" fillId="4" fontId="6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4" fillId="5" fontId="3" numFmtId="0" xfId="0" applyAlignment="1" applyBorder="1" applyFill="1" applyFont="1">
      <alignment horizontal="center"/>
    </xf>
    <xf borderId="5" fillId="0" fontId="4" numFmtId="0" xfId="0" applyBorder="1" applyFont="1"/>
    <xf borderId="6" fillId="0" fontId="4" numFmtId="0" xfId="0" applyBorder="1" applyFont="1"/>
    <xf borderId="7" fillId="0" fontId="6" numFmtId="0" xfId="0" applyBorder="1" applyFont="1"/>
    <xf borderId="8" fillId="0" fontId="6" numFmtId="0" xfId="0" applyBorder="1" applyFont="1"/>
    <xf borderId="9" fillId="2" fontId="6" numFmtId="0" xfId="0" applyAlignment="1" applyBorder="1" applyFont="1">
      <alignment horizontal="left" readingOrder="0"/>
    </xf>
    <xf borderId="10" fillId="0" fontId="6" numFmtId="0" xfId="0" applyAlignment="1" applyBorder="1" applyFont="1">
      <alignment horizontal="right"/>
    </xf>
    <xf borderId="11" fillId="0" fontId="6" numFmtId="0" xfId="0" applyAlignment="1" applyBorder="1" applyFont="1">
      <alignment readingOrder="0"/>
    </xf>
    <xf borderId="2" fillId="2" fontId="6" numFmtId="0" xfId="0" applyAlignment="1" applyBorder="1" applyFont="1">
      <alignment horizontal="left"/>
    </xf>
    <xf borderId="12" fillId="0" fontId="6" numFmtId="0" xfId="0" applyAlignment="1" applyBorder="1" applyFont="1">
      <alignment horizontal="right"/>
    </xf>
    <xf borderId="11" fillId="0" fontId="6" numFmtId="0" xfId="0" applyBorder="1" applyFont="1"/>
    <xf borderId="2" fillId="2" fontId="6" numFmtId="0" xfId="0" applyAlignment="1" applyBorder="1" applyFont="1">
      <alignment horizontal="left" readingOrder="0"/>
    </xf>
    <xf borderId="12" fillId="0" fontId="6" numFmtId="0" xfId="0" applyAlignment="1" applyBorder="1" applyFont="1">
      <alignment horizontal="right" readingOrder="0"/>
    </xf>
    <xf borderId="2" fillId="3" fontId="6" numFmtId="0" xfId="0" applyAlignment="1" applyBorder="1" applyFont="1">
      <alignment horizontal="left"/>
    </xf>
    <xf borderId="2" fillId="0" fontId="7" numFmtId="0" xfId="0" applyBorder="1" applyFont="1"/>
    <xf borderId="13" fillId="4" fontId="6" numFmtId="0" xfId="0" applyBorder="1" applyFont="1"/>
    <xf borderId="14" fillId="0" fontId="6" numFmtId="0" xfId="0" applyBorder="1" applyFont="1"/>
    <xf borderId="3" fillId="2" fontId="6" numFmtId="164" xfId="0" applyAlignment="1" applyBorder="1" applyFont="1" applyNumberFormat="1">
      <alignment horizontal="left" readingOrder="0"/>
    </xf>
    <xf borderId="15" fillId="0" fontId="6" numFmtId="0" xfId="0" applyAlignment="1" applyBorder="1" applyFont="1">
      <alignment horizontal="right"/>
    </xf>
    <xf borderId="16" fillId="0" fontId="6" numFmtId="0" xfId="0" applyAlignment="1" applyBorder="1" applyFont="1">
      <alignment readingOrder="0"/>
    </xf>
    <xf borderId="0" fillId="0" fontId="6" numFmtId="0" xfId="0" applyFont="1"/>
    <xf borderId="0" fillId="2" fontId="6" numFmtId="0" xfId="0" applyAlignment="1" applyFont="1">
      <alignment horizontal="left" readingOrder="0"/>
    </xf>
    <xf borderId="17" fillId="0" fontId="6" numFmtId="0" xfId="0" applyAlignment="1" applyBorder="1" applyFont="1">
      <alignment horizontal="right" readingOrder="0"/>
    </xf>
    <xf borderId="7" fillId="0" fontId="6" numFmtId="0" xfId="0" applyAlignment="1" applyBorder="1" applyFont="1">
      <alignment readingOrder="0"/>
    </xf>
    <xf borderId="16" fillId="0" fontId="6" numFmtId="0" xfId="0" applyBorder="1" applyFont="1"/>
    <xf borderId="0" fillId="0" fontId="6" numFmtId="0" xfId="0" applyAlignment="1" applyFont="1">
      <alignment horizontal="left"/>
    </xf>
    <xf borderId="17" fillId="0" fontId="6" numFmtId="0" xfId="0" applyAlignment="1" applyBorder="1" applyFont="1">
      <alignment horizontal="right"/>
    </xf>
    <xf borderId="4" fillId="5" fontId="3" numFmtId="0" xfId="0" applyAlignment="1" applyBorder="1" applyFont="1">
      <alignment horizontal="center" shrinkToFit="1" wrapText="0"/>
    </xf>
    <xf borderId="18" fillId="0" fontId="4" numFmtId="0" xfId="0" applyBorder="1" applyFont="1"/>
    <xf borderId="19" fillId="5" fontId="6" numFmtId="0" xfId="0" applyAlignment="1" applyBorder="1" applyFont="1">
      <alignment horizontal="center" shrinkToFit="1" wrapText="0"/>
    </xf>
    <xf borderId="3" fillId="4" fontId="6" numFmtId="0" xfId="0" applyAlignment="1" applyBorder="1" applyFont="1">
      <alignment horizontal="left"/>
    </xf>
    <xf borderId="9" fillId="3" fontId="6" numFmtId="2" xfId="0" applyAlignment="1" applyBorder="1" applyFont="1" applyNumberFormat="1">
      <alignment horizontal="left"/>
    </xf>
    <xf borderId="0" fillId="0" fontId="2" numFmtId="0" xfId="0" applyAlignment="1" applyFont="1">
      <alignment readingOrder="0"/>
    </xf>
    <xf borderId="2" fillId="2" fontId="6" numFmtId="2" xfId="0" applyAlignment="1" applyBorder="1" applyFont="1" applyNumberFormat="1">
      <alignment horizontal="left" readingOrder="0"/>
    </xf>
    <xf borderId="11" fillId="4" fontId="6" numFmtId="0" xfId="0" applyBorder="1" applyFont="1"/>
    <xf borderId="2" fillId="3" fontId="6" numFmtId="2" xfId="0" applyAlignment="1" applyBorder="1" applyFont="1" applyNumberFormat="1">
      <alignment horizontal="left"/>
    </xf>
    <xf borderId="11" fillId="4" fontId="6" numFmtId="0" xfId="0" applyAlignment="1" applyBorder="1" applyFont="1">
      <alignment readingOrder="0"/>
    </xf>
    <xf borderId="2" fillId="4" fontId="6" numFmtId="0" xfId="0" applyAlignment="1" applyBorder="1" applyFont="1">
      <alignment readingOrder="0"/>
    </xf>
    <xf borderId="12" fillId="4" fontId="6" numFmtId="0" xfId="0" applyAlignment="1" applyBorder="1" applyFont="1">
      <alignment horizontal="right" readingOrder="0"/>
    </xf>
    <xf borderId="2" fillId="0" fontId="6" numFmtId="0" xfId="0" applyAlignment="1" applyBorder="1" applyFont="1">
      <alignment readingOrder="0"/>
    </xf>
    <xf borderId="2" fillId="3" fontId="6" numFmtId="1" xfId="0" applyAlignment="1" applyBorder="1" applyFont="1" applyNumberFormat="1">
      <alignment horizontal="left"/>
    </xf>
    <xf borderId="2" fillId="4" fontId="6" numFmtId="2" xfId="0" applyAlignment="1" applyBorder="1" applyFont="1" applyNumberFormat="1">
      <alignment horizontal="left"/>
    </xf>
    <xf borderId="12" fillId="4" fontId="6" numFmtId="0" xfId="0" applyAlignment="1" applyBorder="1" applyFont="1">
      <alignment horizontal="right"/>
    </xf>
    <xf borderId="20" fillId="4" fontId="6" numFmtId="0" xfId="0" applyBorder="1" applyFont="1"/>
    <xf borderId="3" fillId="4" fontId="6" numFmtId="2" xfId="0" applyAlignment="1" applyBorder="1" applyFont="1" applyNumberFormat="1">
      <alignment horizontal="left"/>
    </xf>
    <xf borderId="2" fillId="2" fontId="6" numFmtId="2" xfId="0" applyAlignment="1" applyBorder="1" applyFont="1" applyNumberFormat="1">
      <alignment horizontal="left"/>
    </xf>
    <xf borderId="2" fillId="0" fontId="6" numFmtId="0" xfId="0" applyAlignment="1" applyBorder="1" applyFont="1">
      <alignment horizontal="left"/>
    </xf>
    <xf borderId="2" fillId="3" fontId="6" numFmtId="165" xfId="0" applyAlignment="1" applyBorder="1" applyFont="1" applyNumberFormat="1">
      <alignment horizontal="left"/>
    </xf>
    <xf borderId="0" fillId="0" fontId="6" numFmtId="2" xfId="0" applyFont="1" applyNumberFormat="1"/>
    <xf borderId="21" fillId="0" fontId="6" numFmtId="0" xfId="0" applyBorder="1" applyFont="1"/>
    <xf borderId="22" fillId="0" fontId="6" numFmtId="0" xfId="0" applyBorder="1" applyFont="1"/>
    <xf borderId="22" fillId="0" fontId="6" numFmtId="0" xfId="0" applyAlignment="1" applyBorder="1" applyFont="1">
      <alignment horizontal="left"/>
    </xf>
    <xf borderId="2" fillId="3" fontId="6" numFmtId="164" xfId="0" applyAlignment="1" applyBorder="1" applyFont="1" applyNumberFormat="1">
      <alignment horizontal="left"/>
    </xf>
    <xf borderId="17" fillId="0" fontId="6" numFmtId="0" xfId="0" applyBorder="1" applyFont="1"/>
    <xf borderId="2" fillId="3" fontId="6" numFmtId="2" xfId="0" applyBorder="1" applyFont="1" applyNumberFormat="1"/>
    <xf borderId="2" fillId="4" fontId="6" numFmtId="2" xfId="0" applyBorder="1" applyFont="1" applyNumberFormat="1"/>
    <xf borderId="3" fillId="4" fontId="6" numFmtId="0" xfId="0" applyAlignment="1" applyBorder="1" applyFont="1">
      <alignment readingOrder="0"/>
    </xf>
    <xf borderId="2" fillId="3" fontId="6" numFmtId="1" xfId="0" applyBorder="1" applyFont="1" applyNumberFormat="1"/>
    <xf borderId="23" fillId="4" fontId="6" numFmtId="0" xfId="0" applyBorder="1" applyFont="1"/>
    <xf borderId="24" fillId="0" fontId="6" numFmtId="0" xfId="0" applyBorder="1" applyFont="1"/>
    <xf borderId="24" fillId="3" fontId="6" numFmtId="2" xfId="0" applyAlignment="1" applyBorder="1" applyFont="1" applyNumberFormat="1">
      <alignment horizontal="right"/>
    </xf>
    <xf borderId="25" fillId="0" fontId="6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19050</xdr:rowOff>
    </xdr:from>
    <xdr:ext cx="4257675" cy="5372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4</xdr:row>
      <xdr:rowOff>114300</xdr:rowOff>
    </xdr:from>
    <xdr:ext cx="5219700" cy="21431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4.0"/>
    <col customWidth="1" min="3" max="3" width="14.29"/>
    <col customWidth="1" min="4" max="4" width="13.86"/>
    <col customWidth="1" min="5" max="5" width="8.71"/>
    <col customWidth="1" min="6" max="6" width="56.0"/>
    <col customWidth="1" min="7" max="7" width="8.71"/>
    <col customWidth="1" min="8" max="8" width="29.43"/>
    <col customWidth="1" min="9" max="9" width="34.57"/>
    <col customWidth="1" min="10" max="10" width="27.29"/>
    <col customWidth="1" hidden="1" min="11" max="12" width="8.71"/>
    <col customWidth="1" hidden="1" min="13" max="13" width="28.86"/>
    <col customWidth="1" min="14" max="26" width="8.71"/>
  </cols>
  <sheetData>
    <row r="1" ht="14.25" customHeight="1">
      <c r="B1" s="1" t="s">
        <v>0</v>
      </c>
    </row>
    <row r="2" ht="14.25" customHeight="1"/>
    <row r="3" ht="14.25" customHeight="1">
      <c r="B3" s="2" t="s">
        <v>1</v>
      </c>
    </row>
    <row r="4" ht="14.25" customHeight="1">
      <c r="B4" s="3" t="s">
        <v>2</v>
      </c>
      <c r="E4" s="4"/>
      <c r="F4" s="5" t="s">
        <v>3</v>
      </c>
      <c r="G4" s="6"/>
      <c r="K4" s="7"/>
    </row>
    <row r="5" ht="14.25" customHeight="1">
      <c r="B5" s="3" t="s">
        <v>4</v>
      </c>
      <c r="F5" s="8" t="s">
        <v>3</v>
      </c>
      <c r="G5" s="6" t="s">
        <v>3</v>
      </c>
      <c r="K5" s="9"/>
      <c r="L5" s="9"/>
      <c r="M5" s="9"/>
    </row>
    <row r="6" ht="14.25" customHeight="1">
      <c r="K6" s="9"/>
      <c r="L6" s="9"/>
      <c r="M6" s="9"/>
    </row>
    <row r="7" ht="14.25" customHeight="1">
      <c r="K7" s="9"/>
      <c r="L7" s="10"/>
      <c r="M7" s="9"/>
    </row>
    <row r="8" ht="14.25" customHeight="1">
      <c r="B8" s="11" t="s">
        <v>5</v>
      </c>
      <c r="C8" s="6" t="s">
        <v>6</v>
      </c>
      <c r="D8" s="6"/>
      <c r="E8" s="11" t="s">
        <v>7</v>
      </c>
      <c r="F8" s="12" t="s">
        <v>8</v>
      </c>
      <c r="K8" s="7"/>
      <c r="L8" s="7"/>
      <c r="M8" s="7"/>
    </row>
    <row r="9" ht="14.25" customHeight="1">
      <c r="B9" s="13" t="s">
        <v>9</v>
      </c>
      <c r="C9" s="14"/>
      <c r="D9" s="14"/>
      <c r="E9" s="15"/>
    </row>
    <row r="10" ht="14.25" customHeight="1">
      <c r="B10" s="16" t="s">
        <v>10</v>
      </c>
      <c r="C10" s="17" t="s">
        <v>11</v>
      </c>
      <c r="D10" s="18">
        <v>45.0</v>
      </c>
      <c r="E10" s="19" t="s">
        <v>12</v>
      </c>
    </row>
    <row r="11" ht="14.25" customHeight="1">
      <c r="B11" s="20" t="s">
        <v>13</v>
      </c>
      <c r="C11" s="7" t="s">
        <v>14</v>
      </c>
      <c r="D11" s="21">
        <v>48.0</v>
      </c>
      <c r="E11" s="22" t="s">
        <v>12</v>
      </c>
    </row>
    <row r="12" ht="14.25" customHeight="1">
      <c r="B12" s="23" t="s">
        <v>15</v>
      </c>
      <c r="C12" s="7" t="s">
        <v>16</v>
      </c>
      <c r="D12" s="24">
        <v>52.0</v>
      </c>
      <c r="E12" s="22" t="s">
        <v>12</v>
      </c>
    </row>
    <row r="13" ht="14.25" customHeight="1">
      <c r="B13" s="23" t="s">
        <v>17</v>
      </c>
      <c r="C13" s="7" t="s">
        <v>18</v>
      </c>
      <c r="D13" s="24">
        <v>0.45</v>
      </c>
      <c r="E13" s="25"/>
    </row>
    <row r="14" ht="14.25" customHeight="1">
      <c r="B14" s="23" t="s">
        <v>19</v>
      </c>
      <c r="C14" s="7" t="s">
        <v>20</v>
      </c>
      <c r="D14" s="26">
        <f>D13*D10/D12</f>
        <v>0.3894230769</v>
      </c>
      <c r="E14" s="25"/>
    </row>
    <row r="15" ht="14.25" customHeight="1">
      <c r="B15" s="23" t="s">
        <v>21</v>
      </c>
      <c r="C15" s="27" t="s">
        <v>22</v>
      </c>
      <c r="D15" s="24">
        <v>15.0</v>
      </c>
      <c r="E15" s="22" t="s">
        <v>23</v>
      </c>
    </row>
    <row r="16" ht="14.25" customHeight="1">
      <c r="B16" s="23" t="s">
        <v>24</v>
      </c>
      <c r="C16" s="7" t="s">
        <v>25</v>
      </c>
      <c r="D16" s="24">
        <v>55.0</v>
      </c>
      <c r="E16" s="22" t="s">
        <v>12</v>
      </c>
    </row>
    <row r="17" ht="14.25" customHeight="1">
      <c r="B17" s="23" t="s">
        <v>26</v>
      </c>
      <c r="C17" s="7" t="s">
        <v>27</v>
      </c>
      <c r="D17" s="24">
        <v>43.0</v>
      </c>
      <c r="E17" s="22" t="s">
        <v>12</v>
      </c>
    </row>
    <row r="18" ht="14.25" customHeight="1">
      <c r="B18" s="23" t="s">
        <v>28</v>
      </c>
      <c r="C18" s="7" t="s">
        <v>29</v>
      </c>
      <c r="D18" s="24">
        <v>42.0</v>
      </c>
      <c r="E18" s="22" t="s">
        <v>12</v>
      </c>
    </row>
    <row r="19" ht="14.25" customHeight="1">
      <c r="B19" s="28" t="s">
        <v>30</v>
      </c>
      <c r="C19" s="29" t="s">
        <v>31</v>
      </c>
      <c r="D19" s="30">
        <v>50.0</v>
      </c>
      <c r="E19" s="31" t="s">
        <v>32</v>
      </c>
    </row>
    <row r="20" ht="14.25" customHeight="1">
      <c r="B20" s="13" t="s">
        <v>33</v>
      </c>
      <c r="C20" s="14"/>
      <c r="D20" s="14"/>
      <c r="E20" s="15"/>
    </row>
    <row r="21" ht="14.25" customHeight="1">
      <c r="B21" s="32" t="s">
        <v>34</v>
      </c>
      <c r="C21" s="33"/>
      <c r="D21" s="34">
        <v>5.0</v>
      </c>
      <c r="E21" s="35" t="s">
        <v>12</v>
      </c>
    </row>
    <row r="22" ht="14.25" customHeight="1">
      <c r="B22" s="36" t="s">
        <v>35</v>
      </c>
      <c r="C22" s="17"/>
      <c r="D22" s="18">
        <v>20.0</v>
      </c>
      <c r="E22" s="19" t="s">
        <v>12</v>
      </c>
    </row>
    <row r="23" ht="14.25" customHeight="1">
      <c r="B23" s="23" t="s">
        <v>36</v>
      </c>
      <c r="C23" s="7"/>
      <c r="D23" s="24">
        <v>10.0</v>
      </c>
      <c r="E23" s="22" t="s">
        <v>37</v>
      </c>
    </row>
    <row r="24" ht="14.25" customHeight="1">
      <c r="B24" s="23" t="s">
        <v>38</v>
      </c>
      <c r="C24" s="7"/>
      <c r="D24" s="24">
        <v>0.1</v>
      </c>
      <c r="E24" s="22" t="s">
        <v>39</v>
      </c>
    </row>
    <row r="25" ht="14.25" customHeight="1">
      <c r="B25" s="23" t="s">
        <v>40</v>
      </c>
      <c r="C25" s="7"/>
      <c r="D25" s="24">
        <v>3.0</v>
      </c>
      <c r="E25" s="22" t="s">
        <v>39</v>
      </c>
    </row>
    <row r="26" ht="14.25" customHeight="1">
      <c r="B26" s="23" t="s">
        <v>41</v>
      </c>
      <c r="C26" s="7"/>
      <c r="D26" s="24">
        <v>3.2</v>
      </c>
      <c r="E26" s="22" t="s">
        <v>39</v>
      </c>
      <c r="G26" s="33"/>
    </row>
    <row r="27" ht="14.25" customHeight="1">
      <c r="B27" s="37"/>
      <c r="C27" s="33"/>
      <c r="D27" s="38"/>
      <c r="E27" s="39"/>
    </row>
    <row r="28" ht="14.25" customHeight="1">
      <c r="B28" s="40" t="s">
        <v>42</v>
      </c>
      <c r="C28" s="14"/>
      <c r="D28" s="41"/>
      <c r="E28" s="42"/>
    </row>
    <row r="29" ht="14.25" customHeight="1">
      <c r="B29" s="16" t="s">
        <v>43</v>
      </c>
      <c r="C29" s="17"/>
      <c r="D29" s="18">
        <v>200.0</v>
      </c>
      <c r="E29" s="19" t="s">
        <v>44</v>
      </c>
    </row>
    <row r="30" ht="14.25" customHeight="1">
      <c r="B30" s="23" t="s">
        <v>45</v>
      </c>
      <c r="C30" s="7"/>
      <c r="D30" s="21">
        <v>30.0</v>
      </c>
      <c r="E30" s="22" t="s">
        <v>46</v>
      </c>
    </row>
    <row r="31" ht="14.25" customHeight="1">
      <c r="B31" s="23" t="s">
        <v>47</v>
      </c>
      <c r="C31" s="7"/>
      <c r="D31" s="21">
        <v>0.1</v>
      </c>
      <c r="E31" s="22" t="s">
        <v>48</v>
      </c>
    </row>
    <row r="32" ht="14.25" customHeight="1">
      <c r="B32" s="23" t="s">
        <v>49</v>
      </c>
      <c r="C32" s="7"/>
      <c r="D32" s="24">
        <v>0.01</v>
      </c>
      <c r="E32" s="22" t="s">
        <v>32</v>
      </c>
    </row>
    <row r="33" ht="14.25" customHeight="1">
      <c r="B33" s="23" t="s">
        <v>50</v>
      </c>
      <c r="C33" s="7"/>
      <c r="D33" s="24">
        <v>1.0</v>
      </c>
      <c r="E33" s="22"/>
    </row>
    <row r="34" ht="14.25" customHeight="1">
      <c r="B34" s="23" t="s">
        <v>51</v>
      </c>
      <c r="C34" s="7"/>
      <c r="D34" s="21">
        <v>85.0</v>
      </c>
      <c r="E34" s="22" t="s">
        <v>23</v>
      </c>
    </row>
    <row r="35" ht="14.25" customHeight="1">
      <c r="A35" s="33"/>
      <c r="B35" s="37"/>
      <c r="C35" s="33"/>
      <c r="D35" s="43"/>
      <c r="E35" s="39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4.25" customHeight="1">
      <c r="A36" s="6"/>
      <c r="B36" s="13" t="s">
        <v>52</v>
      </c>
      <c r="C36" s="14"/>
      <c r="D36" s="14"/>
      <c r="E36" s="1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B37" s="16" t="s">
        <v>53</v>
      </c>
      <c r="C37" s="17" t="s">
        <v>54</v>
      </c>
      <c r="D37" s="44">
        <f>D22*(1-D14)*1000000/(D15*D25*D29*10)</f>
        <v>135.6837607</v>
      </c>
      <c r="E37" s="19" t="s">
        <v>32</v>
      </c>
      <c r="F37" s="45" t="s">
        <v>55</v>
      </c>
    </row>
    <row r="38" ht="14.25" customHeight="1">
      <c r="B38" s="20" t="s">
        <v>56</v>
      </c>
      <c r="C38" s="7" t="s">
        <v>54</v>
      </c>
      <c r="D38" s="46">
        <v>180.0</v>
      </c>
      <c r="E38" s="22" t="s">
        <v>32</v>
      </c>
    </row>
    <row r="39" ht="14.25" customHeight="1">
      <c r="B39" s="47" t="s">
        <v>57</v>
      </c>
      <c r="C39" s="7" t="s">
        <v>58</v>
      </c>
      <c r="D39" s="48">
        <f>D22*(1-D14)/(D38*D29*0.001)</f>
        <v>0.3392094017</v>
      </c>
      <c r="E39" s="22"/>
      <c r="F39" s="45" t="s">
        <v>59</v>
      </c>
    </row>
    <row r="40" ht="14.25" customHeight="1">
      <c r="B40" s="47" t="s">
        <v>60</v>
      </c>
      <c r="C40" s="7" t="s">
        <v>61</v>
      </c>
      <c r="D40" s="48">
        <f>D25+D39/2</f>
        <v>3.169604701</v>
      </c>
      <c r="E40" s="22" t="s">
        <v>39</v>
      </c>
      <c r="F40" s="45" t="s">
        <v>62</v>
      </c>
      <c r="H40" s="45" t="s">
        <v>63</v>
      </c>
      <c r="I40" s="45">
        <v>20.5</v>
      </c>
    </row>
    <row r="41" ht="14.25" customHeight="1">
      <c r="B41" s="47" t="s">
        <v>64</v>
      </c>
      <c r="C41" s="7" t="s">
        <v>65</v>
      </c>
      <c r="D41" s="48">
        <f>D25*SQRT(D13)</f>
        <v>2.01246118</v>
      </c>
      <c r="E41" s="22" t="s">
        <v>39</v>
      </c>
      <c r="F41" s="45" t="s">
        <v>66</v>
      </c>
      <c r="H41" s="45" t="s">
        <v>67</v>
      </c>
      <c r="I41" s="45">
        <v>20.0</v>
      </c>
    </row>
    <row r="42" ht="14.25" customHeight="1">
      <c r="B42" s="47" t="s">
        <v>68</v>
      </c>
      <c r="C42" s="7" t="s">
        <v>69</v>
      </c>
      <c r="D42" s="48">
        <f>D25*SQRT(1-D14)</f>
        <v>2.344182652</v>
      </c>
      <c r="E42" s="22" t="s">
        <v>39</v>
      </c>
      <c r="F42" s="45" t="s">
        <v>70</v>
      </c>
    </row>
    <row r="43" ht="14.25" customHeight="1">
      <c r="A43" s="10"/>
      <c r="B43" s="49" t="s">
        <v>71</v>
      </c>
      <c r="C43" s="50" t="s">
        <v>72</v>
      </c>
      <c r="D43" s="48">
        <f>D38*(D25^2-D24^2)/(I40^2-I41^2)</f>
        <v>79.91111111</v>
      </c>
      <c r="E43" s="51" t="s">
        <v>73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B44" s="49" t="s">
        <v>74</v>
      </c>
      <c r="C44" s="52" t="s">
        <v>75</v>
      </c>
      <c r="D44" s="53">
        <f>D39*1000000/(8*D29*D23)</f>
        <v>21.20058761</v>
      </c>
      <c r="E44" s="22" t="s">
        <v>73</v>
      </c>
      <c r="F44" s="45" t="s">
        <v>76</v>
      </c>
    </row>
    <row r="45" ht="14.25" customHeight="1">
      <c r="A45" s="10"/>
      <c r="B45" s="47"/>
      <c r="C45" s="9"/>
      <c r="D45" s="54"/>
      <c r="E45" s="5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B46" s="47" t="s">
        <v>77</v>
      </c>
      <c r="C46" s="7" t="s">
        <v>78</v>
      </c>
      <c r="D46" s="48">
        <f>1.25*1000000*(D22*D25+D78*0.01*D34*D10)*(1-D13)/(0.01*D34*D10*D29*1000*0.05*D10)</f>
        <v>5.490264161</v>
      </c>
      <c r="E46" s="22" t="s">
        <v>73</v>
      </c>
      <c r="F46" s="45" t="s">
        <v>79</v>
      </c>
    </row>
    <row r="47" ht="14.25" customHeight="1">
      <c r="B47" s="56"/>
      <c r="C47" s="33"/>
      <c r="D47" s="57"/>
      <c r="E47" s="39"/>
    </row>
    <row r="48" ht="14.25" customHeight="1">
      <c r="B48" s="23" t="s">
        <v>80</v>
      </c>
      <c r="C48" s="7" t="s">
        <v>81</v>
      </c>
      <c r="D48" s="48">
        <f>(D31-0.015)*1000/11.1</f>
        <v>7.657657658</v>
      </c>
      <c r="E48" s="22" t="s">
        <v>82</v>
      </c>
      <c r="F48" s="45" t="s">
        <v>83</v>
      </c>
    </row>
    <row r="49" ht="14.25" customHeight="1">
      <c r="B49" s="47" t="s">
        <v>84</v>
      </c>
      <c r="C49" s="7" t="s">
        <v>85</v>
      </c>
      <c r="D49" s="58">
        <v>8.45</v>
      </c>
      <c r="E49" s="22" t="s">
        <v>86</v>
      </c>
    </row>
    <row r="50" ht="14.25" customHeight="1">
      <c r="B50" s="23" t="s">
        <v>87</v>
      </c>
      <c r="C50" s="7" t="s">
        <v>88</v>
      </c>
      <c r="D50" s="48">
        <f>(I50+D31)*1000/36.1</f>
        <v>65.09695291</v>
      </c>
      <c r="E50" s="22" t="s">
        <v>89</v>
      </c>
      <c r="F50" s="45" t="s">
        <v>90</v>
      </c>
      <c r="H50" s="2" t="s">
        <v>91</v>
      </c>
      <c r="I50" s="2">
        <f>D13*1000/D29</f>
        <v>2.25</v>
      </c>
      <c r="J50" s="45" t="s">
        <v>92</v>
      </c>
    </row>
    <row r="51" ht="14.25" customHeight="1">
      <c r="B51" s="47" t="s">
        <v>93</v>
      </c>
      <c r="C51" s="7" t="s">
        <v>94</v>
      </c>
      <c r="D51" s="58">
        <v>69.8</v>
      </c>
      <c r="E51" s="22" t="s">
        <v>86</v>
      </c>
    </row>
    <row r="52" ht="14.25" customHeight="1">
      <c r="B52" s="23" t="s">
        <v>95</v>
      </c>
      <c r="C52" s="7" t="s">
        <v>96</v>
      </c>
      <c r="D52" s="48">
        <f>(I52-D31-0.17)*1000/15</f>
        <v>165.3333333</v>
      </c>
      <c r="E52" s="22" t="s">
        <v>97</v>
      </c>
      <c r="F52" s="45" t="s">
        <v>98</v>
      </c>
      <c r="H52" s="2" t="s">
        <v>99</v>
      </c>
      <c r="I52" s="2">
        <f>(1-D13)*1000/D29</f>
        <v>2.75</v>
      </c>
      <c r="J52" s="45" t="s">
        <v>100</v>
      </c>
    </row>
    <row r="53" ht="14.25" customHeight="1">
      <c r="B53" s="47" t="s">
        <v>101</v>
      </c>
      <c r="C53" s="7" t="s">
        <v>102</v>
      </c>
      <c r="D53" s="24">
        <v>160.0</v>
      </c>
      <c r="E53" s="22" t="s">
        <v>86</v>
      </c>
    </row>
    <row r="54" ht="14.25" customHeight="1">
      <c r="B54" s="23" t="s">
        <v>103</v>
      </c>
      <c r="C54" s="7" t="s">
        <v>104</v>
      </c>
      <c r="D54" s="53">
        <f>2.5*0.43*D30*0.001*1000000000/(D50*1000*2)</f>
        <v>247.7074468</v>
      </c>
      <c r="E54" s="22" t="s">
        <v>105</v>
      </c>
      <c r="F54" s="45" t="s">
        <v>106</v>
      </c>
    </row>
    <row r="55" ht="14.25" customHeight="1">
      <c r="B55" s="47" t="s">
        <v>107</v>
      </c>
      <c r="C55" s="7" t="s">
        <v>108</v>
      </c>
      <c r="D55" s="21">
        <v>220.0</v>
      </c>
      <c r="E55" s="22" t="s">
        <v>105</v>
      </c>
    </row>
    <row r="56" ht="14.25" customHeight="1">
      <c r="B56" s="23"/>
      <c r="C56" s="7"/>
      <c r="D56" s="59"/>
      <c r="E56" s="22"/>
      <c r="H56" s="2" t="s">
        <v>109</v>
      </c>
      <c r="I56" s="2">
        <f>2.5*0.05/(D49*1000)</f>
        <v>0.00001479289941</v>
      </c>
    </row>
    <row r="57" ht="14.25" customHeight="1">
      <c r="B57" s="23" t="s">
        <v>110</v>
      </c>
      <c r="C57" s="7" t="s">
        <v>111</v>
      </c>
      <c r="D57" s="26">
        <f>(D17-D18)*0.001/I56</f>
        <v>67.6</v>
      </c>
      <c r="E57" s="22" t="s">
        <v>112</v>
      </c>
    </row>
    <row r="58" ht="14.25" customHeight="1">
      <c r="B58" s="23" t="s">
        <v>113</v>
      </c>
      <c r="C58" s="7" t="s">
        <v>114</v>
      </c>
      <c r="D58" s="24">
        <v>400.0</v>
      </c>
      <c r="E58" s="22" t="s">
        <v>86</v>
      </c>
    </row>
    <row r="59" ht="14.25" customHeight="1">
      <c r="B59" s="23" t="s">
        <v>115</v>
      </c>
      <c r="C59" s="7" t="s">
        <v>116</v>
      </c>
      <c r="D59" s="48">
        <f>D57*1.27/(34.6-1.27)</f>
        <v>2.575817582</v>
      </c>
      <c r="E59" s="22" t="s">
        <v>86</v>
      </c>
    </row>
    <row r="60" ht="14.25" customHeight="1">
      <c r="B60" s="23" t="s">
        <v>117</v>
      </c>
      <c r="C60" s="7" t="s">
        <v>118</v>
      </c>
      <c r="D60" s="24">
        <v>16.0</v>
      </c>
      <c r="E60" s="22" t="s">
        <v>86</v>
      </c>
    </row>
    <row r="61" ht="14.25" customHeight="1">
      <c r="B61" s="23"/>
      <c r="C61" s="7"/>
      <c r="D61" s="59"/>
      <c r="E61" s="22"/>
    </row>
    <row r="62" ht="14.25" customHeight="1">
      <c r="B62" s="23"/>
      <c r="C62" s="7"/>
      <c r="D62" s="59"/>
      <c r="E62" s="22"/>
    </row>
    <row r="63" ht="14.25" customHeight="1">
      <c r="B63" s="47" t="s">
        <v>119</v>
      </c>
      <c r="C63" s="7" t="s">
        <v>120</v>
      </c>
      <c r="D63" s="21">
        <v>100.0</v>
      </c>
      <c r="E63" s="22" t="s">
        <v>121</v>
      </c>
    </row>
    <row r="64" ht="14.25" customHeight="1">
      <c r="B64" s="23" t="s">
        <v>122</v>
      </c>
      <c r="C64" s="7" t="s">
        <v>123</v>
      </c>
      <c r="D64" s="53">
        <f>1/(2*3.14*D29*10000*D63*1E-12)</f>
        <v>796.1783439</v>
      </c>
      <c r="E64" s="22" t="s">
        <v>124</v>
      </c>
    </row>
    <row r="65" ht="14.25" customHeight="1">
      <c r="B65" s="47" t="s">
        <v>125</v>
      </c>
      <c r="C65" s="7" t="s">
        <v>126</v>
      </c>
      <c r="D65" s="21">
        <v>680.0</v>
      </c>
      <c r="E65" s="22" t="s">
        <v>124</v>
      </c>
    </row>
    <row r="66" ht="14.25" customHeight="1">
      <c r="B66" s="23"/>
      <c r="C66" s="7"/>
      <c r="D66" s="59"/>
      <c r="E66" s="22"/>
    </row>
    <row r="67" ht="14.25" customHeight="1">
      <c r="B67" s="23" t="s">
        <v>127</v>
      </c>
      <c r="C67" s="7" t="s">
        <v>128</v>
      </c>
      <c r="D67" s="60">
        <f>0.43/I67</f>
        <v>0.1171370534</v>
      </c>
      <c r="E67" s="22" t="s">
        <v>124</v>
      </c>
      <c r="F67" s="45" t="s">
        <v>129</v>
      </c>
      <c r="H67" s="2" t="s">
        <v>130</v>
      </c>
      <c r="I67" s="61">
        <f>(D26+D26*D15/100)/D72</f>
        <v>3.67091358</v>
      </c>
    </row>
    <row r="68" ht="14.25" customHeight="1">
      <c r="B68" s="62"/>
      <c r="C68" s="63"/>
      <c r="D68" s="64"/>
      <c r="E68" s="31"/>
    </row>
    <row r="69" ht="14.25" customHeight="1">
      <c r="B69" s="37"/>
      <c r="C69" s="33"/>
      <c r="D69" s="38"/>
      <c r="E69" s="39"/>
    </row>
    <row r="70" ht="14.25" customHeight="1">
      <c r="B70" s="37"/>
      <c r="C70" s="33"/>
      <c r="D70" s="38"/>
      <c r="E70" s="39"/>
    </row>
    <row r="71" ht="14.25" customHeight="1">
      <c r="B71" s="23" t="s">
        <v>131</v>
      </c>
      <c r="C71" s="7" t="s">
        <v>132</v>
      </c>
      <c r="D71" s="65">
        <f>(D22+0.2)/D13</f>
        <v>44.88888889</v>
      </c>
      <c r="E71" s="22"/>
      <c r="F71" s="45" t="s">
        <v>133</v>
      </c>
    </row>
    <row r="72" ht="14.25" customHeight="1">
      <c r="B72" s="23" t="s">
        <v>134</v>
      </c>
      <c r="C72" s="52" t="s">
        <v>135</v>
      </c>
      <c r="D72" s="48">
        <f>D10/D71</f>
        <v>1.002475248</v>
      </c>
      <c r="E72" s="22"/>
      <c r="F72" s="45" t="s">
        <v>136</v>
      </c>
    </row>
    <row r="73" ht="14.25" customHeight="1">
      <c r="B73" s="23"/>
      <c r="C73" s="7"/>
      <c r="D73" s="59"/>
      <c r="E73" s="22"/>
      <c r="H73" s="2" t="s">
        <v>137</v>
      </c>
      <c r="I73" s="2">
        <f>(D10-D22*D72)*100*D67/(D72^2*D37*D33)</f>
        <v>2.143375556</v>
      </c>
      <c r="J73" s="45" t="s">
        <v>138</v>
      </c>
    </row>
    <row r="74" ht="14.25" customHeight="1">
      <c r="B74" s="23"/>
      <c r="C74" s="7"/>
      <c r="D74" s="59"/>
      <c r="E74" s="22"/>
      <c r="H74" s="2" t="s">
        <v>3</v>
      </c>
    </row>
    <row r="75" ht="14.25" customHeight="1">
      <c r="B75" s="23" t="s">
        <v>139</v>
      </c>
      <c r="C75" s="7" t="s">
        <v>140</v>
      </c>
      <c r="D75" s="53">
        <f>9*D65*D29*0.001/(D13*I73*1000)</f>
        <v>1.269026323</v>
      </c>
      <c r="E75" s="22" t="s">
        <v>86</v>
      </c>
      <c r="F75" s="45" t="s">
        <v>141</v>
      </c>
      <c r="H75" s="45" t="s">
        <v>142</v>
      </c>
    </row>
    <row r="76" ht="14.25" customHeight="1">
      <c r="B76" s="37"/>
      <c r="C76" s="33"/>
      <c r="D76" s="33"/>
      <c r="E76" s="66"/>
      <c r="H76" s="45" t="s">
        <v>143</v>
      </c>
    </row>
    <row r="77" ht="14.25" customHeight="1">
      <c r="B77" s="37"/>
      <c r="C77" s="33"/>
      <c r="D77" s="33"/>
      <c r="E77" s="66"/>
      <c r="H77" s="45" t="s">
        <v>144</v>
      </c>
      <c r="I77" s="2">
        <f>(I75+I76)/0.1</f>
        <v>0</v>
      </c>
    </row>
    <row r="78" ht="14.25" customHeight="1">
      <c r="B78" s="47" t="s">
        <v>145</v>
      </c>
      <c r="C78" s="7" t="s">
        <v>146</v>
      </c>
      <c r="D78" s="67">
        <f>D10*D13/(D29*D19*0.001)</f>
        <v>2.025</v>
      </c>
      <c r="E78" s="22" t="s">
        <v>39</v>
      </c>
      <c r="F78" s="45" t="s">
        <v>147</v>
      </c>
    </row>
    <row r="79" ht="14.25" customHeight="1">
      <c r="B79" s="47" t="s">
        <v>148</v>
      </c>
      <c r="C79" s="7" t="s">
        <v>149</v>
      </c>
      <c r="D79" s="67">
        <f>D78+D40/D72</f>
        <v>5.186778516</v>
      </c>
      <c r="E79" s="22" t="s">
        <v>39</v>
      </c>
      <c r="F79" s="45" t="s">
        <v>150</v>
      </c>
      <c r="H79" s="45" t="s">
        <v>151</v>
      </c>
    </row>
    <row r="80" ht="14.25" customHeight="1">
      <c r="B80" s="49" t="s">
        <v>152</v>
      </c>
      <c r="C80" s="7" t="s">
        <v>153</v>
      </c>
      <c r="D80" s="67">
        <f>(D41/D72)+D78/2</f>
        <v>3.01999214</v>
      </c>
      <c r="E80" s="22" t="s">
        <v>39</v>
      </c>
      <c r="F80" s="45" t="s">
        <v>154</v>
      </c>
      <c r="H80" s="45" t="s">
        <v>155</v>
      </c>
    </row>
    <row r="81" ht="14.25" customHeight="1">
      <c r="A81" s="10"/>
      <c r="B81" s="47"/>
      <c r="C81" s="9"/>
      <c r="D81" s="68"/>
      <c r="E81" s="55"/>
      <c r="F81" s="10"/>
      <c r="G81" s="10"/>
      <c r="H81" s="69" t="s">
        <v>156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B82" s="47" t="s">
        <v>157</v>
      </c>
      <c r="C82" s="7" t="s">
        <v>158</v>
      </c>
      <c r="D82" s="70">
        <f>D12/(1-D14)</f>
        <v>85.16535433</v>
      </c>
      <c r="E82" s="22" t="s">
        <v>12</v>
      </c>
      <c r="F82" s="45" t="s">
        <v>159</v>
      </c>
      <c r="H82" s="45" t="s">
        <v>160</v>
      </c>
      <c r="I82" s="2">
        <f>(I80+I81+(I75+I76)*D29)*I80</f>
        <v>0</v>
      </c>
    </row>
    <row r="83" ht="14.25" customHeight="1">
      <c r="B83" s="37"/>
      <c r="C83" s="33"/>
      <c r="D83" s="33"/>
      <c r="E83" s="66"/>
      <c r="H83" s="45" t="s">
        <v>161</v>
      </c>
      <c r="I83" s="45">
        <f>2*I82*D30*0.001/(12.7^2-8^2)</f>
        <v>0</v>
      </c>
    </row>
    <row r="84" ht="14.25" customHeight="1">
      <c r="B84" s="37"/>
      <c r="C84" s="33"/>
      <c r="D84" s="33"/>
      <c r="E84" s="66"/>
    </row>
    <row r="85" ht="14.25" customHeight="1">
      <c r="B85" s="71" t="s">
        <v>162</v>
      </c>
      <c r="C85" s="72" t="s">
        <v>163</v>
      </c>
      <c r="D85" s="73">
        <f>1000000000*10*(1-D14)^2/((D19*0.000001)*(2*3.14159*D29*1000)^2)</f>
        <v>47.21628062</v>
      </c>
      <c r="E85" s="74" t="s">
        <v>105</v>
      </c>
      <c r="F85" s="45" t="s">
        <v>164</v>
      </c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7">
    <mergeCell ref="B1:E1"/>
    <mergeCell ref="B4:E4"/>
    <mergeCell ref="B5:E5"/>
    <mergeCell ref="B9:E9"/>
    <mergeCell ref="B20:E20"/>
    <mergeCell ref="B28:D28"/>
    <mergeCell ref="B36:E3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>
      <c r="L21" s="6" t="s">
        <v>165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>
      <c r="C33" s="6" t="s">
        <v>166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