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vcousin\Documents\Assignments\Assignment #1\"/>
    </mc:Choice>
  </mc:AlternateContent>
  <xr:revisionPtr revIDLastSave="0" documentId="13_ncr:1_{E2014E2D-763D-4066-9845-9139D9FB73F0}" xr6:coauthVersionLast="38" xr6:coauthVersionMax="38" xr10:uidLastSave="{00000000-0000-0000-0000-000000000000}"/>
  <bookViews>
    <workbookView xWindow="0" yWindow="0" windowWidth="19008" windowHeight="9060" xr2:uid="{00000000-000D-0000-FFFF-FFFF00000000}"/>
  </bookViews>
  <sheets>
    <sheet name="Data" sheetId="1" r:id="rId1"/>
    <sheet name="State by Category" sheetId="2" r:id="rId2"/>
    <sheet name="State by Subcategory" sheetId="3" r:id="rId3"/>
    <sheet name="State by Month" sheetId="4" r:id="rId4"/>
    <sheet name="State - Counts" sheetId="5" r:id="rId5"/>
  </sheets>
  <definedNames>
    <definedName name="_xlnm._FilterDatabase" localSheetId="0" hidden="1">Data!$A$1:$T$4115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H14" i="5" l="1"/>
  <c r="H13" i="5"/>
  <c r="H12" i="5"/>
  <c r="H11" i="5"/>
  <c r="H10" i="5"/>
  <c r="H9" i="5"/>
  <c r="H8" i="5"/>
  <c r="H7" i="5"/>
  <c r="H6" i="5"/>
  <c r="H5" i="5"/>
  <c r="H4" i="5"/>
  <c r="H3" i="5"/>
  <c r="G14" i="5"/>
  <c r="G13" i="5"/>
  <c r="G12" i="5"/>
  <c r="G11" i="5"/>
  <c r="G10" i="5"/>
  <c r="G9" i="5"/>
  <c r="G8" i="5"/>
  <c r="G7" i="5"/>
  <c r="G6" i="5"/>
  <c r="G5" i="5"/>
  <c r="G4" i="5"/>
  <c r="G3" i="5"/>
  <c r="F14" i="5"/>
  <c r="F13" i="5"/>
  <c r="F12" i="5"/>
  <c r="F11" i="5"/>
  <c r="F10" i="5"/>
  <c r="F9" i="5"/>
  <c r="F8" i="5"/>
  <c r="F7" i="5"/>
  <c r="F6" i="5"/>
  <c r="F5" i="5"/>
  <c r="F4" i="5"/>
  <c r="F3" i="5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C4" i="5"/>
  <c r="C3" i="5"/>
  <c r="B5" i="5"/>
  <c r="B13" i="5"/>
  <c r="B12" i="5"/>
  <c r="B11" i="5"/>
  <c r="B10" i="5"/>
  <c r="B9" i="5"/>
  <c r="B8" i="5"/>
  <c r="B7" i="5"/>
  <c r="B6" i="5"/>
  <c r="B4" i="5"/>
  <c r="B14" i="5"/>
  <c r="B3" i="5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<sst xmlns="http://schemas.openxmlformats.org/spreadsheetml/2006/main" count="24823" uniqueCount="8401">
  <si>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</si>
  <si>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</si>
  <si>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</si>
  <si>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</si>
  <si>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</si>
  <si>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</si>
  <si>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</si>
  <si>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</si>
  <si>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</si>
  <si>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</si>
  <si>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</si>
  <si>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</si>
  <si>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</si>
  <si>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</si>
  <si>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</si>
  <si>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</si>
  <si>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</si>
  <si>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</si>
  <si>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</si>
  <si>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</si>
  <si>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</si>
  <si>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</si>
  <si>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</si>
  <si>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</si>
  <si>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</si>
  <si>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</si>
  <si>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</si>
  <si>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</si>
  <si>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</si>
  <si>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</si>
  <si>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</si>
  <si>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</si>
  <si>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</si>
  <si>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</si>
  <si>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</si>
  <si>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</si>
  <si>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</si>
  <si>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</si>
  <si>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</si>
  <si>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</si>
  <si>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</si>
  <si>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</si>
  <si>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</si>
  <si>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</si>
  <si>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</si>
  <si>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</si>
  <si>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</si>
  <si>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</si>
  <si>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</si>
  <si>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</si>
  <si>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</si>
  <si>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</si>
  <si>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</si>
  <si>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</si>
  <si>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</si>
  <si>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</si>
  <si>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</si>
  <si>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</si>
  <si>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</si>
  <si>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</si>
  <si>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</si>
  <si>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</si>
  <si>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</si>
  <si>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</si>
  <si>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</si>
  <si>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</si>
  <si>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</si>
  <si>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</si>
  <si>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</si>
  <si>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</si>
  <si>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</si>
  <si>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</si>
  <si>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</si>
  <si>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</si>
  <si>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</si>
  <si>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</si>
  <si>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</si>
  <si>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</si>
  <si>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</si>
  <si>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</si>
  <si>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</si>
  <si>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</si>
  <si>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</si>
  <si>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</si>
  <si>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</si>
  <si>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</si>
  <si>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</si>
  <si>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</si>
  <si>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</si>
  <si>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</si>
  <si>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</si>
  <si>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</si>
  <si>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</si>
  <si>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</si>
  <si>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</si>
  <si>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</si>
  <si>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</si>
  <si>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</si>
  <si>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</si>
  <si>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</si>
  <si>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</si>
  <si>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</si>
  <si>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</si>
  <si>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</si>
  <si>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</si>
  <si>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</si>
  <si>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</si>
  <si>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</si>
  <si>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</si>
  <si>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</si>
  <si>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</si>
  <si>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</si>
  <si>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</si>
  <si>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</si>
  <si>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</si>
  <si>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</si>
  <si>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</si>
  <si>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</si>
  <si>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</si>
  <si>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</si>
  <si>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</si>
  <si>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</si>
  <si>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</si>
  <si>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</si>
  <si>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</si>
  <si>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</si>
  <si>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</si>
  <si>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</si>
  <si>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</si>
  <si>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</si>
  <si>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</si>
  <si>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</si>
  <si>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</si>
  <si>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</si>
  <si>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</si>
  <si>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</si>
  <si>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</si>
  <si>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</si>
  <si>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</si>
  <si>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</si>
  <si>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</si>
  <si>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</si>
  <si>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</si>
  <si>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</si>
  <si>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</si>
  <si>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</si>
  <si>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</si>
  <si>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</si>
  <si>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</si>
  <si>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</si>
  <si>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</si>
  <si>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</si>
  <si>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</si>
  <si>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</si>
  <si>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</si>
  <si>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</si>
  <si>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</si>
  <si>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</si>
  <si>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</si>
  <si>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</si>
  <si>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</si>
  <si>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</si>
  <si>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</si>
  <si>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</si>
  <si>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</si>
  <si>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</si>
  <si>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</si>
  <si>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</si>
  <si>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</si>
  <si>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</si>
  <si>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</si>
  <si>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</si>
  <si>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</si>
  <si>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</si>
  <si>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</si>
  <si>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</si>
  <si>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</si>
  <si>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</si>
  <si>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</si>
  <si>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</si>
  <si>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</si>
  <si>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</si>
  <si>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</si>
  <si>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</si>
  <si>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</si>
  <si>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</si>
  <si>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</si>
  <si>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</si>
  <si>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</si>
  <si>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</si>
  <si>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</si>
  <si>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</si>
  <si>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</si>
  <si>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</si>
  <si>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</si>
  <si>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</si>
  <si>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</si>
  <si>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</si>
  <si>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</si>
  <si>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</si>
  <si>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</si>
  <si>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</si>
  <si>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</si>
  <si>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</si>
  <si>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</si>
  <si>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</si>
  <si>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</si>
  <si>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</si>
  <si>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</si>
  <si>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</si>
  <si>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</si>
  <si>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</si>
  <si>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</si>
  <si>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</si>
  <si>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</si>
  <si>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</si>
  <si>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</si>
  <si>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</si>
  <si>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</si>
  <si>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</si>
  <si>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</si>
  <si>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</si>
  <si>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</si>
  <si>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</si>
  <si>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</si>
  <si>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</si>
  <si>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</si>
  <si>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</si>
  <si>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</si>
  <si>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</si>
  <si>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</si>
  <si>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</si>
  <si>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</si>
  <si>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</si>
  <si>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</si>
  <si>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</si>
  <si>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</si>
  <si>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</si>
  <si>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</si>
  <si>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</si>
  <si>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</si>
  <si>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</si>
  <si>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</si>
  <si>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</si>
  <si>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</si>
  <si>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</si>
  <si>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</si>
  <si>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</si>
  <si>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</si>
  <si>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</si>
  <si>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</si>
  <si>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</si>
  <si>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</si>
  <si>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</si>
  <si>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</si>
  <si>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</si>
  <si>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</si>
  <si>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</si>
  <si>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</si>
  <si>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</si>
  <si>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</si>
  <si>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</si>
  <si>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</si>
  <si>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</si>
  <si>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</si>
  <si>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</si>
  <si>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</si>
  <si>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</si>
  <si>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</si>
  <si>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</si>
  <si>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</si>
  <si>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</si>
  <si>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</si>
  <si>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</si>
  <si>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</si>
  <si>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</si>
  <si>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</si>
  <si>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</si>
  <si>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</si>
  <si>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</si>
  <si>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</si>
  <si>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</si>
  <si>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</si>
  <si>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</si>
  <si>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</si>
  <si>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</si>
  <si>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</si>
  <si>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</si>
  <si>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</si>
  <si>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</si>
  <si>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</si>
  <si>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</si>
  <si>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</si>
  <si>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</si>
  <si>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</si>
  <si>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</si>
  <si>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</si>
  <si>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</si>
  <si>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</si>
  <si>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</si>
  <si>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</si>
  <si>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</si>
  <si>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</si>
  <si>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</si>
  <si>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</si>
  <si>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</si>
  <si>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</si>
  <si>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</si>
  <si>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</si>
  <si>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</si>
  <si>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</si>
  <si>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</si>
  <si>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</si>
  <si>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</si>
  <si>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</si>
  <si>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</si>
  <si>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</si>
  <si>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</si>
  <si>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</si>
  <si>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</si>
  <si>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</si>
  <si>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</si>
  <si>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</si>
  <si>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</si>
  <si>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</si>
  <si>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</si>
  <si>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</si>
  <si>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</si>
  <si>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</si>
  <si>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</si>
  <si>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</si>
  <si>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</si>
  <si>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</si>
  <si>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</si>
  <si>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</si>
  <si>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</si>
  <si>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</si>
  <si>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</si>
  <si>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</si>
  <si>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</si>
  <si>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</si>
  <si>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</si>
  <si>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</si>
  <si>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</si>
  <si>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</si>
  <si>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</si>
  <si>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</si>
  <si>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</si>
  <si>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</si>
  <si>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</si>
  <si>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</si>
  <si>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</si>
  <si>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</si>
  <si>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</si>
  <si>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</si>
  <si>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</si>
  <si>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</si>
  <si>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</si>
  <si>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</si>
  <si>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</si>
  <si>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</si>
  <si>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</si>
  <si>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</si>
  <si>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</si>
  <si>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</si>
  <si>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</si>
  <si>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</si>
  <si>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</si>
  <si>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</si>
  <si>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</si>
  <si>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</si>
  <si>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</si>
  <si>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</si>
  <si>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</si>
  <si>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</si>
  <si>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</si>
  <si>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</si>
  <si>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</si>
  <si>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</si>
  <si>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</si>
  <si>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</si>
  <si>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</si>
  <si>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</si>
  <si>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</si>
  <si>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</si>
  <si>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</si>
  <si>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</si>
  <si>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</si>
  <si>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</si>
  <si>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</si>
  <si>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</si>
  <si>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</si>
  <si>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</si>
  <si>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</si>
  <si>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</si>
  <si>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</si>
  <si>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</si>
  <si>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</si>
  <si>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</si>
  <si>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</si>
  <si>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</si>
  <si>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</si>
  <si>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</si>
  <si>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</si>
  <si>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</si>
  <si>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</si>
  <si>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</si>
  <si>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</si>
  <si>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</si>
  <si>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</si>
  <si>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</si>
  <si>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</si>
  <si>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</si>
  <si>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</si>
  <si>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</si>
  <si>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</si>
  <si>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</si>
  <si>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</si>
  <si>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</si>
  <si>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</si>
  <si>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</si>
  <si>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</si>
  <si>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</si>
  <si>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</si>
  <si>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</si>
  <si>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</si>
  <si>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</si>
  <si>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</si>
  <si>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</si>
  <si>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</si>
  <si>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</si>
  <si>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</si>
  <si>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</si>
  <si>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</si>
  <si>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</si>
  <si>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</si>
  <si>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</si>
  <si>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</si>
  <si>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</si>
  <si>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</si>
  <si>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</si>
  <si>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</si>
  <si>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</si>
  <si>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</si>
  <si>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</si>
  <si>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</si>
  <si>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</si>
  <si>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</si>
  <si>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</si>
  <si>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</si>
  <si>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</si>
  <si>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</si>
  <si>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</si>
  <si>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</si>
  <si>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</si>
  <si>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</si>
  <si>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</si>
  <si>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</si>
  <si>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</si>
  <si>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</si>
  <si>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</si>
  <si>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</si>
  <si>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</si>
  <si>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</si>
  <si>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</si>
  <si>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</si>
  <si>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</si>
  <si>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</si>
  <si>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</si>
  <si>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</si>
  <si>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</si>
  <si>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</si>
  <si>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</si>
  <si>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</si>
  <si>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</si>
  <si>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</si>
  <si>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</si>
  <si>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</si>
  <si>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</si>
  <si>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</si>
  <si>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</si>
  <si>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</si>
  <si>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</si>
  <si>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</si>
  <si>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</si>
  <si>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</si>
  <si>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</si>
  <si>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</si>
  <si>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</si>
  <si>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</si>
  <si>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</si>
  <si>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</si>
  <si>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</si>
  <si>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</si>
  <si>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</si>
  <si>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</si>
  <si>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</si>
  <si>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</si>
  <si>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</si>
  <si>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</si>
  <si>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</si>
  <si>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</si>
  <si>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</si>
  <si>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</si>
  <si>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</si>
  <si>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</si>
  <si>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</si>
  <si>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</si>
  <si>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</si>
  <si>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</si>
  <si>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</si>
  <si>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</si>
  <si>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</si>
  <si>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</si>
  <si>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</si>
  <si>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</si>
  <si>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</si>
  <si>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</si>
  <si>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</si>
  <si>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</si>
  <si>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</si>
  <si>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</si>
  <si>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</si>
  <si>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</si>
  <si>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</si>
  <si>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</si>
  <si>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</si>
  <si>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</si>
  <si>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</si>
  <si>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</si>
  <si>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</si>
  <si>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</si>
  <si>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</si>
  <si>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</si>
  <si>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</si>
  <si>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</si>
  <si>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</si>
  <si>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</si>
  <si>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</si>
  <si>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</si>
  <si>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</si>
  <si>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</si>
  <si>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</si>
  <si>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</si>
  <si>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</si>
  <si>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</si>
  <si>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</si>
  <si>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</si>
  <si>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</si>
  <si>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</si>
  <si>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</si>
  <si>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</si>
  <si>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</si>
  <si>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</si>
  <si>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</si>
  <si>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</si>
  <si>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</si>
  <si>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</si>
  <si>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</si>
  <si>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</si>
  <si>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</si>
  <si>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</si>
  <si>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</si>
  <si>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</si>
  <si>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</si>
  <si>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</si>
  <si>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</si>
  <si>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</si>
  <si>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</si>
  <si>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</si>
  <si>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</si>
  <si>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</si>
  <si>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</si>
  <si>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</si>
  <si>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</si>
  <si>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</si>
  <si>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</si>
  <si>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</si>
  <si>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</si>
  <si>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</si>
  <si>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</si>
  <si>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</si>
  <si>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</si>
  <si>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</si>
  <si>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</si>
  <si>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</si>
  <si>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</si>
  <si>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</si>
  <si>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</si>
  <si>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</si>
  <si>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</si>
  <si>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</si>
  <si>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</si>
  <si>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</si>
  <si>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</si>
  <si>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</si>
  <si>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</si>
  <si>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</si>
  <si>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</si>
  <si>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</si>
  <si>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</si>
  <si>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</si>
  <si>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</si>
  <si>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</si>
  <si>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</si>
  <si>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</si>
  <si>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</si>
  <si>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</si>
  <si>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</si>
  <si>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</si>
  <si>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</si>
  <si>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</si>
  <si>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</si>
  <si>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</si>
  <si>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</si>
  <si>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</si>
  <si>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</si>
  <si>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</si>
  <si>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</si>
  <si>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</si>
  <si>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</si>
  <si>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</si>
  <si>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</si>
  <si>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</si>
  <si>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</si>
  <si>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</si>
  <si>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</si>
  <si>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</si>
  <si>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</si>
  <si>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</si>
  <si>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</si>
  <si>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</si>
  <si>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</si>
  <si>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</si>
  <si>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</si>
  <si>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</si>
  <si>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</si>
  <si>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</si>
  <si>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</si>
  <si>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</si>
  <si>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</si>
  <si>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</si>
  <si>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</si>
  <si>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</si>
  <si>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</si>
  <si>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</si>
  <si>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</si>
  <si>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</si>
  <si>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</si>
  <si>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</si>
  <si>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</si>
  <si>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</si>
  <si>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</si>
  <si>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</si>
  <si>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</si>
  <si>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</si>
  <si>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</si>
  <si>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</si>
  <si>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</si>
  <si>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</si>
  <si>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</si>
  <si>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</si>
  <si>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</si>
  <si>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</si>
  <si>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</si>
  <si>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</si>
  <si>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</si>
  <si>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</si>
  <si>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</si>
  <si>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</si>
  <si>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</si>
  <si>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</si>
  <si>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</si>
  <si>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</si>
  <si>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</si>
  <si>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</si>
  <si>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</si>
  <si>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</si>
  <si>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</si>
  <si>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</si>
  <si>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</si>
  <si>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</si>
  <si>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</si>
  <si>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</si>
  <si>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</si>
  <si>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</si>
  <si>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</si>
  <si>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</si>
  <si>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</si>
  <si>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</si>
  <si>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</si>
  <si>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</si>
  <si>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</si>
  <si>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</si>
  <si>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</si>
  <si>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</si>
  <si>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</si>
  <si>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</si>
  <si>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</si>
  <si>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</si>
  <si>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</si>
  <si>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</si>
  <si>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</si>
  <si>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</si>
  <si>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</si>
  <si>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</si>
  <si>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</si>
  <si>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</si>
  <si>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</si>
  <si>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</si>
  <si>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</si>
  <si>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</si>
  <si>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</si>
  <si>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</si>
  <si>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</si>
  <si>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</si>
  <si>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</si>
  <si>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</si>
  <si>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</si>
  <si>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</si>
  <si>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</si>
  <si>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</si>
  <si>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</si>
  <si>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</si>
  <si>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</si>
  <si>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</si>
  <si>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</si>
  <si>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</si>
  <si>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</si>
  <si>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</si>
  <si>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</si>
  <si>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</si>
  <si>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</si>
  <si>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</si>
  <si>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</si>
  <si>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</si>
  <si>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</si>
  <si>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</si>
  <si>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</si>
  <si>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</si>
  <si>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</si>
  <si>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</si>
  <si>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</si>
  <si>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</si>
  <si>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</si>
  <si>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</si>
  <si>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</si>
  <si>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</si>
  <si>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</si>
  <si>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</si>
  <si>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</si>
  <si>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</si>
  <si>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</si>
  <si>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</si>
  <si>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</si>
  <si>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</si>
  <si>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</si>
  <si>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</si>
  <si>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</si>
  <si>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</si>
  <si>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</si>
  <si>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</si>
  <si>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</si>
  <si>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</si>
  <si>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</si>
  <si>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</si>
  <si>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</si>
  <si>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</si>
  <si>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</si>
  <si>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</si>
  <si>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</si>
  <si>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</si>
  <si>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</si>
  <si>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</si>
  <si>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</si>
  <si>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</si>
  <si>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</si>
  <si>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</si>
  <si>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</si>
  <si>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</si>
  <si>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</si>
  <si>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</si>
  <si>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</si>
  <si>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</si>
  <si>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</si>
  <si>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</si>
  <si>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</si>
  <si>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</si>
  <si>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</si>
  <si>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</si>
  <si>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</si>
  <si>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</si>
  <si>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</si>
  <si>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</si>
  <si>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</si>
  <si>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</si>
  <si>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</si>
  <si>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</si>
  <si>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</si>
  <si>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</si>
  <si>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</si>
  <si>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</si>
  <si>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</si>
  <si>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</si>
  <si>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</si>
  <si>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</si>
  <si>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</si>
  <si>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</si>
  <si>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</si>
  <si>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</si>
  <si>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</si>
  <si>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</si>
  <si>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</si>
  <si>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</si>
  <si>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</si>
  <si>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</si>
  <si>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</si>
  <si>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</si>
  <si>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</si>
  <si>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</si>
  <si>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</si>
  <si>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</si>
  <si>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</si>
  <si>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</si>
  <si>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</si>
  <si>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</si>
  <si>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</si>
  <si>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</si>
  <si>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</si>
  <si>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</si>
  <si>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</si>
  <si>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</si>
  <si>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</si>
  <si>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</si>
  <si>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</si>
  <si>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</si>
  <si>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</si>
  <si>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</si>
  <si>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</si>
  <si>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</si>
  <si>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</si>
  <si>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</si>
  <si>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</si>
  <si>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</si>
  <si>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</si>
  <si>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</si>
  <si>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</si>
  <si>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</si>
  <si>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</si>
  <si>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</si>
  <si>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</si>
  <si>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</si>
  <si>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</si>
  <si>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</si>
  <si>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</si>
  <si>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</si>
  <si>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</si>
  <si>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</si>
  <si>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</si>
  <si>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</si>
  <si>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</si>
  <si>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</si>
  <si>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</si>
  <si>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</si>
  <si>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</si>
  <si>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</si>
  <si>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</si>
  <si>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</si>
  <si>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</si>
  <si>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</si>
  <si>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</si>
  <si>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</si>
  <si>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</si>
  <si>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</si>
  <si>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</si>
  <si>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</si>
  <si>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</si>
  <si>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</si>
  <si>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</si>
  <si>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</si>
  <si>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</si>
  <si>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</si>
  <si>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</si>
  <si>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</si>
  <si>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</si>
  <si>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</si>
  <si>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</si>
  <si>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</si>
  <si>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</si>
  <si>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</si>
  <si>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</si>
  <si>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</si>
  <si>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</si>
  <si>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</si>
  <si>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</si>
  <si>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</si>
  <si>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</si>
  <si>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</si>
  <si>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</si>
  <si>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</si>
  <si>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</si>
  <si>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</si>
  <si>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</si>
  <si>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</si>
  <si>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</si>
  <si>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</si>
  <si>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</si>
  <si>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</si>
  <si>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</si>
  <si>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</si>
  <si>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</si>
  <si>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</si>
  <si>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</si>
  <si>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</si>
  <si>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</si>
  <si>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</si>
  <si>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</si>
  <si>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</si>
  <si>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</si>
  <si>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</si>
  <si>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</si>
  <si>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</si>
  <si>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</si>
  <si>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</si>
  <si>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</si>
  <si>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</si>
  <si>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</si>
  <si>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</si>
  <si>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</si>
  <si>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</si>
  <si>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</si>
  <si>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</si>
  <si>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</si>
  <si>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</si>
  <si>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</si>
  <si>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</si>
  <si>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</si>
  <si>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</si>
  <si>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</si>
  <si>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</si>
  <si>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</si>
  <si>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</si>
  <si>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</si>
  <si>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</si>
  <si>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</si>
  <si>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</si>
  <si>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</si>
  <si>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</si>
  <si>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</si>
  <si>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</si>
  <si>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</si>
  <si>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</si>
  <si>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</si>
  <si>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</si>
  <si>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</si>
  <si>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</si>
  <si>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</si>
  <si>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</si>
  <si>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</si>
  <si>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</si>
  <si>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</si>
  <si>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</si>
  <si>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</si>
  <si>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</si>
  <si>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</si>
  <si>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</si>
  <si>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</si>
  <si>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</si>
  <si>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</si>
  <si>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</si>
  <si>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</si>
  <si>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</si>
  <si>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</si>
  <si>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</si>
  <si>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</si>
  <si>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</si>
  <si>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</si>
  <si>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</si>
  <si>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</si>
  <si>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</si>
  <si>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</si>
  <si>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</si>
  <si>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</si>
  <si>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</si>
  <si>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</si>
  <si>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</si>
  <si>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</si>
  <si>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</si>
  <si>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</si>
  <si>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</si>
  <si>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</si>
  <si>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</si>
  <si>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</si>
  <si>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</si>
  <si>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</si>
  <si>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</si>
  <si>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</si>
  <si>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</si>
  <si>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</si>
  <si>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</si>
  <si>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</si>
  <si>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</si>
  <si>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</si>
  <si>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</si>
  <si>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</si>
  <si>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</si>
  <si>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</si>
  <si>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</si>
  <si>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</si>
  <si>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</si>
  <si>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</si>
  <si>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</si>
  <si>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</si>
  <si>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</si>
  <si>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</si>
  <si>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</si>
  <si>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</si>
  <si>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</si>
  <si>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</si>
  <si>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</si>
  <si>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</si>
  <si>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</si>
  <si>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</si>
  <si>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</si>
  <si>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</si>
  <si>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</si>
  <si>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</si>
  <si>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</si>
  <si>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</si>
  <si>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</si>
  <si>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</si>
  <si>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</si>
  <si>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</si>
  <si>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</si>
  <si>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</si>
  <si>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</si>
  <si>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</si>
  <si>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</si>
  <si>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</si>
  <si>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</si>
  <si>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</si>
  <si>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</si>
  <si>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</si>
  <si>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</si>
  <si>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</si>
  <si>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</si>
  <si>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</si>
  <si>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</si>
  <si>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</si>
  <si>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</si>
  <si>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</si>
  <si>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</si>
  <si>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</si>
  <si>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</si>
  <si>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</si>
  <si>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</si>
  <si>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</si>
  <si>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</si>
  <si>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</si>
  <si>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</si>
  <si>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</si>
  <si>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</si>
  <si>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</si>
  <si>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</si>
  <si>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</si>
  <si>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</si>
  <si>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</si>
  <si>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</si>
  <si>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</si>
  <si>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</si>
  <si>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</si>
  <si>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</si>
  <si>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</si>
  <si>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</si>
  <si>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</si>
  <si>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</si>
  <si>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</si>
  <si>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</si>
  <si>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</si>
  <si>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</si>
  <si>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</si>
  <si>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</si>
  <si>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</si>
  <si>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</si>
  <si>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</si>
  <si>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</si>
  <si>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</si>
  <si>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</si>
  <si>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</si>
  <si>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</si>
  <si>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</si>
  <si>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</si>
  <si>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</si>
  <si>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</si>
  <si>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</si>
  <si>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</si>
  <si>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</si>
  <si>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</si>
  <si>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</si>
  <si>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</si>
  <si>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</si>
  <si>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</si>
  <si>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</si>
  <si>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</si>
  <si>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</si>
  <si>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</si>
  <si>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</si>
  <si>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</si>
  <si>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</si>
  <si>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</si>
  <si>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</si>
  <si>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</si>
  <si>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</si>
  <si>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</si>
  <si>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</si>
  <si>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</si>
  <si>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</si>
  <si>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</si>
  <si>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</si>
  <si>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</si>
  <si>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</si>
  <si>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</si>
  <si>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</si>
  <si>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</si>
  <si>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</si>
  <si>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</si>
  <si>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</si>
  <si>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</si>
  <si>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</si>
  <si>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</si>
  <si>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</si>
  <si>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</si>
  <si>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</si>
  <si>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</si>
  <si>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</si>
  <si>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</si>
  <si>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</si>
  <si>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</si>
  <si>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</si>
  <si>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</si>
  <si>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</si>
  <si>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</si>
  <si>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</si>
  <si>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</si>
  <si>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</si>
  <si>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</si>
  <si>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</si>
  <si>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</si>
  <si>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</si>
  <si>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</si>
  <si>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</si>
  <si>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</si>
  <si>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</si>
  <si>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</si>
  <si>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</si>
  <si>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</si>
  <si>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</si>
  <si>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</si>
  <si>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</si>
  <si>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</si>
  <si>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</si>
  <si>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</si>
  <si>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</si>
  <si>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</si>
  <si>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</si>
  <si>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</si>
  <si>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</si>
  <si>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</si>
  <si>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</si>
  <si>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</si>
  <si>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</si>
  <si>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</si>
  <si>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</si>
  <si>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</si>
  <si>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</si>
  <si>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</si>
  <si>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</si>
  <si>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</si>
  <si>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</si>
  <si>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</si>
  <si>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</si>
  <si>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</si>
  <si>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</si>
  <si>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</si>
  <si>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</si>
  <si>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</si>
  <si>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</si>
  <si>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</si>
  <si>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</si>
  <si>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</si>
  <si>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</si>
  <si>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</si>
  <si>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</si>
  <si>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</si>
  <si>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</si>
  <si>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</si>
  <si>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</si>
  <si>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</si>
  <si>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</si>
  <si>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</si>
  <si>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</si>
  <si>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</si>
  <si>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</si>
  <si>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</si>
  <si>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</si>
  <si>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</si>
  <si>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</si>
  <si>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</si>
  <si>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</si>
  <si>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</si>
  <si>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</si>
  <si>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</si>
  <si>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</si>
  <si>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</si>
  <si>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</si>
  <si>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</si>
  <si>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</si>
  <si>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</si>
  <si>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</si>
  <si>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</si>
  <si>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</si>
  <si>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</si>
  <si>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</si>
  <si>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</si>
  <si>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</si>
  <si>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</si>
  <si>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</si>
  <si>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</si>
  <si>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</si>
  <si>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</si>
  <si>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</si>
  <si>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</si>
  <si>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</si>
  <si>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</si>
  <si>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</si>
  <si>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</si>
  <si>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</si>
  <si>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</si>
  <si>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</si>
  <si>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</si>
  <si>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</si>
  <si>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</si>
  <si>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</si>
  <si>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</si>
  <si>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</si>
  <si>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</si>
  <si>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</si>
  <si>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</si>
  <si>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</si>
  <si>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</si>
  <si>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</si>
  <si>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</si>
  <si>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</si>
  <si>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</si>
  <si>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</si>
  <si>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</si>
  <si>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</si>
  <si>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</si>
  <si>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</si>
  <si>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</si>
  <si>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</si>
  <si>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</si>
  <si>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</si>
  <si>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</si>
  <si>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</si>
  <si>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</si>
  <si>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</si>
  <si>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</si>
  <si>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</si>
  <si>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</si>
  <si>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</si>
  <si>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</si>
  <si>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</si>
  <si>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</si>
  <si>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</si>
  <si>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</si>
  <si>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</si>
  <si>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</si>
  <si>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</si>
  <si>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</si>
  <si>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</si>
  <si>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</si>
  <si>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</si>
  <si>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</si>
  <si>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</si>
  <si>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</si>
  <si>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</si>
  <si>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</si>
  <si>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</si>
  <si>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</si>
  <si>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</si>
  <si>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</si>
  <si>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</si>
  <si>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</si>
  <si>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</si>
  <si>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</si>
  <si>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</si>
  <si>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</si>
  <si>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</si>
  <si>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</si>
  <si>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</si>
  <si>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</si>
  <si>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</si>
  <si>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</si>
  <si>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</si>
  <si>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</si>
  <si>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</si>
  <si>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</si>
  <si>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</si>
  <si>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</si>
  <si>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</si>
  <si>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</si>
  <si>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</si>
  <si>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</si>
  <si>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</si>
  <si>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</si>
  <si>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</si>
  <si>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</si>
  <si>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</si>
  <si>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</si>
  <si>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</si>
  <si>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</si>
  <si>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</si>
  <si>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</si>
  <si>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</si>
  <si>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</si>
  <si>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</si>
  <si>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</si>
  <si>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</si>
  <si>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</si>
  <si>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</si>
  <si>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</si>
  <si>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</si>
  <si>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</si>
  <si>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</si>
  <si>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</si>
  <si>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</si>
  <si>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</si>
  <si>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</si>
  <si>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</si>
  <si>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</si>
  <si>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</si>
  <si>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</si>
  <si>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</si>
  <si>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</si>
  <si>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</si>
  <si>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</si>
  <si>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</si>
  <si>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</si>
  <si>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</si>
  <si>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</si>
  <si>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</si>
  <si>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</si>
  <si>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</si>
  <si>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</si>
  <si>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</si>
  <si>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</si>
  <si>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</si>
  <si>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</si>
  <si>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</si>
  <si>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</si>
  <si>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</si>
  <si>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</si>
  <si>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</si>
  <si>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</si>
  <si>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</si>
  <si>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</si>
  <si>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</si>
  <si>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</si>
  <si>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</si>
  <si>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</si>
  <si>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</si>
  <si>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</si>
  <si>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</si>
  <si>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</si>
  <si>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</si>
  <si>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</si>
  <si>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</si>
  <si>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</si>
  <si>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</si>
  <si>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</si>
  <si>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</si>
  <si>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</si>
  <si>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</si>
  <si>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</si>
  <si>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</si>
  <si>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</si>
  <si>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</si>
  <si>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</si>
  <si>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</si>
  <si>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</si>
  <si>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</si>
  <si>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</si>
  <si>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</si>
  <si>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</si>
  <si>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</si>
  <si>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</si>
  <si>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</si>
  <si>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</si>
  <si>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</si>
  <si>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</si>
  <si>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</si>
  <si>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</si>
  <si>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</si>
  <si>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</si>
  <si>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</si>
  <si>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</si>
  <si>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</si>
  <si>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</si>
  <si>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</si>
  <si>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</si>
  <si>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</si>
  <si>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</si>
  <si>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</si>
  <si>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</si>
  <si>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</si>
  <si>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</si>
  <si>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</si>
  <si>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</si>
  <si>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</si>
  <si>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</si>
  <si>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</si>
  <si>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</si>
  <si>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</si>
  <si>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</si>
  <si>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</si>
  <si>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</si>
  <si>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</si>
  <si>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</si>
  <si>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</si>
  <si>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</si>
  <si>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</si>
  <si>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</si>
  <si>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</si>
  <si>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</si>
  <si>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</si>
  <si>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</si>
  <si>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</si>
  <si>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</si>
  <si>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</si>
  <si>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</si>
  <si>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</si>
  <si>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</si>
  <si>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</si>
  <si>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</si>
  <si>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</si>
  <si>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</si>
  <si>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</si>
  <si>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</si>
  <si>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</si>
  <si>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</si>
  <si>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</si>
  <si>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</si>
  <si>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</si>
  <si>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</si>
  <si>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</si>
  <si>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</si>
  <si>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</si>
  <si>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</si>
  <si>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</si>
  <si>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</si>
  <si>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</si>
  <si>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</si>
  <si>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</si>
  <si>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</si>
  <si>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</si>
  <si>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</si>
  <si>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</si>
  <si>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</si>
  <si>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</si>
  <si>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</si>
  <si>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</si>
  <si>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</si>
  <si>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</si>
  <si>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</si>
  <si>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</si>
  <si>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</si>
  <si>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</si>
  <si>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</si>
  <si>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</si>
  <si>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</si>
  <si>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</si>
  <si>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</si>
  <si>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</si>
  <si>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</si>
  <si>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</si>
  <si>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</si>
  <si>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</si>
  <si>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</si>
  <si>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</si>
  <si>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</si>
  <si>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</si>
  <si>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</si>
  <si>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</si>
  <si>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</si>
  <si>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</si>
  <si>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</si>
  <si>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</si>
  <si>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</si>
  <si>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</si>
  <si>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</si>
  <si>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</si>
  <si>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</si>
  <si>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</si>
  <si>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</si>
  <si>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</si>
  <si>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</si>
  <si>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</si>
  <si>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</si>
  <si>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</si>
  <si>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</si>
  <si>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</si>
  <si>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</si>
  <si>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</si>
  <si>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</si>
  <si>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</si>
  <si>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</si>
  <si>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</si>
  <si>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</si>
  <si>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</si>
  <si>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</si>
  <si>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</si>
  <si>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</si>
  <si>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</si>
  <si>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</si>
  <si>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</si>
  <si>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</si>
  <si>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</si>
  <si>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</si>
  <si>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</si>
  <si>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</si>
  <si>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</si>
  <si>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</si>
  <si>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</si>
  <si>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</si>
  <si>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</si>
  <si>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</si>
  <si>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</si>
  <si>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</si>
  <si>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</si>
  <si>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</si>
  <si>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</si>
  <si>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</si>
  <si>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</si>
  <si>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</si>
  <si>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</si>
  <si>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</si>
  <si>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</si>
  <si>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</si>
  <si>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</si>
  <si>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</si>
  <si>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</si>
  <si>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</si>
  <si>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</si>
  <si>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</si>
  <si>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</si>
  <si>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</si>
  <si>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</si>
  <si>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</si>
  <si>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</si>
  <si>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</si>
  <si>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</si>
  <si>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</si>
  <si>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</si>
  <si>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</si>
  <si>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</si>
  <si>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</si>
  <si>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</si>
  <si>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</si>
  <si>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</si>
  <si>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</si>
  <si>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</si>
  <si>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</si>
  <si>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</si>
  <si>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</si>
  <si>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</si>
  <si>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</si>
  <si>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</si>
  <si>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</si>
  <si>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</si>
  <si>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</si>
  <si>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</si>
  <si>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</si>
  <si>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</si>
  <si>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</si>
  <si>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</si>
  <si>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</si>
  <si>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</si>
  <si>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</si>
  <si>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</si>
  <si>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</si>
  <si>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</si>
  <si>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</si>
  <si>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</si>
  <si>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</si>
  <si>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</si>
  <si>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</si>
  <si>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</si>
  <si>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</si>
  <si>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</si>
  <si>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</si>
  <si>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</si>
  <si>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</si>
  <si>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</si>
  <si>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</si>
  <si>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</si>
  <si>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</si>
  <si>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</si>
  <si>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</si>
  <si>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</si>
  <si>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</si>
  <si>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</si>
  <si>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</si>
  <si>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</si>
  <si>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</si>
  <si>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</si>
  <si>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</si>
  <si>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</si>
  <si>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</si>
  <si>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</si>
  <si>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</si>
  <si>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</si>
  <si>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</si>
  <si>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</si>
  <si>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</si>
  <si>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</si>
  <si>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</si>
  <si>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</si>
  <si>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</si>
  <si>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</si>
  <si>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</si>
  <si>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</si>
  <si>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</si>
  <si>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</si>
  <si>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</si>
  <si>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</si>
  <si>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</si>
  <si>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</si>
  <si>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</si>
  <si>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</si>
  <si>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</si>
  <si>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</si>
  <si>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</si>
  <si>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</si>
  <si>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</si>
  <si>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</si>
  <si>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</si>
  <si>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</si>
  <si>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</si>
  <si>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</si>
  <si>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</si>
  <si>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</si>
  <si>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</si>
  <si>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</si>
  <si>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</si>
  <si>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</si>
  <si>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</si>
  <si>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</si>
  <si>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</si>
  <si>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</si>
  <si>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</si>
  <si>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</si>
  <si>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</si>
  <si>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</si>
  <si>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</si>
  <si>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</si>
  <si>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</si>
  <si>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</si>
  <si>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</si>
  <si>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</si>
  <si>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</si>
  <si>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</si>
  <si>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</si>
  <si>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</si>
  <si>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</si>
  <si>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</si>
  <si>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</si>
  <si>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</si>
  <si>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</si>
  <si>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</si>
  <si>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</si>
  <si>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</si>
  <si>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</si>
  <si>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</si>
  <si>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</si>
  <si>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</si>
  <si>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</si>
  <si>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</si>
  <si>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</si>
  <si>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</si>
  <si>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</si>
  <si>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</si>
  <si>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</si>
  <si>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</si>
  <si>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</si>
  <si>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</si>
  <si>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</si>
  <si>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</si>
  <si>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</si>
  <si>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</si>
  <si>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</si>
  <si>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</si>
  <si>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</si>
  <si>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</si>
  <si>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</si>
  <si>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</si>
  <si>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</si>
  <si>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</si>
  <si>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</si>
  <si>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</si>
  <si>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</si>
  <si>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</si>
  <si>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</si>
  <si>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</si>
  <si>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</si>
  <si>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</si>
  <si>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</si>
  <si>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</si>
  <si>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</si>
  <si>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</si>
  <si>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</si>
  <si>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</si>
  <si>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</si>
  <si>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</si>
  <si>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</si>
  <si>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</si>
  <si>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</si>
  <si>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</si>
  <si>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</si>
  <si>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</si>
  <si>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</si>
  <si>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</si>
  <si>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</si>
  <si>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</si>
  <si>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</si>
  <si>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</si>
  <si>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</si>
  <si>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</si>
  <si>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</si>
  <si>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</si>
  <si>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</si>
  <si>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</si>
  <si>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</si>
  <si>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</si>
  <si>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</si>
  <si>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</si>
  <si>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</si>
  <si>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</si>
  <si>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</si>
  <si>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</si>
  <si>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</si>
  <si>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</si>
  <si>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</si>
  <si>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</si>
  <si>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</si>
  <si>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</si>
  <si>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</si>
  <si>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</si>
  <si>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</si>
  <si>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</si>
  <si>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</si>
  <si>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</si>
  <si>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</si>
  <si>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</si>
  <si>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</si>
  <si>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</si>
  <si>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</si>
  <si>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</si>
  <si>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</si>
  <si>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</si>
  <si>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</si>
  <si>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</si>
  <si>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</si>
  <si>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</si>
  <si>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</si>
  <si>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</si>
  <si>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</si>
  <si>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</si>
  <si>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</si>
  <si>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</si>
  <si>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</si>
  <si>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</si>
  <si>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</si>
  <si>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</si>
  <si>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</si>
  <si>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</si>
  <si>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</si>
  <si>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</si>
  <si>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</si>
  <si>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</si>
  <si>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</si>
  <si>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</si>
  <si>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</si>
  <si>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</si>
  <si>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</si>
  <si>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</si>
  <si>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</si>
  <si>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</si>
  <si>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</si>
  <si>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</si>
  <si>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</si>
  <si>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</si>
  <si>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</si>
  <si>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</si>
  <si>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</si>
  <si>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</si>
  <si>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</si>
  <si>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</si>
  <si>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</si>
  <si>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</si>
  <si>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</si>
  <si>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</si>
  <si>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</si>
  <si>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</si>
  <si>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</si>
  <si>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</si>
  <si>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</si>
  <si>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</si>
  <si>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</si>
  <si>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</si>
  <si>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</si>
  <si>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</si>
  <si>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</si>
  <si>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</si>
  <si>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</si>
  <si>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</si>
  <si>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</si>
  <si>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</si>
  <si>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</si>
  <si>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</si>
  <si>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</si>
  <si>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</si>
  <si>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</si>
  <si>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</si>
  <si>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</si>
  <si>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</si>
  <si>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</si>
  <si>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</si>
  <si>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</si>
  <si>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</si>
  <si>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</si>
  <si>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</si>
  <si>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</si>
  <si>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</si>
  <si>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</si>
  <si>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</si>
  <si>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</si>
  <si>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</si>
  <si>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</si>
  <si>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</si>
  <si>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</si>
  <si>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</si>
  <si>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</si>
  <si>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</si>
  <si>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</si>
  <si>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</si>
  <si>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</si>
  <si>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</si>
  <si>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</si>
  <si>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</si>
  <si>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</si>
  <si>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</si>
  <si>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</si>
  <si>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</si>
  <si>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</si>
  <si>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</si>
  <si>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</si>
  <si>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</si>
  <si>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</si>
  <si>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</si>
  <si>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</si>
  <si>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</si>
  <si>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</si>
  <si>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</si>
  <si>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</si>
  <si>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</si>
  <si>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</si>
  <si>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</si>
  <si>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</si>
  <si>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</si>
  <si>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</si>
  <si>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</si>
  <si>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</si>
  <si>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</si>
  <si>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</si>
  <si>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</si>
  <si>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</si>
  <si>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</si>
  <si>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</si>
  <si>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</si>
  <si>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</si>
  <si>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</si>
  <si>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</si>
  <si>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</si>
  <si>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</si>
  <si>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</si>
  <si>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</si>
  <si>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</si>
  <si>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</si>
  <si>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</si>
  <si>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</si>
  <si>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</si>
  <si>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</si>
  <si>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</si>
  <si>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</si>
  <si>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</si>
  <si>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</si>
  <si>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</si>
  <si>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</si>
  <si>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</si>
  <si>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</si>
  <si>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</si>
  <si>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</si>
  <si>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</si>
  <si>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</si>
  <si>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</si>
  <si>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</si>
  <si>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</si>
  <si>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</si>
  <si>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</si>
  <si>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</si>
  <si>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</si>
  <si>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</si>
  <si>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</si>
  <si>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</si>
  <si>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</si>
  <si>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</si>
  <si>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</si>
  <si>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</si>
  <si>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</si>
  <si>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</si>
  <si>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</si>
  <si>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</si>
  <si>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</si>
  <si>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</si>
  <si>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</si>
  <si>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</si>
  <si>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</si>
  <si>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</si>
  <si>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</si>
  <si>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</si>
  <si>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</si>
  <si>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</si>
  <si>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</si>
  <si>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</si>
  <si>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</si>
  <si>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</si>
  <si>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</si>
  <si>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</si>
  <si>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</si>
  <si>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</si>
  <si>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</si>
  <si>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</si>
  <si>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</si>
  <si>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</si>
  <si>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</si>
  <si>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</si>
  <si>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</si>
  <si>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</si>
  <si>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</si>
  <si>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</si>
  <si>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</si>
  <si>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</si>
  <si>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</si>
  <si>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</si>
  <si>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</si>
  <si>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</si>
  <si>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</si>
  <si>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</si>
  <si>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</si>
  <si>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</si>
  <si>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</si>
  <si>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</si>
  <si>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</si>
  <si>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</si>
  <si>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</si>
  <si>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</si>
  <si>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</si>
  <si>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</si>
  <si>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</si>
  <si>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</si>
  <si>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</si>
  <si>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</si>
  <si>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</si>
  <si>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</si>
  <si>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</si>
  <si>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</si>
  <si>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</si>
  <si>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</si>
  <si>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</si>
  <si>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</si>
  <si>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</si>
  <si>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</si>
  <si>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</si>
  <si>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</si>
  <si>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</si>
  <si>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</si>
  <si>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</si>
  <si>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</si>
  <si>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</si>
  <si>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</si>
  <si>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</si>
  <si>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</si>
  <si>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</si>
  <si>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</si>
  <si>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</si>
  <si>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</si>
  <si>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</si>
  <si>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</si>
  <si>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</si>
  <si>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</si>
  <si>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</si>
  <si>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</si>
  <si>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</si>
  <si>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</si>
  <si>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</si>
  <si>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</si>
  <si>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</si>
  <si>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</si>
  <si>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</si>
  <si>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</si>
  <si>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</si>
  <si>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</si>
  <si>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</si>
  <si>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</si>
  <si>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</si>
  <si>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</si>
  <si>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</si>
  <si>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</si>
  <si>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</si>
  <si>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</si>
  <si>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</si>
  <si>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</si>
  <si>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</si>
  <si>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</si>
  <si>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</si>
  <si>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</si>
  <si>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</si>
  <si>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</si>
  <si>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</si>
  <si>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</si>
  <si>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</si>
  <si>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</si>
  <si>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</si>
  <si>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</si>
  <si>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</si>
  <si>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</si>
  <si>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</si>
  <si>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</si>
  <si>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</si>
  <si>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</si>
  <si>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</si>
  <si>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</si>
  <si>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</si>
  <si>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</si>
  <si>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</si>
  <si>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</si>
  <si>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</si>
  <si>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</si>
  <si>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</si>
  <si>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</si>
  <si>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</si>
  <si>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</si>
  <si>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</si>
  <si>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</si>
  <si>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</si>
  <si>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</si>
  <si>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</si>
  <si>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</si>
  <si>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</si>
  <si>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</si>
  <si>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</si>
  <si>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</si>
  <si>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</si>
  <si>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</si>
  <si>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</si>
  <si>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</si>
  <si>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</si>
  <si>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</si>
  <si>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</si>
  <si>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</si>
  <si>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</si>
  <si>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</si>
  <si>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</si>
  <si>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</si>
  <si>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</si>
  <si>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</si>
  <si>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</si>
  <si>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</si>
  <si>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</si>
  <si>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</si>
  <si>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</si>
  <si>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</si>
  <si>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</si>
  <si>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</si>
  <si>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</si>
  <si>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</si>
  <si>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</si>
  <si>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</si>
  <si>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</si>
  <si>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</si>
  <si>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</si>
  <si>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</si>
  <si>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</si>
  <si>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</si>
  <si>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</si>
  <si>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</si>
  <si>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</si>
  <si>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</si>
  <si>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</si>
  <si>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</si>
  <si>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</si>
  <si>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</si>
  <si>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</si>
  <si>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</si>
  <si>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</si>
  <si>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</si>
  <si>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</si>
  <si>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</si>
  <si>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</si>
  <si>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</si>
  <si>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</si>
  <si>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</si>
  <si>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</si>
  <si>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</si>
  <si>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</si>
  <si>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</si>
  <si>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</si>
  <si>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</si>
  <si>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</si>
  <si>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</si>
  <si>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</si>
  <si>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</si>
  <si>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</si>
  <si>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</si>
  <si>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</si>
  <si>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</si>
  <si>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</si>
  <si>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</si>
  <si>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</si>
  <si>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</si>
  <si>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</si>
  <si>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</si>
  <si>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</si>
  <si>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</si>
  <si>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</si>
  <si>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</si>
  <si>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</si>
  <si>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</si>
  <si>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</si>
  <si>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</si>
  <si>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</si>
  <si>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</si>
  <si>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</si>
  <si>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</si>
  <si>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</si>
  <si>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</si>
  <si>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</si>
  <si>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</si>
  <si>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</si>
  <si>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</si>
  <si>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</si>
  <si>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</si>
  <si>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</si>
  <si>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</si>
  <si>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</si>
  <si>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</si>
  <si>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</si>
  <si>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</si>
  <si>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</si>
  <si>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</si>
  <si>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</si>
  <si>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</si>
  <si>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</si>
  <si>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</si>
  <si>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</si>
  <si>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</si>
  <si>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</si>
  <si>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</si>
  <si>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</si>
  <si>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</si>
  <si>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</si>
  <si>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</si>
  <si>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</si>
  <si>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</si>
  <si>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</si>
  <si>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</si>
  <si>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</si>
  <si>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</si>
  <si>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</si>
  <si>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</si>
  <si>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</si>
  <si>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</si>
  <si>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</si>
  <si>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</si>
  <si>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</si>
  <si>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</si>
  <si>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</si>
  <si>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</si>
  <si>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</si>
  <si>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</si>
  <si>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</si>
  <si>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</si>
  <si>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</si>
  <si>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</si>
  <si>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</si>
  <si>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</si>
  <si>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</si>
  <si>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</si>
  <si>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</si>
  <si>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</si>
  <si>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</si>
  <si>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</si>
  <si>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</si>
  <si>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</si>
  <si>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</si>
  <si>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</si>
  <si>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</si>
  <si>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</si>
  <si>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</si>
  <si>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</si>
  <si>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</si>
  <si>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</si>
  <si>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</si>
  <si>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</si>
  <si>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</si>
  <si>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</si>
  <si>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</si>
  <si>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</si>
  <si>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</si>
  <si>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</si>
  <si>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</si>
  <si>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</si>
  <si>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</si>
  <si>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</si>
  <si>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</si>
  <si>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</si>
  <si>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</si>
  <si>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</si>
  <si>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</si>
  <si>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</si>
  <si>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</si>
  <si>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</si>
  <si>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</si>
  <si>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</si>
  <si>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</si>
  <si>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</si>
  <si>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</si>
  <si>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</si>
  <si>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</si>
  <si>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</si>
  <si>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</si>
  <si>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</si>
  <si>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</si>
  <si>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</si>
  <si>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</si>
  <si>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</si>
  <si>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</si>
  <si>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</si>
  <si>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</si>
  <si>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</si>
  <si>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</si>
  <si>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</si>
  <si>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</si>
  <si>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</si>
  <si>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</si>
  <si>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</si>
  <si>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</si>
  <si>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</si>
  <si>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</si>
  <si>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</si>
  <si>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</si>
  <si>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</si>
  <si>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</si>
  <si>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</si>
  <si>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</si>
  <si>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</si>
  <si>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</si>
  <si>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</si>
  <si>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</si>
  <si>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</si>
  <si>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</si>
  <si>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</si>
  <si>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</si>
  <si>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</si>
  <si>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</si>
  <si>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</si>
  <si>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</si>
  <si>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</si>
  <si>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</si>
  <si>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</si>
  <si>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</si>
  <si>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</si>
  <si>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</si>
  <si>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</si>
  <si>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</si>
  <si>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</si>
  <si>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</si>
  <si>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</si>
  <si>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</si>
  <si>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</si>
  <si>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</si>
  <si>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</si>
  <si>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</si>
  <si>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</si>
  <si>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</si>
  <si>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</si>
  <si>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</si>
  <si>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</si>
  <si>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</si>
  <si>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</si>
  <si>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</si>
  <si>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</si>
  <si>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</si>
  <si>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</si>
  <si>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</si>
  <si>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</si>
  <si>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</si>
  <si>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</si>
  <si>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</si>
  <si>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</si>
  <si>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</si>
  <si>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</si>
  <si>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</si>
  <si>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</si>
  <si>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</si>
  <si>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</si>
  <si>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</si>
  <si>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</si>
  <si>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</si>
  <si>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</si>
  <si>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</si>
  <si>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</si>
  <si>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</si>
  <si>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</si>
  <si>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</si>
  <si>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</si>
  <si>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</si>
  <si>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</si>
  <si>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</si>
  <si>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</si>
  <si>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</si>
  <si>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</si>
  <si>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</si>
  <si>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</si>
  <si>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</si>
  <si>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</si>
  <si>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</si>
  <si>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</si>
  <si>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</si>
  <si>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</si>
  <si>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</si>
  <si>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</si>
  <si>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</si>
  <si>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</si>
  <si>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</si>
  <si>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</si>
  <si>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</si>
  <si>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</si>
  <si>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</si>
  <si>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</si>
  <si>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</si>
  <si>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</si>
  <si>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</si>
  <si>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</si>
  <si>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</si>
  <si>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</si>
  <si>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</si>
  <si>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</si>
  <si>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</si>
  <si>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</si>
  <si>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</si>
  <si>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</si>
  <si>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</si>
  <si>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</si>
  <si>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</si>
  <si>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</si>
  <si>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</si>
  <si>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</si>
  <si>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</si>
  <si>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</si>
  <si>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</si>
  <si>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</si>
  <si>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</si>
  <si>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</si>
  <si>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</si>
  <si>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</si>
  <si>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</si>
  <si>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</si>
  <si>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</si>
  <si>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</si>
  <si>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</si>
  <si>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</si>
  <si>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</si>
  <si>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</si>
  <si>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</si>
  <si>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</si>
  <si>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</si>
  <si>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</si>
  <si>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</si>
  <si>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</si>
  <si>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</si>
  <si>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</si>
  <si>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</si>
  <si>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</si>
  <si>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</si>
  <si>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</si>
  <si>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</si>
  <si>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</si>
  <si>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</si>
  <si>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</si>
  <si>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</si>
  <si>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</si>
  <si>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</si>
  <si>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</si>
  <si>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</si>
  <si>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</si>
  <si>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</si>
  <si>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</si>
  <si>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</si>
  <si>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</si>
  <si>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</si>
  <si>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</si>
  <si>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</si>
  <si>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</si>
  <si>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</si>
  <si>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</si>
  <si>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</si>
  <si>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</si>
  <si>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</si>
  <si>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</si>
  <si>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</si>
  <si>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</si>
  <si>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</si>
  <si>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</si>
  <si>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</si>
  <si>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</si>
  <si>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</si>
  <si>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</si>
  <si>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</si>
  <si>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</si>
  <si>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</si>
  <si>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</si>
  <si>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</si>
  <si>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</si>
  <si>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</si>
  <si>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</si>
  <si>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</si>
  <si>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</si>
  <si>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</si>
  <si>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</si>
  <si>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</si>
  <si>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</si>
  <si>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</si>
  <si>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</si>
  <si>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</si>
  <si>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</si>
  <si>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</si>
  <si>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</si>
  <si>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</si>
  <si>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</si>
  <si>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</si>
  <si>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</si>
  <si>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</si>
  <si>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</si>
  <si>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</si>
  <si>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</si>
  <si>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</si>
  <si>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</si>
  <si>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</si>
  <si>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</si>
  <si>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</si>
  <si>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</si>
  <si>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</si>
  <si>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</si>
  <si>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</si>
  <si>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</si>
  <si>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</si>
  <si>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</si>
  <si>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</si>
  <si>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</si>
  <si>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</si>
  <si>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</si>
  <si>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</si>
  <si>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</si>
  <si>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</si>
  <si>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</si>
  <si>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</si>
  <si>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</si>
  <si>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</si>
  <si>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</si>
  <si>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</si>
  <si>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</si>
  <si>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</si>
  <si>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</si>
  <si>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</si>
  <si>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</si>
  <si>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</si>
  <si>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</si>
  <si>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</si>
  <si>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</si>
  <si>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</si>
  <si>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</si>
  <si>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</si>
  <si>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</si>
  <si>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</si>
  <si>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</si>
  <si>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</si>
  <si>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</si>
  <si>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</si>
  <si>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</si>
  <si>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</si>
  <si>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</si>
  <si>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</si>
  <si>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</si>
  <si>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</si>
  <si>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</si>
  <si>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</si>
  <si>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</si>
  <si>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</si>
  <si>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</si>
  <si>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</si>
  <si>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</si>
  <si>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</si>
  <si>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</si>
  <si>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</si>
  <si>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</si>
  <si>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</si>
  <si>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</si>
  <si>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</si>
  <si>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</si>
  <si>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</si>
  <si>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</si>
  <si>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</si>
  <si>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</si>
  <si>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</si>
  <si>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</si>
  <si>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</si>
  <si>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</si>
  <si>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</si>
  <si>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</si>
  <si>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</si>
  <si>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</si>
  <si>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</si>
  <si>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</si>
  <si>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</si>
  <si>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</si>
  <si>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</si>
  <si>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</si>
  <si>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</si>
  <si>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</si>
  <si>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</si>
  <si>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</si>
  <si>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</si>
  <si>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</si>
  <si>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</si>
  <si>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</si>
  <si>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</si>
  <si>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</si>
  <si>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</si>
  <si>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</si>
  <si>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</si>
  <si>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</si>
  <si>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</si>
  <si>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</si>
  <si>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</si>
  <si>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</si>
  <si>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</si>
  <si>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</si>
  <si>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</si>
  <si>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</si>
  <si>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</si>
  <si>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</si>
  <si>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</si>
  <si>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</si>
  <si>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</si>
  <si>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</si>
  <si>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</si>
  <si>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</si>
  <si>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</si>
  <si>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</si>
  <si>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</si>
  <si>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</si>
  <si>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</si>
  <si>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</si>
  <si>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</si>
  <si>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</si>
  <si>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</si>
  <si>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</si>
  <si>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</si>
  <si>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</si>
  <si>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</si>
  <si>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</si>
  <si>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</si>
  <si>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</si>
  <si>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</si>
  <si>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</si>
  <si>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</si>
  <si>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</si>
  <si>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</si>
  <si>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</si>
  <si>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</si>
  <si>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</si>
  <si>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</si>
  <si>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</si>
  <si>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</si>
  <si>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</si>
  <si>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</si>
  <si>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</si>
  <si>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</si>
  <si>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</si>
  <si>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</si>
  <si>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</si>
  <si>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</si>
  <si>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</si>
  <si>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</si>
  <si>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</si>
  <si>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</si>
  <si>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</si>
  <si>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</si>
  <si>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</si>
  <si>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</si>
  <si>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</si>
  <si>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</si>
  <si>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</si>
  <si>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</si>
  <si>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</si>
  <si>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</si>
  <si>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</si>
  <si>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</si>
  <si>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</si>
  <si>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</si>
  <si>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</si>
  <si>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</si>
  <si>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</si>
  <si>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</si>
  <si>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</si>
  <si>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</si>
  <si>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</si>
  <si>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</si>
  <si>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</si>
  <si>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</si>
  <si>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</si>
  <si>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</si>
  <si>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</si>
  <si>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</si>
  <si>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</si>
  <si>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</si>
  <si>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</si>
  <si>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</si>
  <si>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</si>
  <si>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</si>
  <si>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</si>
  <si>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</si>
  <si>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</si>
  <si>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</si>
  <si>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</si>
  <si>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</si>
  <si>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</si>
  <si>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</si>
  <si>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</si>
  <si>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</si>
  <si>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</si>
  <si>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</si>
  <si>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</si>
  <si>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</si>
  <si>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</si>
  <si>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</si>
  <si>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</si>
  <si>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</si>
  <si>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</si>
  <si>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</si>
  <si>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</si>
  <si>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</si>
  <si>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</si>
  <si>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</si>
  <si>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</si>
  <si>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</si>
  <si>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</si>
  <si>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</si>
  <si>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</si>
  <si>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</si>
  <si>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</si>
  <si>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</si>
  <si>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</si>
  <si>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</si>
  <si>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</si>
  <si>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</si>
  <si>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</si>
  <si>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</si>
  <si>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</si>
  <si>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</si>
  <si>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</si>
  <si>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</si>
  <si>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</si>
  <si>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</si>
  <si>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</si>
  <si>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</si>
  <si>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</si>
  <si>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</si>
  <si>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</si>
  <si>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</si>
  <si>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</si>
  <si>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</si>
  <si>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</si>
  <si>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</si>
  <si>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</si>
  <si>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</si>
  <si>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</si>
  <si>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</si>
  <si>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</si>
  <si>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</si>
  <si>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</si>
  <si>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</si>
  <si>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</si>
  <si>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</si>
  <si>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</si>
  <si>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</si>
  <si>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</si>
  <si>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</si>
  <si>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</si>
  <si>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</si>
  <si>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</si>
  <si>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</si>
  <si>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</si>
  <si>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</si>
  <si>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</si>
  <si>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</si>
  <si>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</si>
  <si>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</si>
  <si>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</si>
  <si>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</si>
  <si>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</si>
  <si>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</si>
  <si>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</si>
  <si>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</si>
  <si>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</si>
  <si>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</si>
  <si>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</si>
  <si>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</si>
  <si>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</si>
  <si>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</si>
  <si>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</si>
  <si>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</si>
  <si>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</si>
  <si>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</si>
  <si>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</si>
  <si>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</si>
  <si>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</si>
  <si>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</si>
  <si>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</si>
  <si>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</si>
  <si>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</si>
  <si>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</si>
  <si>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</si>
  <si>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</si>
  <si>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</si>
  <si>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</si>
  <si>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</si>
  <si>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</si>
  <si>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</si>
  <si>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</si>
  <si>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</si>
  <si>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</si>
  <si>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</si>
  <si>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</si>
  <si>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</si>
  <si>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</si>
  <si>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</si>
  <si>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</si>
  <si>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</si>
  <si>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</si>
  <si>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</si>
  <si>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</si>
  <si>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</si>
  <si>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</si>
  <si>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</si>
  <si>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</si>
  <si>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</si>
  <si>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</si>
  <si>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</si>
  <si>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</si>
  <si>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</si>
  <si>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</si>
  <si>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</si>
  <si>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</si>
  <si>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</si>
  <si>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</si>
  <si>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</si>
  <si>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</si>
  <si>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</si>
  <si>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</si>
  <si>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</si>
  <si>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</si>
  <si>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</si>
  <si>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</si>
  <si>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</si>
  <si>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</si>
  <si>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</si>
  <si>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</si>
  <si>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</si>
  <si>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</si>
  <si>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</si>
  <si>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</si>
  <si>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</si>
  <si>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</si>
  <si>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</si>
  <si>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</si>
  <si>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</si>
  <si>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</si>
  <si>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</si>
  <si>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</si>
  <si>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</si>
  <si>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</si>
  <si>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</si>
  <si>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</si>
  <si>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</si>
  <si>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</si>
  <si>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</si>
  <si>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</si>
  <si>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</si>
  <si>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</si>
  <si>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</si>
  <si>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</si>
  <si>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</si>
  <si>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</si>
  <si>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</si>
  <si>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</si>
  <si>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</si>
  <si>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</si>
  <si>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</si>
  <si>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</si>
  <si>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</si>
  <si>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</si>
  <si>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</si>
  <si>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</si>
  <si>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</si>
  <si>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</si>
  <si>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</si>
  <si>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</si>
  <si>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</si>
  <si>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</si>
  <si>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</si>
  <si>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</si>
  <si>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</si>
  <si>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</si>
  <si>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</si>
  <si>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</si>
  <si>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</si>
  <si>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</si>
  <si>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</si>
  <si>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</si>
  <si>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</si>
  <si>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</si>
  <si>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</si>
  <si>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</si>
  <si>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</si>
  <si>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</si>
  <si>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</si>
  <si>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</si>
  <si>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</si>
  <si>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</si>
  <si>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</si>
  <si>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</si>
  <si>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</si>
  <si>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</si>
  <si>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</si>
  <si>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</si>
  <si>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</si>
  <si>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</si>
  <si>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</si>
  <si>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</si>
  <si>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</si>
  <si>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</si>
  <si>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</si>
  <si>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</si>
  <si>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</si>
  <si>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</si>
  <si>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</si>
  <si>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</si>
  <si>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</si>
  <si>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</si>
  <si>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</si>
  <si>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</si>
  <si>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</si>
  <si>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</si>
  <si>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</si>
  <si>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</si>
  <si>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</si>
  <si>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</si>
  <si>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</si>
  <si>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</si>
  <si>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</si>
  <si>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</si>
  <si>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</si>
  <si>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</si>
  <si>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</si>
  <si>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</si>
  <si>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</si>
  <si>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</si>
  <si>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</si>
  <si>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</si>
  <si>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</si>
  <si>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</si>
  <si>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</si>
  <si>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</si>
  <si>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</si>
  <si>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</si>
  <si>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</si>
  <si>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</si>
  <si>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</si>
  <si>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</si>
  <si>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</si>
  <si>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</si>
  <si>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</si>
  <si>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</si>
  <si>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</si>
  <si>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</si>
  <si>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</si>
  <si>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</si>
  <si>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</si>
  <si>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</si>
  <si>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</si>
  <si>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</si>
  <si>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</si>
  <si>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</si>
  <si>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</si>
  <si>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</si>
  <si>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</si>
  <si>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</si>
  <si>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</si>
  <si>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</si>
  <si>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</si>
  <si>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</si>
  <si>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</si>
  <si>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</si>
  <si>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</si>
  <si>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</si>
  <si>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</si>
  <si>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</si>
  <si>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</si>
  <si>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</si>
  <si>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</si>
  <si>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</si>
  <si>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</si>
  <si>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</si>
  <si>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</si>
  <si>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</si>
  <si>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</si>
  <si>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</si>
  <si>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</si>
  <si>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</si>
  <si>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</si>
  <si>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</si>
  <si>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</si>
  <si>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</si>
  <si>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</si>
  <si>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</si>
  <si>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</si>
  <si>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</si>
  <si>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</si>
  <si>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</si>
  <si>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</si>
  <si>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</si>
  <si>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</si>
  <si>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</si>
  <si>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</si>
  <si>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</si>
  <si>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</si>
  <si>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</si>
  <si>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</si>
  <si>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</si>
  <si>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</si>
  <si>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</si>
  <si>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</si>
  <si>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</si>
  <si>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</si>
  <si>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</si>
  <si>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</si>
  <si>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</si>
  <si>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</si>
  <si>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</si>
  <si>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</si>
  <si>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</si>
  <si>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</si>
  <si>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</si>
  <si>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</si>
  <si>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</si>
  <si>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</si>
  <si>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</si>
  <si>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</si>
  <si>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</si>
  <si>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</si>
  <si>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</si>
  <si>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</si>
  <si>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</si>
  <si>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</si>
  <si>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</si>
  <si>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</si>
  <si>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</si>
  <si>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</si>
  <si>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</si>
  <si>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</si>
  <si>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</si>
  <si>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</si>
  <si>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</si>
  <si>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</si>
  <si>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</si>
  <si>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</si>
  <si>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</si>
  <si>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</si>
  <si>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</si>
  <si>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</si>
  <si>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</si>
  <si>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</si>
  <si>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</si>
  <si>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</si>
  <si>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</si>
  <si>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</si>
  <si>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</si>
  <si>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</si>
  <si>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</si>
  <si>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</si>
  <si>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</si>
  <si>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</si>
  <si>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</si>
  <si>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</si>
  <si>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</si>
  <si>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</si>
  <si>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</si>
  <si>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</si>
  <si>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</si>
  <si>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</si>
  <si>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</si>
  <si>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</si>
  <si>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</si>
  <si>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</si>
  <si>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</si>
  <si>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</si>
  <si>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</si>
  <si>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</si>
  <si>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</si>
  <si>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</si>
  <si>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</si>
  <si>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</si>
  <si>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</si>
  <si>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</si>
  <si>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</si>
  <si>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</si>
  <si>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</si>
  <si>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</si>
  <si>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</si>
  <si>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</si>
  <si>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</si>
  <si>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</si>
  <si>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</si>
  <si>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</si>
  <si>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</si>
  <si>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</si>
  <si>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</si>
  <si>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</si>
  <si>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</si>
  <si>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</si>
  <si>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</si>
  <si>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</si>
  <si>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</si>
  <si>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</si>
  <si>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</si>
  <si>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</si>
  <si>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</si>
  <si>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</si>
  <si>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</si>
  <si>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</si>
  <si>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</si>
  <si>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</si>
  <si>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</si>
  <si>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</si>
  <si>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</si>
  <si>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</si>
  <si>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</si>
  <si>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</si>
  <si>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</si>
  <si>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</si>
  <si>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</si>
  <si>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</si>
  <si>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</si>
  <si>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</si>
  <si>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</si>
  <si>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</si>
  <si>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</si>
  <si>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</si>
  <si>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</si>
  <si>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</si>
  <si>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</si>
  <si>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</si>
  <si>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</si>
  <si>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</si>
  <si>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</si>
  <si>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</si>
  <si>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</si>
  <si>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</si>
  <si>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</si>
  <si>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</si>
  <si>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</si>
  <si>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</si>
  <si>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</si>
  <si>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</si>
  <si>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</si>
  <si>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</si>
  <si>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</si>
  <si>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</si>
  <si>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</si>
  <si>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</si>
  <si>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</si>
  <si>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</si>
  <si>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</si>
  <si>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</si>
  <si>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</si>
  <si>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</si>
  <si>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</si>
  <si>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</si>
  <si>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</si>
  <si>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</si>
  <si>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</si>
  <si>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</si>
  <si>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</si>
  <si>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</si>
  <si>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</si>
  <si>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</si>
  <si>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</si>
  <si>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</si>
  <si>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</si>
  <si>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</si>
  <si>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</si>
  <si>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</si>
  <si>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</si>
  <si>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</si>
  <si>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</si>
  <si>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</si>
  <si>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</si>
  <si>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</si>
  <si>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</si>
  <si>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</si>
  <si>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</si>
  <si>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</si>
  <si>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</si>
  <si>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</si>
  <si>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</si>
  <si>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</si>
  <si>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</si>
  <si>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</si>
  <si>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</si>
  <si>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</si>
  <si>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</si>
  <si>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</si>
  <si>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</si>
  <si>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</si>
  <si>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</si>
  <si>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</si>
  <si>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</si>
  <si>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</si>
  <si>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</si>
  <si>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</si>
  <si>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</si>
  <si>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</si>
  <si>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</si>
  <si>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</si>
  <si>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</si>
  <si>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</si>
  <si>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</si>
  <si>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</si>
  <si>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</si>
  <si>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</si>
  <si>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</si>
  <si>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</si>
  <si>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</si>
  <si>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</si>
  <si>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</si>
  <si>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</si>
  <si>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</si>
  <si>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</si>
  <si>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</si>
  <si>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</si>
  <si>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</si>
  <si>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</si>
  <si>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</si>
  <si>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</si>
  <si>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</si>
  <si>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</si>
  <si>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</si>
  <si>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</si>
  <si>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</si>
  <si>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</si>
  <si>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</si>
  <si>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</si>
  <si>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</si>
  <si>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</si>
  <si>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</si>
  <si>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</si>
  <si>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</si>
  <si>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</si>
  <si>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</si>
  <si>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</si>
  <si>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</si>
  <si>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</si>
  <si>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</si>
  <si>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</si>
  <si>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</si>
  <si>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</si>
  <si>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</si>
  <si>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</si>
  <si>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</si>
  <si>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</si>
  <si>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</si>
  <si>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</si>
  <si>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</si>
  <si>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</si>
  <si>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</si>
  <si>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</si>
  <si>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</si>
  <si>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</si>
  <si>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</si>
  <si>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</si>
  <si>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</si>
  <si>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</si>
  <si>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</si>
  <si>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</si>
  <si>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</si>
  <si>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</si>
  <si>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</si>
  <si>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</si>
  <si>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</si>
  <si>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</si>
  <si>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</si>
  <si>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</si>
  <si>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</si>
  <si>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</si>
  <si>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</si>
  <si>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</si>
  <si>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</si>
  <si>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</si>
  <si>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</si>
  <si>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</si>
  <si>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</si>
  <si>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</si>
  <si>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</si>
  <si>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</si>
  <si>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</si>
  <si>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</si>
  <si>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</si>
  <si>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</si>
  <si>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</si>
  <si>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</si>
  <si>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</si>
  <si>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</si>
  <si>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</si>
  <si>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</si>
  <si>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</si>
  <si>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</si>
  <si>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</si>
  <si>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</si>
  <si>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</si>
  <si>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</si>
  <si>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</si>
  <si>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</si>
  <si>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</si>
  <si>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</si>
  <si>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</si>
  <si>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</si>
  <si>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</si>
  <si>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</si>
  <si>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</si>
  <si>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</si>
  <si>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</si>
  <si>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</si>
  <si>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</si>
  <si>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</si>
  <si>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</si>
  <si>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</si>
  <si>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</si>
  <si>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</si>
  <si>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</si>
  <si>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</si>
  <si>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</si>
  <si>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</si>
  <si>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</si>
  <si>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</si>
  <si>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</si>
  <si>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</si>
  <si>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</si>
  <si>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</si>
  <si>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</si>
  <si>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</si>
  <si>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</si>
  <si>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</si>
  <si>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</si>
  <si>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</si>
  <si>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</si>
  <si>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</si>
  <si>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</si>
  <si>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</si>
  <si>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</si>
  <si>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</si>
  <si>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</si>
  <si>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</si>
  <si>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</si>
  <si>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</si>
  <si>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</si>
  <si>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</si>
  <si>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</si>
  <si>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</si>
  <si>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</si>
  <si>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</si>
  <si>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</si>
  <si>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</si>
  <si>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</si>
  <si>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</si>
  <si>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</si>
  <si>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</si>
  <si>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</si>
  <si>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</si>
  <si>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</si>
  <si>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</si>
  <si>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</si>
  <si>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</si>
  <si>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</si>
  <si>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</si>
  <si>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</si>
  <si>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</si>
  <si>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</si>
  <si>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</si>
  <si>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</si>
  <si>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</si>
  <si>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</si>
  <si>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</si>
  <si>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</si>
  <si>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</si>
  <si>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</si>
  <si>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</si>
  <si>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</si>
  <si>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</si>
  <si>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</si>
  <si>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</si>
  <si>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</si>
  <si>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</si>
  <si>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</si>
  <si>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</si>
  <si>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</si>
  <si>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</si>
  <si>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</si>
  <si>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</si>
  <si>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</si>
  <si>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</si>
  <si>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</si>
  <si>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</si>
  <si>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</si>
  <si>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</si>
  <si>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</si>
  <si>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</si>
  <si>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</si>
  <si>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</si>
  <si>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</si>
  <si>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</si>
  <si>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</si>
  <si>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</si>
  <si>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</si>
  <si>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</si>
  <si>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</si>
  <si>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</si>
  <si>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</si>
  <si>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</si>
  <si>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</si>
  <si>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</si>
  <si>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</si>
  <si>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</si>
  <si>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</si>
  <si>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</si>
  <si>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</si>
  <si>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</si>
  <si>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</si>
  <si>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</si>
  <si>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</si>
  <si>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</si>
  <si>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</si>
  <si>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</si>
  <si>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</si>
  <si>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</si>
  <si>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</si>
  <si>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</si>
  <si>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</si>
  <si>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</si>
  <si>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</si>
  <si>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</si>
  <si>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</si>
  <si>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</si>
  <si>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</si>
  <si>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</si>
  <si>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</si>
  <si>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</si>
  <si>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</si>
  <si>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</si>
  <si>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</si>
  <si>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</si>
  <si>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</si>
  <si>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</si>
  <si>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</si>
  <si>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</si>
  <si>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</si>
  <si>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</si>
  <si>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</si>
  <si>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</si>
  <si>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</si>
  <si>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</si>
  <si>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</si>
  <si>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</si>
  <si>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</si>
  <si>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</si>
  <si>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</si>
  <si>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</si>
  <si>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</si>
  <si>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</si>
  <si>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</si>
  <si>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</si>
  <si>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</si>
  <si>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</si>
  <si>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</si>
  <si>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</si>
  <si>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</si>
  <si>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</si>
  <si>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</si>
  <si>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</si>
  <si>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</si>
  <si>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</si>
  <si>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</si>
  <si>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</si>
  <si>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</si>
  <si>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</si>
  <si>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</si>
  <si>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</si>
  <si>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</si>
  <si>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</si>
  <si>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</si>
  <si>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</si>
  <si>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</si>
  <si>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</si>
  <si>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</si>
  <si>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</si>
  <si>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</si>
  <si>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</si>
  <si>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</si>
  <si>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</si>
  <si>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</si>
  <si>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</si>
  <si>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</si>
  <si>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</si>
  <si>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</si>
  <si>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</si>
  <si>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</si>
  <si>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</si>
  <si>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</si>
  <si>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</si>
  <si>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</si>
  <si>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</si>
  <si>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</si>
  <si>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</si>
  <si>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</si>
  <si>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</si>
  <si>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</si>
  <si>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</si>
  <si>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</si>
  <si>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</si>
  <si>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</si>
  <si>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</si>
  <si>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</si>
  <si>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</si>
  <si>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</si>
  <si>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</si>
  <si>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</si>
  <si>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</si>
  <si>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</si>
  <si>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</si>
  <si>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</si>
  <si>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</si>
  <si>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</si>
  <si>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</si>
  <si>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</si>
  <si>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</si>
  <si>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</si>
  <si>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</si>
  <si>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</si>
  <si>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</si>
  <si>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</si>
  <si>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</si>
  <si>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</si>
  <si>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</si>
  <si>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</si>
  <si>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</si>
  <si>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</si>
  <si>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</si>
  <si>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</si>
  <si>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</si>
  <si>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</si>
  <si>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</si>
  <si>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</si>
  <si>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</si>
  <si>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</si>
  <si>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</si>
  <si>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</si>
  <si>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</si>
  <si>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</si>
  <si>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</si>
  <si>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</si>
  <si>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</si>
  <si>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</si>
  <si>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</si>
  <si>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</si>
  <si>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</si>
  <si>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</si>
  <si>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</si>
  <si>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</si>
  <si>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</si>
  <si>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</si>
  <si>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</si>
  <si>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</si>
  <si>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</si>
  <si>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</si>
  <si>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</si>
  <si>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</si>
  <si>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</si>
  <si>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</si>
  <si>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</si>
  <si>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</si>
  <si>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</si>
  <si>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</si>
  <si>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</si>
  <si>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</si>
  <si>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</si>
  <si>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</si>
  <si>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</si>
  <si>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</si>
  <si>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</si>
  <si>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</si>
  <si>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</si>
  <si>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</si>
  <si>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</si>
  <si>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</si>
  <si>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</si>
  <si>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</si>
  <si>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</si>
  <si>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</si>
  <si>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</si>
  <si>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</si>
  <si>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</si>
  <si>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</si>
  <si>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</si>
  <si>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</si>
  <si>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</si>
  <si>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</si>
  <si>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</si>
  <si>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</si>
  <si>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</si>
  <si>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</si>
  <si>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</si>
  <si>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</si>
  <si>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</si>
  <si>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</si>
  <si>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</si>
  <si>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</si>
  <si>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</si>
  <si>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</si>
  <si>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</si>
  <si>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</si>
  <si>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</si>
  <si>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</si>
  <si>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</si>
  <si>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</si>
  <si>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</si>
  <si>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</si>
  <si>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</si>
  <si>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</si>
  <si>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</si>
  <si>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</si>
  <si>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</si>
  <si>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</si>
  <si>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</si>
  <si>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</si>
  <si>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</si>
  <si>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</si>
  <si>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</si>
  <si>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</si>
  <si>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</si>
  <si>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</si>
  <si>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</si>
  <si>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</si>
  <si>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</si>
  <si>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</si>
  <si>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</si>
  <si>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</si>
  <si>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</si>
  <si>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</si>
  <si>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</si>
  <si>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</si>
  <si>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</si>
  <si>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</si>
  <si>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</si>
  <si>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</si>
  <si>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</si>
  <si>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</si>
  <si>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</si>
  <si>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</si>
  <si>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</si>
  <si>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</si>
  <si>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</si>
  <si>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</si>
  <si>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</si>
  <si>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</si>
  <si>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</si>
  <si>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</si>
  <si>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</si>
  <si>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</si>
  <si>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</si>
  <si>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</si>
  <si>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</si>
  <si>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</si>
  <si>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</si>
  <si>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</si>
  <si>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</si>
  <si>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</si>
  <si>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</si>
  <si>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</si>
  <si>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</si>
  <si>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</si>
  <si>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</si>
  <si>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</si>
  <si>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</si>
  <si>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</si>
  <si>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</si>
  <si>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</si>
  <si>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</si>
  <si>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</si>
  <si>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</si>
  <si>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</si>
  <si>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</si>
  <si>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</si>
  <si>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</si>
  <si>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</si>
  <si>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</si>
  <si>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</si>
  <si>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</si>
  <si>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</si>
  <si>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</si>
  <si>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</si>
  <si>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</si>
  <si>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</si>
  <si>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</si>
  <si>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</si>
  <si>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</si>
  <si>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</si>
  <si>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</si>
  <si>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</si>
  <si>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</si>
  <si>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</si>
  <si>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</si>
  <si>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</si>
  <si>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</si>
  <si>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</si>
  <si>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</si>
  <si>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</si>
  <si>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</si>
  <si>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</si>
  <si>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</si>
  <si>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</si>
  <si>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</si>
  <si>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</si>
  <si>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</si>
  <si>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</si>
  <si>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</si>
  <si>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</si>
  <si>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</si>
  <si>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</si>
  <si>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</si>
  <si>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</si>
  <si>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</si>
  <si>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</si>
  <si>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</si>
  <si>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</si>
  <si>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</si>
  <si>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</si>
  <si>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</si>
  <si>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</si>
  <si>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</si>
  <si>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</si>
  <si>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</si>
  <si>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</si>
  <si>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</si>
  <si>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</si>
  <si>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</si>
  <si>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</si>
  <si>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</si>
  <si>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</si>
  <si>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</si>
  <si>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</si>
  <si>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</si>
  <si>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</si>
  <si>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</si>
  <si>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</si>
  <si>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</si>
  <si>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</si>
  <si>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</si>
  <si>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</si>
  <si>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</si>
  <si>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</si>
  <si>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</si>
  <si>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</si>
  <si>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</si>
  <si>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</si>
  <si>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</si>
  <si>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</si>
  <si>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</si>
  <si>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</si>
  <si>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</si>
  <si>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</si>
  <si>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</si>
  <si>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</si>
  <si>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</si>
  <si>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</si>
  <si>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</si>
  <si>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</si>
  <si>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</si>
  <si>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</si>
  <si>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</si>
  <si>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</si>
  <si>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</si>
  <si>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</si>
  <si>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</si>
  <si>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</si>
  <si>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</si>
  <si>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</si>
  <si>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</si>
  <si>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</si>
  <si>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</si>
  <si>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</si>
  <si>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</si>
  <si>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</si>
  <si>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</si>
  <si>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</si>
  <si>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</si>
  <si>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</si>
  <si>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</si>
  <si>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</si>
  <si>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</si>
  <si>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</si>
  <si>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</si>
  <si>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</si>
  <si>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</si>
  <si>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</si>
  <si>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</si>
  <si>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</si>
  <si>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</si>
  <si>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</si>
  <si>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</si>
  <si>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</si>
  <si>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</si>
  <si>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</si>
  <si>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</si>
  <si>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</si>
  <si>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</si>
  <si>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</si>
  <si>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</si>
  <si>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</si>
  <si>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</si>
  <si>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</si>
  <si>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</si>
  <si>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</si>
  <si>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</si>
  <si>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</si>
  <si>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</si>
  <si>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</si>
  <si>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</si>
  <si>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</si>
  <si>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</si>
  <si>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</si>
  <si>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</si>
  <si>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</si>
  <si>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</si>
  <si>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</si>
  <si>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</si>
  <si>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</si>
  <si>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</si>
  <si>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</si>
  <si>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</si>
  <si>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</si>
  <si>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</si>
  <si>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</si>
  <si>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</si>
  <si>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</si>
  <si>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</si>
  <si>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</si>
  <si>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</si>
  <si>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</si>
  <si>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</si>
  <si>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</si>
  <si>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</si>
  <si>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</si>
  <si>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</si>
  <si>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</si>
  <si>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</si>
  <si>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</si>
  <si>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</si>
  <si>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</si>
  <si>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</si>
  <si>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</si>
  <si>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</si>
  <si>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</si>
  <si>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</si>
  <si>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</si>
  <si>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</si>
  <si>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</si>
  <si>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</si>
  <si>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</si>
  <si>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</si>
  <si>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</si>
  <si>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</si>
  <si>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</si>
  <si>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</si>
  <si>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</si>
  <si>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</si>
  <si>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</si>
  <si>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</si>
  <si>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</si>
  <si>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</si>
  <si>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</si>
  <si>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</si>
  <si>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</si>
  <si>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</si>
  <si>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</si>
  <si>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</si>
  <si>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</si>
  <si>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</si>
  <si>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</si>
  <si>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</si>
  <si>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</si>
  <si>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</si>
  <si>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</si>
  <si>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</si>
  <si>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</si>
  <si>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</si>
  <si>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</si>
  <si>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</si>
  <si>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</si>
  <si>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</si>
  <si>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</si>
  <si>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</si>
  <si>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</si>
  <si>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</si>
  <si>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</si>
  <si>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</si>
  <si>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</si>
  <si>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</si>
  <si>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</si>
  <si>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</si>
  <si>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</si>
  <si>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</si>
  <si>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</si>
  <si>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</si>
  <si>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</si>
  <si>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</si>
  <si>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</si>
  <si>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</si>
  <si>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</si>
  <si>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</si>
  <si>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</si>
  <si>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</si>
  <si>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</si>
  <si>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</si>
  <si>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</si>
  <si>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</si>
  <si>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</si>
  <si>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</si>
  <si>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</si>
  <si>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</si>
  <si>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</si>
  <si>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</si>
  <si>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</si>
  <si>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</si>
  <si>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</si>
  <si>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</si>
  <si>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</si>
  <si>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</si>
  <si>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</si>
  <si>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</si>
  <si>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</si>
  <si>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</si>
  <si>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</si>
  <si>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</si>
  <si>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</si>
  <si>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</si>
  <si>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</si>
  <si>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</si>
  <si>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</si>
  <si>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</si>
  <si>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</si>
  <si>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</si>
  <si>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</si>
  <si>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</si>
  <si>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</si>
  <si>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</si>
  <si>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</si>
  <si>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</si>
  <si>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</si>
  <si>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</si>
  <si>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</si>
  <si>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</si>
  <si>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</si>
  <si>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</si>
  <si>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</si>
  <si>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</si>
  <si>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</si>
  <si>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</si>
  <si>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</si>
  <si>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</si>
  <si>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</si>
  <si>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</si>
  <si>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</si>
  <si>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</si>
  <si>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</si>
  <si>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</si>
  <si>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</si>
  <si>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</si>
  <si>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</si>
  <si>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</si>
  <si>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</si>
  <si>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</si>
  <si>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</si>
  <si>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</si>
  <si>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</si>
  <si>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</si>
  <si>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</si>
  <si>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</si>
  <si>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</si>
  <si>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</si>
  <si>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</si>
  <si>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</si>
  <si>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</si>
  <si>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</si>
  <si>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</si>
  <si>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</si>
  <si>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</si>
  <si>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</si>
  <si>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</si>
  <si>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</si>
  <si>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</si>
  <si>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</si>
  <si>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</si>
  <si>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</si>
  <si>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</si>
  <si>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</si>
  <si>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</si>
  <si>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</si>
  <si>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</si>
  <si>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</si>
  <si>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</si>
  <si>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</si>
  <si>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</si>
  <si>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</si>
  <si>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</si>
  <si>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</si>
  <si>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</si>
  <si>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</si>
  <si>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</si>
  <si>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</si>
  <si>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</si>
  <si>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</si>
  <si>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</si>
  <si>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</si>
  <si>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</si>
  <si>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</si>
  <si>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</si>
  <si>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</si>
  <si>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</si>
  <si>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</si>
  <si>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</si>
  <si>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</si>
  <si>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</si>
  <si>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</si>
  <si>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</si>
  <si>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</si>
  <si>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</si>
  <si>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</si>
  <si>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</si>
  <si>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</si>
  <si>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</si>
  <si>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</si>
  <si>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</si>
  <si>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</si>
  <si>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</si>
  <si>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</si>
  <si>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</si>
  <si>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</si>
  <si>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</si>
  <si>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</si>
  <si>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</si>
  <si>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</si>
  <si>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</si>
  <si>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</si>
  <si>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</si>
  <si>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</si>
  <si>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</si>
  <si>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</si>
  <si>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</si>
  <si>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</si>
  <si>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</si>
  <si>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</si>
  <si>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</si>
  <si>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</si>
  <si>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</si>
  <si>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</si>
  <si>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</si>
  <si>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</si>
  <si>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</si>
  <si>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</si>
  <si>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</si>
  <si>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</si>
  <si>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</si>
  <si>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</si>
  <si>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</si>
  <si>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</si>
  <si>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</si>
  <si>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</si>
  <si>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</si>
  <si>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</si>
  <si>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</si>
  <si>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</si>
  <si>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</si>
  <si>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</si>
  <si>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</si>
  <si>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</si>
  <si>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</si>
  <si>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</si>
  <si>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</si>
  <si>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</si>
  <si>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</si>
  <si>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</si>
  <si>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</si>
  <si>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</si>
  <si>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</si>
  <si>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</si>
  <si>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</si>
  <si>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</si>
  <si>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</si>
  <si>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</si>
  <si>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</si>
  <si>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</si>
  <si>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</si>
  <si>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</si>
  <si>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</si>
  <si>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</si>
  <si>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</si>
  <si>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</si>
  <si>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</si>
  <si>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</si>
  <si>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</si>
  <si>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</si>
  <si>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</si>
  <si>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</si>
  <si>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</si>
  <si>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</si>
  <si>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</si>
  <si>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</si>
  <si>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</si>
  <si>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</si>
  <si>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</si>
  <si>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</si>
  <si>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</si>
  <si>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</si>
  <si>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</si>
  <si>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</si>
  <si>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</si>
  <si>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</si>
  <si>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</si>
  <si>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</si>
  <si>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</si>
  <si>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</si>
  <si>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</si>
  <si>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</si>
  <si>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</si>
  <si>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</si>
  <si>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</si>
  <si>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</si>
  <si>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</si>
  <si>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</si>
  <si>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</si>
  <si>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</si>
  <si>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</si>
  <si>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</si>
  <si>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</si>
  <si>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</si>
  <si>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</si>
  <si>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</si>
  <si>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</si>
  <si>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</si>
  <si>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</si>
  <si>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</si>
  <si>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</si>
  <si>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</si>
  <si>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</si>
  <si>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</si>
  <si>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</si>
  <si>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</si>
  <si>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</si>
  <si>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</si>
  <si>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</si>
  <si>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</si>
  <si>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</si>
  <si>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</si>
  <si>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</si>
  <si>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</si>
  <si>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</si>
  <si>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</si>
  <si>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</si>
  <si>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</si>
  <si>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</si>
  <si>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</si>
  <si>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</si>
  <si>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</si>
  <si>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</si>
  <si>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</si>
  <si>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</si>
  <si>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</si>
  <si>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</si>
  <si>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</si>
  <si>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</si>
  <si>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</si>
  <si>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</si>
  <si>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</si>
  <si>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</si>
  <si>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</si>
  <si>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</si>
  <si>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</si>
  <si>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</si>
  <si>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</si>
  <si>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</si>
  <si>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</si>
  <si>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</si>
  <si>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</si>
  <si>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</si>
  <si>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</si>
  <si>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</si>
  <si>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</si>
  <si>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</si>
  <si>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</si>
  <si>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</si>
  <si>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</si>
  <si>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</si>
  <si>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</si>
  <si>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</si>
  <si>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</si>
  <si>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</si>
  <si>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</si>
  <si>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</si>
  <si>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</si>
  <si>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</si>
  <si>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</si>
  <si>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</si>
  <si>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</si>
  <si>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</si>
  <si>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</si>
  <si>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</si>
  <si>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</si>
  <si>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</si>
  <si>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</si>
  <si>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</si>
  <si>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</si>
  <si>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</si>
  <si>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</si>
  <si>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</si>
  <si>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</si>
  <si>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</si>
  <si>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</si>
  <si>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</si>
  <si>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</si>
  <si>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</si>
  <si>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</si>
  <si>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</si>
  <si>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</si>
  <si>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</si>
  <si>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</si>
  <si>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</si>
  <si>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</si>
  <si>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</si>
  <si>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</si>
  <si>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</si>
  <si>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</si>
  <si>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</si>
  <si>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</si>
  <si>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</si>
  <si>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</si>
  <si>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</si>
  <si>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</si>
  <si>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</si>
  <si>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</si>
  <si>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</si>
  <si>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</si>
  <si>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</si>
  <si>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</si>
  <si>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</si>
  <si>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</si>
  <si>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</si>
  <si>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</si>
  <si>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</si>
  <si>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</si>
  <si>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</si>
  <si>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</si>
  <si>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</si>
  <si>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</si>
  <si>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</si>
  <si>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</si>
  <si>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</si>
  <si>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</si>
  <si>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</si>
  <si>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</si>
  <si>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</si>
  <si>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</si>
  <si>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</si>
  <si>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</si>
  <si>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</si>
  <si>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</si>
  <si>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</si>
  <si>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</si>
  <si>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</si>
  <si>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</si>
  <si>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</si>
  <si>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</si>
  <si>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</si>
  <si>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</si>
  <si>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</si>
  <si>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</si>
  <si>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</si>
  <si>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</si>
  <si>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</si>
  <si>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</si>
  <si>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</si>
  <si>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</si>
  <si>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</si>
  <si>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</si>
  <si>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</si>
  <si>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</si>
  <si>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</si>
  <si>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</si>
  <si>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</si>
  <si>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</si>
  <si>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</si>
  <si>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</si>
  <si>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</si>
  <si>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</si>
  <si>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</si>
  <si>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</si>
  <si>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</si>
  <si>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</si>
  <si>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</si>
  <si>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</si>
  <si>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</si>
  <si>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</si>
  <si>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</si>
  <si>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</si>
  <si>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</si>
  <si>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</si>
  <si>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</si>
  <si>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</si>
  <si>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</si>
  <si>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</si>
  <si>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</si>
  <si>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</si>
  <si>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</si>
  <si>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</si>
  <si>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</si>
  <si>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</si>
  <si>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</si>
  <si>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</si>
  <si>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</si>
  <si>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</si>
  <si>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</si>
  <si>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</si>
  <si>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</si>
  <si>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</si>
  <si>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</si>
  <si>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</si>
  <si>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</si>
  <si>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</si>
  <si>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</si>
  <si>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</si>
  <si>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</si>
  <si>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</si>
  <si>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</si>
  <si>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</si>
  <si>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</si>
  <si>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</si>
  <si>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</si>
  <si>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</si>
  <si>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</si>
  <si>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</si>
  <si>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</si>
  <si>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</si>
  <si>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</si>
  <si>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</si>
  <si>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</si>
  <si>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</si>
  <si>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</si>
  <si>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</si>
  <si>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</si>
  <si>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</si>
  <si>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</si>
  <si>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</si>
  <si>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</si>
  <si>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</si>
  <si>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</si>
  <si>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</si>
  <si>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</si>
  <si>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</si>
  <si>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</si>
  <si>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</si>
  <si>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</si>
  <si>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</si>
  <si>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</si>
  <si>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</si>
  <si>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</si>
  <si>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</si>
  <si>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</si>
  <si>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</si>
  <si>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</si>
  <si>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</si>
  <si>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</si>
  <si>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</si>
  <si>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</si>
  <si>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</si>
  <si>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</si>
  <si>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</si>
  <si>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</si>
  <si>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</si>
  <si>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</si>
  <si>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</si>
  <si>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</si>
  <si>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</si>
  <si>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</si>
  <si>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</si>
  <si>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</si>
  <si>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</si>
  <si>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</si>
  <si>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</si>
  <si>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</si>
  <si>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</si>
  <si>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</si>
  <si>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</si>
  <si>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</si>
  <si>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</si>
  <si>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</si>
  <si>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</si>
  <si>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</si>
  <si>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</si>
  <si>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</si>
  <si>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</si>
  <si>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</si>
  <si>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</si>
  <si>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</si>
  <si>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</si>
  <si>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</si>
  <si>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</si>
  <si>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</si>
  <si>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</si>
  <si>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</si>
  <si>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</si>
  <si>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</si>
  <si>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</si>
  <si>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</si>
  <si>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</si>
  <si>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</si>
  <si>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</si>
  <si>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</si>
  <si>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</si>
  <si>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</si>
  <si>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</si>
  <si>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</si>
  <si>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</si>
  <si>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</si>
  <si>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</si>
  <si>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</si>
  <si>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</si>
  <si>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</si>
  <si>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</si>
  <si>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</si>
  <si>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</si>
  <si>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</si>
  <si>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</si>
  <si>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</si>
  <si>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</si>
  <si>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</si>
  <si>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</si>
  <si>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</si>
  <si>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</si>
  <si>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</si>
  <si>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</si>
  <si>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</si>
  <si>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</si>
  <si>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</si>
  <si>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</si>
  <si>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</si>
  <si>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</si>
  <si>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</si>
  <si>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</si>
  <si>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</si>
  <si>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</si>
  <si>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</si>
  <si>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</si>
  <si>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</si>
  <si>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</si>
  <si>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</si>
  <si>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</si>
  <si>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</si>
  <si>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</si>
  <si>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</si>
  <si>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</si>
  <si>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</si>
  <si>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</si>
  <si>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</si>
  <si>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</si>
  <si>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</si>
  <si>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</si>
  <si>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</si>
  <si>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</si>
  <si>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</si>
  <si>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</si>
  <si>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</si>
  <si>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</si>
  <si>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</si>
  <si>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</si>
  <si>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</si>
  <si>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</si>
  <si>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</si>
  <si>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</si>
  <si>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</si>
  <si>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</si>
  <si>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</si>
  <si>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</si>
  <si>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</si>
  <si>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</si>
  <si>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</si>
  <si>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</si>
  <si>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</si>
  <si>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</si>
  <si>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</si>
  <si>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</si>
  <si>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</si>
  <si>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</si>
  <si>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</si>
  <si>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</si>
  <si>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</si>
  <si>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</si>
  <si>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</si>
  <si>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</si>
  <si>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</si>
  <si>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</si>
  <si>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</si>
  <si>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</si>
  <si>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</si>
  <si>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</si>
  <si>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</si>
  <si>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</si>
  <si>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</si>
  <si>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</si>
  <si>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</si>
  <si>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</si>
  <si>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</si>
  <si>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</si>
  <si>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</si>
  <si>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</si>
  <si>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</si>
  <si>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</si>
  <si>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</si>
  <si>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</si>
  <si>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</si>
  <si>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</si>
  <si>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</si>
  <si>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</si>
  <si>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</si>
  <si>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</si>
  <si>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</si>
  <si>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</si>
  <si>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</si>
  <si>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</si>
  <si>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</si>
  <si>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</si>
  <si>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</si>
  <si>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</si>
  <si>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</si>
  <si>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</si>
  <si>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</si>
  <si>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</si>
  <si>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</si>
  <si>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</si>
  <si>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</si>
  <si>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</si>
  <si>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</si>
  <si>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</si>
  <si>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</si>
  <si>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</si>
  <si>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</si>
  <si>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</si>
  <si>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</si>
  <si>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</si>
  <si>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</si>
  <si>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</si>
  <si>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</si>
  <si>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</si>
  <si>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</si>
  <si>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</si>
  <si>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</si>
  <si>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</si>
  <si>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</si>
  <si>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</si>
  <si>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</si>
  <si>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</si>
  <si>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</si>
  <si>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</si>
  <si>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</si>
  <si>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</si>
  <si>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</si>
  <si>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</si>
  <si>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</si>
  <si>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</si>
  <si>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</si>
  <si>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</si>
  <si>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</si>
  <si>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</si>
  <si>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</si>
  <si>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</si>
  <si>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</si>
  <si>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</si>
  <si>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</si>
  <si>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</si>
  <si>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</si>
  <si>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</si>
  <si>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</si>
  <si>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</si>
  <si>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</si>
  <si>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</si>
  <si>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</si>
  <si>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</si>
  <si>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</si>
  <si>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</si>
  <si>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</si>
  <si>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</si>
  <si>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</si>
  <si>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</si>
  <si>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</si>
  <si>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</si>
  <si>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</si>
  <si>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</si>
  <si>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</si>
  <si>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</si>
  <si>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</si>
  <si>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</si>
  <si>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</si>
  <si>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</si>
  <si>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</si>
  <si>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</si>
  <si>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</si>
  <si>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</si>
  <si>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</si>
  <si>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</si>
  <si>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</si>
  <si>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</si>
  <si>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</si>
  <si>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</si>
  <si>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</si>
  <si>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</si>
  <si>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</si>
  <si>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</si>
  <si>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</si>
  <si>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</si>
  <si>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</si>
  <si>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</si>
  <si>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</si>
  <si>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</si>
  <si>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</si>
  <si>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</si>
  <si>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</si>
  <si>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</si>
  <si>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</si>
  <si>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</si>
  <si>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</si>
  <si>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</si>
  <si>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</si>
  <si>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</si>
  <si>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</si>
  <si>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</si>
  <si>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</si>
  <si>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</si>
  <si>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</si>
  <si>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</si>
  <si>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</si>
  <si>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</si>
  <si>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</si>
  <si>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</si>
  <si>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</si>
  <si>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</si>
  <si>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</si>
  <si>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</si>
  <si>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</si>
  <si>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</si>
  <si>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</si>
  <si>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</si>
  <si>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</si>
  <si>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</si>
  <si>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</si>
  <si>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</si>
  <si>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</si>
  <si>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</si>
  <si>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</si>
  <si>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</si>
  <si>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</si>
  <si>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</si>
  <si>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</si>
  <si>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</si>
  <si>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</si>
  <si>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</si>
  <si>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</si>
  <si>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</si>
  <si>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</si>
  <si>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</si>
  <si>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</si>
  <si>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</si>
  <si>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</si>
  <si>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</si>
  <si>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</si>
  <si>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</si>
  <si>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</si>
  <si>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</si>
  <si>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</si>
  <si>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</si>
  <si>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</si>
  <si>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</si>
  <si>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</si>
  <si>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</si>
  <si>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</si>
  <si>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</si>
  <si>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</si>
  <si>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</si>
  <si>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</si>
  <si>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</si>
  <si>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</si>
  <si>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</si>
  <si>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</si>
  <si>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</si>
  <si>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</si>
  <si>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</si>
  <si>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</si>
  <si>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</si>
  <si>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</si>
  <si>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</si>
  <si>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</si>
  <si>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</si>
  <si>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</si>
  <si>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</si>
  <si>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</si>
  <si>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</si>
  <si>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</si>
  <si>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</si>
  <si>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</si>
  <si>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</si>
  <si>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</si>
  <si>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</si>
  <si>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</si>
  <si>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</si>
  <si>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</si>
  <si>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</si>
  <si>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</si>
  <si>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</si>
  <si>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</si>
  <si>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</si>
  <si>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</si>
  <si>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</si>
  <si>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</si>
  <si>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</si>
  <si>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</si>
  <si>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</si>
  <si>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</si>
  <si>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</si>
  <si>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</si>
  <si>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</si>
  <si>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</si>
  <si>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</si>
  <si>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</si>
  <si>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</si>
  <si>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</si>
  <si>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</si>
  <si>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</si>
  <si>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</si>
  <si>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</si>
  <si>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</si>
  <si>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</si>
  <si>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</si>
  <si>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</si>
  <si>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</si>
  <si>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</si>
  <si>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</si>
  <si>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</si>
  <si>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</si>
  <si>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</si>
  <si>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</si>
  <si>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</si>
  <si>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</si>
  <si>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</si>
  <si>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</si>
  <si>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</si>
  <si>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</si>
  <si>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</si>
  <si>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</si>
  <si>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</si>
  <si>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</si>
  <si>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</si>
  <si>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</si>
  <si>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</si>
  <si>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</si>
  <si>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</si>
  <si>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</si>
  <si>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</si>
  <si>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</si>
  <si>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</si>
  <si>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</si>
  <si>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</si>
  <si>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</si>
  <si>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</si>
  <si>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</si>
  <si>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</si>
  <si>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</si>
  <si>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</si>
  <si>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</si>
  <si>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</si>
  <si>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</si>
  <si>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</si>
  <si>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</si>
  <si>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</si>
  <si>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</si>
  <si>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</si>
  <si>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</si>
  <si>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</si>
  <si>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</si>
  <si>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</si>
  <si>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</si>
  <si>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</si>
  <si>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</si>
  <si>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</si>
  <si>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</si>
  <si>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</si>
  <si>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</si>
  <si>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</si>
  <si>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</si>
  <si>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</si>
  <si>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</si>
  <si>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</si>
  <si>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</si>
  <si>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</si>
  <si>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</si>
  <si>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</si>
  <si>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</si>
  <si>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</si>
  <si>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</si>
  <si>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</si>
  <si>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</si>
  <si>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</si>
  <si>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</si>
  <si>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</si>
  <si>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</si>
  <si>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</si>
  <si>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</si>
  <si>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</si>
  <si>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</si>
  <si>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</si>
  <si>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</si>
  <si>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</si>
  <si>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</si>
  <si>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</si>
  <si>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</si>
  <si>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</si>
  <si>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</si>
  <si>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</si>
  <si>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</si>
  <si>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</si>
  <si>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</si>
  <si>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</si>
  <si>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</si>
  <si>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</si>
  <si>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</si>
  <si>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</si>
  <si>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</si>
  <si>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</si>
  <si>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</si>
  <si>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</si>
  <si>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</si>
  <si>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</si>
  <si>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</si>
  <si>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</si>
  <si>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</si>
  <si>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</si>
  <si>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</si>
  <si>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</si>
  <si>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</si>
  <si>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</si>
  <si>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</si>
  <si>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</si>
  <si>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</si>
  <si>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</si>
  <si>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</si>
  <si>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</si>
  <si>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</si>
  <si>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</si>
  <si>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</si>
  <si>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</si>
  <si>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</si>
  <si>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</si>
  <si>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</si>
  <si>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</si>
  <si>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</si>
  <si>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</si>
  <si>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</si>
  <si>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</si>
  <si>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</si>
  <si>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</si>
  <si>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</si>
  <si>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</si>
  <si>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</si>
  <si>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</si>
  <si>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</si>
  <si>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</si>
  <si>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</si>
  <si>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</si>
  <si>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</si>
  <si>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</si>
  <si>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</si>
  <si>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</si>
  <si>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</si>
  <si>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</si>
  <si>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</si>
  <si>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</si>
  <si>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</si>
  <si>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</si>
  <si>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</si>
  <si>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</si>
  <si>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</si>
  <si>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</si>
  <si>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</si>
  <si>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</si>
  <si>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</si>
  <si>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</si>
  <si>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</si>
  <si>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</si>
  <si>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</si>
  <si>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</si>
  <si>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</si>
  <si>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</si>
  <si>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</si>
  <si>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</si>
  <si>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</si>
  <si>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</si>
  <si>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</si>
  <si>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</si>
  <si>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</si>
  <si>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</si>
  <si>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</si>
  <si>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</si>
  <si>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</si>
  <si>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</si>
  <si>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</si>
  <si>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</si>
  <si>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</si>
  <si>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</si>
  <si>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</si>
  <si>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</si>
  <si>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</si>
  <si>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</si>
  <si>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</si>
  <si>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</si>
  <si>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</si>
  <si>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</si>
  <si>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</si>
  <si>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</si>
  <si>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</si>
  <si>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</si>
  <si>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</si>
  <si>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</si>
  <si>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</si>
  <si>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</si>
  <si>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</si>
  <si>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</si>
  <si>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</si>
  <si>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</si>
  <si>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</si>
  <si>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</si>
  <si>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</si>
  <si>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</si>
  <si>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</si>
  <si>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</si>
  <si>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</si>
  <si>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</si>
  <si>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</si>
  <si>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</si>
  <si>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</si>
  <si>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</si>
  <si>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</si>
  <si>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</si>
  <si>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</si>
  <si>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</si>
  <si>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</si>
  <si>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</si>
  <si>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</si>
  <si>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</si>
  <si>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</si>
  <si>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</si>
  <si>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</si>
  <si>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</si>
  <si>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</si>
  <si>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</si>
  <si>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</si>
  <si>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</si>
  <si>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</si>
  <si>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</si>
  <si>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</si>
  <si>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</si>
  <si>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</si>
  <si>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</si>
  <si>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</si>
  <si>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</si>
  <si>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</si>
  <si>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</si>
  <si>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</si>
  <si>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</si>
  <si>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</si>
  <si>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</si>
  <si>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</si>
  <si>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</si>
  <si>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</si>
  <si>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</si>
  <si>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</si>
  <si>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</si>
  <si>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</si>
  <si>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</si>
  <si>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</si>
  <si>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</si>
  <si>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</si>
  <si>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</si>
  <si>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</si>
  <si>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</si>
  <si>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</si>
  <si>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</si>
  <si>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</si>
  <si>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</si>
  <si>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</si>
  <si>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</si>
  <si>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</si>
  <si>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</si>
  <si>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</si>
  <si>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</si>
  <si>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</si>
  <si>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</si>
  <si>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</si>
  <si>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</si>
  <si>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</si>
  <si>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</si>
  <si>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</si>
  <si>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</si>
  <si>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</si>
  <si>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</si>
  <si>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</si>
  <si>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</si>
  <si>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</si>
  <si>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</si>
  <si>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</si>
  <si>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</si>
  <si>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</si>
  <si>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</si>
  <si>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</si>
  <si>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</si>
  <si>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</si>
  <si>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</si>
  <si>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</si>
  <si>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</si>
  <si>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</si>
  <si>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</si>
  <si>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</si>
  <si>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</si>
  <si>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</si>
  <si>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</si>
  <si>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</si>
  <si>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</si>
  <si>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</si>
  <si>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</si>
  <si>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</si>
  <si>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</si>
  <si>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</si>
  <si>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</si>
  <si>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</si>
  <si>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</si>
  <si>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</si>
  <si>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</si>
  <si>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</si>
  <si>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</si>
  <si>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</si>
  <si>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</si>
  <si>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</si>
  <si>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</si>
  <si>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</si>
  <si>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</si>
  <si>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</si>
  <si>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</si>
  <si>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</si>
  <si>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</si>
  <si>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</si>
  <si>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</si>
  <si>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</si>
  <si>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</si>
  <si>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</si>
  <si>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</si>
  <si>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</si>
  <si>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</si>
  <si>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</si>
  <si>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</si>
  <si>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</si>
  <si>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</si>
  <si>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</si>
  <si>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</si>
  <si>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</si>
  <si>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</si>
  <si>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</si>
  <si>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</si>
  <si>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</si>
  <si>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</si>
  <si>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</si>
  <si>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</si>
  <si>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</si>
  <si>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</si>
  <si>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</si>
  <si>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</si>
  <si>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</si>
  <si>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</si>
  <si>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</si>
  <si>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</si>
  <si>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</si>
  <si>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</si>
  <si>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</si>
  <si>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</si>
  <si>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</si>
  <si>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</si>
  <si>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</si>
  <si>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</si>
  <si>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</si>
  <si>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</si>
  <si>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</si>
  <si>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</si>
  <si>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</si>
  <si>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</si>
  <si>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</si>
  <si>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</si>
  <si>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</si>
  <si>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</si>
  <si>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</si>
  <si>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</si>
  <si>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</si>
  <si>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</si>
  <si>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</si>
  <si>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</si>
  <si>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</si>
  <si>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</si>
  <si>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</si>
  <si>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</si>
  <si>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</si>
  <si>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</si>
  <si>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</si>
  <si>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</si>
  <si>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</si>
  <si>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</si>
  <si>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</si>
  <si>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</si>
  <si>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</si>
  <si>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</si>
  <si>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</si>
  <si>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</si>
  <si>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</si>
  <si>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</si>
  <si>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</si>
  <si>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</si>
  <si>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</si>
  <si>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</si>
  <si>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</si>
  <si>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</si>
  <si>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</si>
  <si>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</si>
  <si>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</si>
  <si>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</si>
  <si>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</si>
  <si>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</si>
  <si>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</si>
  <si>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</si>
  <si>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</si>
  <si>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</si>
  <si>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</si>
  <si>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</si>
  <si>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</si>
  <si>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</si>
  <si>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</si>
  <si>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</si>
  <si>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</si>
  <si>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</si>
  <si>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</si>
  <si>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</si>
  <si>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</si>
  <si>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</si>
  <si>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</si>
  <si>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</si>
  <si>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</si>
  <si>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</si>
  <si>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</si>
  <si>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</si>
  <si>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</si>
  <si>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</si>
  <si>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</si>
  <si>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</si>
  <si>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</si>
  <si>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</si>
  <si>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</si>
  <si>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</si>
  <si>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</si>
  <si>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</si>
  <si>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</si>
  <si>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</si>
  <si>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</si>
  <si>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</si>
  <si>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</si>
  <si>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</si>
  <si>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</si>
  <si>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</si>
  <si>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</si>
  <si>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</si>
  <si>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</si>
  <si>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</si>
  <si>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</si>
  <si>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</si>
  <si>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</si>
  <si>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</si>
  <si>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</si>
  <si>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</si>
  <si>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</si>
  <si>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</si>
  <si>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</si>
  <si>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</si>
  <si>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</si>
  <si>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</si>
  <si>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</si>
  <si>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</si>
  <si>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</si>
  <si>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</si>
  <si>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</si>
  <si>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</si>
  <si>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</si>
  <si>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</si>
  <si>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</si>
  <si>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</si>
  <si>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</si>
  <si>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</si>
  <si>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</si>
  <si>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</si>
  <si>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</si>
  <si>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</si>
  <si>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</si>
  <si>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</si>
  <si>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</si>
  <si>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</si>
  <si>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</si>
  <si>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</si>
  <si>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</si>
  <si>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</si>
  <si>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</si>
  <si>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</si>
  <si>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</si>
  <si>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</si>
  <si>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</si>
  <si>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</si>
  <si>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</si>
  <si>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</si>
  <si>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</si>
  <si>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</si>
  <si>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</si>
  <si>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</si>
  <si>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</si>
  <si>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</si>
  <si>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</si>
  <si>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</si>
  <si>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</si>
  <si>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</si>
  <si>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</si>
  <si>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</si>
  <si>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</si>
  <si>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</si>
  <si>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</si>
  <si>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</si>
  <si>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</si>
  <si>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</si>
  <si>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</si>
  <si>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</si>
  <si>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</si>
  <si>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</si>
  <si>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</si>
  <si>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</si>
  <si>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</si>
  <si>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</si>
  <si>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</si>
  <si>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</si>
  <si>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</si>
  <si>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</si>
  <si>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</si>
  <si>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</si>
  <si>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</si>
  <si>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</si>
  <si>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</si>
  <si>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</si>
  <si>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</si>
  <si>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</si>
  <si>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</si>
  <si>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</si>
  <si>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</si>
  <si>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</si>
  <si>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</si>
  <si>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</si>
  <si>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</si>
  <si>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</si>
  <si>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</si>
  <si>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</si>
  <si>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</si>
  <si>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</si>
  <si>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</si>
  <si>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</si>
  <si>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</si>
  <si>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</si>
  <si>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</si>
  <si>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</si>
  <si>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</si>
  <si>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</si>
  <si>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</si>
  <si>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</si>
  <si>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</si>
  <si>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</si>
  <si>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</si>
  <si>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</si>
  <si>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</si>
  <si>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</si>
  <si>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</si>
  <si>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</si>
  <si>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</si>
  <si>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</si>
  <si>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</si>
  <si>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</si>
  <si>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</si>
  <si>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</si>
  <si>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</si>
  <si>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</si>
  <si>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</si>
  <si>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</si>
  <si>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</si>
  <si>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</si>
  <si>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</si>
  <si>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</si>
  <si>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</si>
  <si>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</si>
  <si>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</si>
  <si>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</si>
  <si>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</si>
  <si>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</si>
  <si>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</si>
  <si>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</si>
  <si>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</si>
  <si>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</si>
  <si>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</si>
  <si>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</si>
  <si>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</si>
  <si>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</si>
  <si>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</si>
  <si>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</si>
  <si>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</si>
  <si>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</si>
  <si>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</si>
  <si>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</si>
  <si>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</si>
  <si>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</si>
  <si>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</si>
  <si>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</si>
  <si>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</si>
  <si>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</si>
  <si>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</si>
  <si>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</si>
  <si>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</si>
  <si>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</si>
  <si>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</si>
  <si>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</si>
  <si>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</si>
  <si>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</si>
  <si>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</si>
  <si>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</si>
  <si>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</si>
  <si>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</si>
  <si>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</si>
  <si>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</si>
  <si>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</si>
  <si>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</si>
  <si>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</si>
  <si>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</si>
  <si>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</si>
  <si>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</si>
  <si>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</si>
  <si>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</si>
  <si>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</si>
  <si>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</si>
  <si>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</si>
  <si>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</si>
  <si>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</si>
  <si>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</si>
  <si>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</si>
  <si>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</si>
  <si>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</si>
  <si>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</si>
  <si>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</si>
  <si>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</si>
  <si>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</si>
  <si>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</si>
  <si>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</si>
  <si>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</si>
  <si>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</si>
  <si>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</si>
  <si>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</si>
  <si>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</si>
  <si>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</si>
  <si>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</si>
  <si>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</si>
  <si>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</si>
  <si>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</si>
  <si>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</si>
  <si>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</si>
  <si>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</si>
  <si>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</si>
  <si>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</si>
  <si>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</si>
  <si>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</si>
  <si>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</si>
  <si>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</si>
  <si>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</si>
  <si>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</si>
  <si>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</si>
  <si>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</si>
  <si>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</si>
  <si>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</si>
  <si>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</si>
  <si>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</si>
  <si>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</si>
  <si>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</si>
  <si>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</si>
  <si>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</si>
  <si>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</si>
  <si>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</si>
  <si>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</si>
  <si>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</si>
  <si>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</si>
  <si>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</si>
  <si>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</si>
  <si>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</si>
  <si>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</si>
  <si>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</si>
  <si>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</si>
  <si>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</si>
  <si>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</si>
  <si>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</si>
  <si>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</si>
  <si>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</si>
  <si>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</si>
  <si>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</si>
  <si>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</si>
  <si>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</si>
  <si>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</si>
  <si>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</si>
  <si>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</si>
  <si>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</si>
  <si>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</si>
  <si>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</si>
  <si>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</si>
  <si>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</si>
  <si>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</si>
  <si>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</si>
  <si>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</si>
  <si>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</si>
  <si>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</si>
  <si>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</si>
  <si>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</si>
  <si>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</si>
  <si>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</si>
  <si>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</si>
  <si>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</si>
  <si>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</si>
  <si>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</si>
  <si>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</si>
  <si>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</si>
  <si>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</si>
  <si>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</si>
  <si>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</si>
  <si>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</si>
  <si>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</si>
  <si>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</si>
  <si>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</si>
  <si>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</si>
  <si>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</si>
  <si>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</si>
  <si>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</si>
  <si>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</si>
  <si>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</si>
  <si>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</si>
  <si>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</si>
  <si>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</si>
  <si>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</si>
  <si>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</si>
  <si>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</si>
  <si>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</si>
  <si>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</si>
  <si>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</si>
  <si>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</si>
  <si>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</si>
  <si>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</si>
  <si>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</si>
  <si>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</si>
  <si>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</si>
  <si>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</si>
  <si>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</si>
  <si>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</si>
  <si>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</si>
  <si>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</si>
  <si>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</si>
  <si>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</si>
  <si>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</si>
  <si>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</si>
  <si>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</si>
  <si>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</si>
  <si>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</si>
  <si>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</si>
  <si>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</si>
  <si>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</si>
  <si>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</si>
  <si>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</si>
  <si>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</si>
  <si>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</si>
  <si>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</si>
  <si>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</si>
  <si>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</si>
  <si>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</si>
  <si>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</si>
  <si>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</si>
  <si>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</si>
  <si>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</si>
  <si>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</si>
  <si>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</si>
  <si>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</si>
  <si>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</si>
  <si>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</si>
  <si>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</si>
  <si>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</si>
  <si>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</si>
  <si>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</si>
  <si>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</si>
  <si>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</si>
  <si>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</si>
  <si>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</si>
  <si>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</si>
  <si>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</si>
  <si>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</si>
  <si>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</si>
  <si>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</si>
  <si>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</si>
  <si>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</si>
  <si>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</si>
  <si>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</si>
  <si>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</si>
  <si>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</si>
  <si>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</si>
  <si>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</si>
  <si>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</si>
  <si>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</si>
  <si>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</si>
  <si>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</si>
  <si>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</si>
  <si>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</si>
  <si>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</si>
  <si>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</si>
  <si>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</si>
  <si>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</si>
  <si>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</si>
  <si>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</si>
  <si>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</si>
  <si>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</si>
  <si>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</si>
  <si>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</si>
  <si>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</si>
  <si>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</si>
  <si>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</si>
  <si>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</si>
  <si>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</si>
  <si>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</si>
  <si>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</si>
  <si>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</si>
  <si>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</si>
  <si>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</si>
  <si>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</si>
  <si>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</si>
  <si>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</si>
  <si>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</si>
  <si>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</si>
  <si>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</si>
  <si>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</si>
  <si>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</si>
  <si>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</si>
  <si>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</si>
  <si>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</si>
  <si>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</si>
  <si>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</si>
  <si>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</si>
  <si>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</si>
  <si>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</si>
  <si>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</si>
  <si>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</si>
  <si>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</si>
  <si>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</si>
  <si>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</si>
  <si>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</si>
  <si>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</si>
  <si>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</si>
  <si>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</si>
  <si>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</si>
  <si>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</si>
  <si>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</si>
  <si>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</si>
  <si>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</si>
  <si>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</si>
  <si>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</si>
  <si>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</si>
  <si>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</si>
  <si>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</si>
  <si>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</si>
  <si>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</si>
  <si>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</si>
  <si>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</si>
  <si>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</si>
  <si>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</si>
  <si>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</si>
  <si>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</si>
  <si>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</si>
  <si>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</si>
  <si>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</si>
  <si>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</si>
  <si>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</si>
  <si>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</si>
  <si>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</si>
  <si>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</si>
  <si>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</si>
  <si>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</si>
  <si>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</si>
  <si>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</si>
  <si>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</si>
  <si>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</si>
  <si>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</si>
  <si>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</si>
  <si>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</si>
  <si>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</si>
  <si>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</si>
  <si>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</si>
  <si>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</si>
  <si>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</si>
  <si>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</si>
  <si>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</si>
  <si>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</si>
  <si>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</si>
  <si>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</si>
  <si>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</si>
  <si>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</si>
  <si>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</si>
  <si>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</si>
  <si>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</si>
  <si>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</si>
  <si>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</si>
  <si>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</si>
  <si>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</si>
  <si>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</si>
  <si>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</si>
  <si>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</si>
  <si>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</si>
  <si>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</si>
  <si>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</si>
  <si>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</si>
  <si>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</si>
  <si>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</si>
  <si>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</si>
  <si>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</si>
  <si>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</si>
  <si>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</si>
  <si>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</si>
  <si>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</si>
  <si>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</si>
  <si>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</si>
  <si>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</si>
  <si>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</si>
  <si>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</si>
  <si>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</si>
  <si>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</si>
  <si>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</si>
  <si>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</si>
  <si>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</si>
  <si>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</si>
  <si>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</si>
  <si>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</si>
  <si>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</si>
  <si>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</si>
  <si>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</si>
  <si>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</si>
  <si>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</si>
  <si>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</si>
  <si>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</si>
  <si>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</si>
  <si>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</si>
  <si>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</si>
  <si>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</si>
  <si>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</si>
  <si>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</si>
  <si>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</si>
  <si>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</si>
  <si>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</si>
  <si>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</si>
  <si>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</si>
  <si>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</si>
  <si>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</si>
  <si>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</si>
  <si>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</si>
  <si>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</si>
  <si>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</si>
  <si>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</si>
  <si>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</si>
  <si>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</si>
  <si>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</si>
  <si>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</si>
  <si>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</si>
  <si>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</si>
  <si>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</si>
  <si>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</si>
  <si>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</si>
  <si>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</si>
  <si>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</si>
  <si>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</si>
  <si>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</si>
  <si>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</si>
  <si>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</si>
  <si>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</si>
  <si>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</si>
  <si>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</si>
  <si>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</si>
  <si>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</si>
  <si>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</si>
  <si>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</si>
  <si>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</si>
  <si>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</si>
  <si>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</si>
  <si>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</si>
  <si>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</si>
  <si>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</si>
  <si>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</si>
  <si>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</si>
  <si>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</si>
  <si>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</si>
  <si>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</si>
  <si>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</si>
  <si>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</si>
  <si>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</si>
  <si>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</si>
  <si>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</si>
  <si>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</si>
  <si>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</si>
  <si>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</si>
  <si>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</si>
  <si>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</si>
  <si>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</si>
  <si>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</si>
  <si>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</si>
  <si>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</si>
  <si>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</si>
  <si>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</si>
  <si>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</si>
  <si>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</si>
  <si>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</si>
  <si>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</si>
  <si>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</si>
  <si>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</si>
  <si>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</si>
  <si>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</si>
  <si>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</si>
  <si>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</si>
  <si>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</si>
  <si>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</si>
  <si>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</si>
  <si>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</si>
  <si>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</si>
  <si>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</si>
  <si>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</si>
  <si>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</si>
  <si>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</si>
  <si>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</si>
  <si>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</si>
  <si>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</si>
  <si>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</si>
  <si>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</si>
  <si>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</si>
  <si>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</si>
  <si>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</si>
  <si>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</si>
  <si>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</si>
  <si>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</si>
  <si>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</si>
  <si>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</si>
  <si>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</si>
  <si>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</si>
  <si>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</si>
  <si>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</si>
  <si>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</si>
  <si>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</si>
  <si>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</si>
  <si>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</si>
  <si>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</si>
  <si>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</si>
  <si>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</si>
  <si>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</si>
  <si>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</si>
  <si>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</si>
  <si>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</si>
  <si>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</si>
  <si>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</si>
  <si>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</si>
  <si>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</si>
  <si>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</si>
  <si>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</si>
  <si>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</si>
  <si>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</si>
  <si>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</si>
  <si>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</si>
  <si>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</si>
  <si>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</si>
  <si>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</si>
  <si>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</si>
  <si>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</si>
  <si>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</si>
  <si>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</si>
  <si>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</si>
  <si>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</si>
  <si>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</si>
  <si>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</si>
  <si>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</si>
  <si>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</si>
  <si>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</si>
  <si>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</si>
  <si>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</si>
  <si>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</si>
  <si>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</si>
  <si>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</si>
  <si>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</si>
  <si>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</si>
  <si>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</si>
  <si>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</si>
  <si>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</si>
  <si>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</si>
  <si>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</si>
  <si>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</si>
  <si>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</si>
  <si>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</si>
  <si>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</si>
  <si>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</si>
  <si>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</si>
  <si>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</si>
  <si>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</si>
  <si>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</si>
  <si>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</si>
  <si>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</si>
  <si>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</si>
  <si>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</si>
  <si>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</si>
  <si>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</si>
  <si>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</si>
  <si>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</si>
  <si>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</si>
  <si>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</si>
  <si>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</si>
  <si>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</si>
  <si>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</si>
  <si>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</si>
  <si>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</si>
  <si>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</si>
  <si>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</si>
  <si>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</si>
  <si>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</si>
  <si>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</si>
  <si>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</si>
  <si>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</si>
  <si>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</si>
  <si>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</si>
  <si>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</si>
  <si>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</si>
  <si>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</si>
  <si>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</si>
  <si>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</si>
  <si>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</si>
  <si>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</si>
  <si>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</si>
  <si>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</si>
  <si>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</si>
  <si>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</si>
  <si>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</si>
  <si>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</si>
  <si>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</si>
  <si>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</si>
  <si>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</si>
  <si>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</si>
  <si>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</si>
  <si>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</si>
  <si>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</si>
  <si>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</si>
  <si>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</si>
  <si>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</si>
  <si>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</si>
  <si>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</si>
  <si>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</si>
  <si>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</si>
  <si>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</si>
  <si>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</si>
  <si>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</si>
  <si>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</si>
  <si>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</si>
  <si>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</si>
  <si>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</si>
  <si>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</si>
  <si>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</si>
  <si>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</si>
  <si>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</si>
  <si>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</si>
  <si>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</si>
  <si>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</si>
  <si>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</si>
  <si>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</si>
  <si>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</si>
  <si>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</si>
  <si>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</si>
  <si>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</si>
  <si>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</si>
  <si>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</si>
  <si>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</si>
  <si>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</si>
  <si>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</si>
  <si>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</si>
  <si>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</si>
  <si>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</si>
  <si>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</si>
  <si>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</si>
  <si>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</si>
  <si>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</si>
  <si>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</si>
  <si>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</si>
  <si>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</si>
  <si>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</si>
  <si>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</si>
  <si>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</si>
  <si>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</si>
  <si>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</si>
  <si>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</si>
  <si>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</si>
  <si>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</si>
  <si>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</si>
  <si>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</si>
  <si>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</si>
  <si>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</si>
  <si>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</si>
  <si>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</si>
  <si>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</si>
  <si>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</si>
  <si>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</si>
  <si>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</si>
  <si>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</si>
  <si>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</si>
  <si>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</si>
  <si>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</si>
  <si>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</si>
  <si>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</si>
  <si>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</si>
  <si>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</si>
  <si>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</si>
  <si>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</si>
  <si>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</si>
  <si>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</si>
  <si>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</si>
  <si>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</si>
  <si>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</si>
  <si>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</si>
  <si>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</si>
  <si>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</si>
  <si>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</si>
  <si>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</si>
  <si>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</si>
  <si>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</si>
  <si>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</si>
  <si>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</si>
  <si>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</si>
  <si>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</si>
  <si>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</si>
  <si>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</si>
  <si>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</si>
  <si>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</si>
  <si>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</si>
  <si>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</si>
  <si>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</si>
  <si>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</si>
  <si>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</si>
  <si>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</si>
  <si>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</si>
  <si>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</si>
  <si>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</si>
  <si>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</si>
  <si>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</si>
  <si>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</si>
  <si>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</si>
  <si>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</si>
  <si>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</si>
  <si>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</si>
  <si>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</si>
  <si>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</si>
  <si>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</si>
  <si>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</si>
  <si>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</si>
  <si>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</si>
  <si>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</si>
  <si>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</si>
  <si>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</si>
  <si>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</si>
  <si>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</si>
  <si>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</si>
  <si>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</si>
  <si>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</si>
  <si>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</si>
  <si>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</si>
  <si>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</si>
  <si>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</si>
  <si>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</si>
  <si>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</si>
  <si>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</si>
  <si>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</si>
  <si>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</si>
  <si>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</si>
  <si>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</si>
  <si>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</si>
  <si>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</si>
  <si>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</si>
  <si>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</si>
  <si>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</si>
  <si>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</si>
  <si>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</si>
  <si>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</si>
  <si>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</si>
  <si>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</si>
  <si>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</si>
  <si>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</si>
  <si>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</si>
  <si>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</si>
  <si>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</si>
  <si>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</si>
  <si>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</si>
  <si>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</si>
  <si>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</si>
  <si>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</si>
  <si>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</si>
  <si>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</si>
  <si>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</si>
  <si>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</si>
  <si>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</si>
  <si>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</si>
  <si>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</si>
  <si>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</si>
  <si>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</si>
  <si>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</si>
  <si>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</si>
  <si>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</si>
  <si>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</si>
  <si>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</si>
  <si>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</si>
  <si>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</si>
  <si>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</si>
  <si>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</si>
  <si>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</si>
  <si>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</si>
  <si>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</si>
  <si>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</si>
  <si>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</si>
  <si>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</si>
  <si>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</si>
  <si>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</si>
  <si>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</si>
  <si>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</si>
  <si>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</si>
  <si>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</si>
  <si>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</si>
  <si>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</si>
  <si>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</si>
  <si>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</si>
  <si>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</si>
  <si>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</si>
  <si>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</si>
  <si>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</si>
  <si>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</si>
  <si>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</si>
  <si>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</si>
  <si>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</si>
  <si>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</si>
  <si>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</si>
  <si>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</si>
  <si>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</si>
  <si>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</si>
  <si>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</si>
  <si>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</si>
  <si>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</si>
  <si>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</si>
  <si>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</si>
  <si>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</si>
  <si>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</si>
  <si>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</si>
  <si>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</si>
  <si>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</si>
  <si>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</si>
  <si>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</si>
  <si>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</si>
  <si>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</si>
  <si>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</si>
  <si>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</si>
  <si>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</si>
  <si>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</si>
  <si>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</si>
  <si>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</si>
  <si>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</si>
  <si>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</si>
  <si>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</si>
  <si>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</si>
  <si>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</si>
  <si>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</si>
  <si>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</si>
  <si>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</si>
  <si>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</si>
  <si>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</si>
  <si>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</si>
  <si>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</si>
  <si>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</si>
  <si>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</si>
  <si>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</si>
  <si>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</si>
  <si>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</si>
  <si>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</si>
  <si>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</si>
  <si>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</si>
  <si>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</si>
  <si>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</si>
  <si>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</si>
  <si>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</si>
  <si>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</si>
  <si>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</si>
  <si>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</si>
  <si>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</si>
  <si>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</si>
  <si>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</si>
  <si>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</si>
  <si>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</si>
  <si>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</si>
  <si>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</si>
  <si>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</si>
  <si>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</si>
  <si>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</si>
  <si>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</si>
  <si>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</si>
  <si>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</si>
  <si>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</si>
  <si>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</si>
  <si>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</si>
  <si>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</si>
  <si>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</si>
  <si>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</si>
  <si>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</si>
  <si>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</si>
  <si>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</si>
  <si>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</si>
  <si>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</si>
  <si>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</si>
  <si>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</si>
  <si>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</si>
  <si>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</si>
  <si>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</si>
  <si>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</si>
  <si>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</si>
  <si>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</si>
  <si>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</si>
  <si>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</si>
  <si>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</si>
  <si>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</si>
  <si>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</si>
  <si>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</si>
  <si>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</si>
  <si>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</si>
  <si>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</si>
  <si>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</si>
  <si>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</si>
  <si>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</si>
  <si>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</si>
  <si>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</si>
  <si>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</si>
  <si>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</si>
  <si>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</si>
  <si>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</si>
  <si>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</si>
  <si>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</si>
  <si>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</si>
  <si>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</si>
  <si>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</si>
  <si>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</si>
  <si>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</si>
  <si>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</si>
  <si>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</si>
  <si>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</si>
  <si>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</si>
  <si>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</si>
  <si>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</si>
  <si>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</si>
  <si>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</si>
  <si>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</si>
  <si>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</si>
  <si>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</si>
  <si>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</si>
  <si>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</si>
  <si>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</si>
  <si>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</si>
  <si>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</si>
  <si>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</si>
  <si>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</si>
  <si>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</si>
  <si>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</si>
  <si>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</si>
  <si>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</si>
  <si>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</si>
  <si>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</si>
  <si>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</si>
  <si>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</si>
  <si>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</si>
  <si>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</si>
  <si>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</si>
  <si>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</si>
  <si>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</si>
  <si>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</si>
  <si>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</si>
  <si>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</si>
  <si>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</si>
  <si>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</si>
  <si>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</si>
  <si>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</si>
  <si>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</si>
  <si>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</si>
  <si>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</si>
  <si>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</si>
  <si>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</si>
  <si>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</si>
  <si>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</si>
  <si>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</si>
  <si>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</si>
  <si>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</si>
  <si>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</si>
  <si>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</si>
  <si>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</si>
  <si>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</si>
  <si>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</si>
  <si>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</si>
  <si>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</si>
  <si>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</si>
  <si>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</si>
  <si>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</si>
  <si>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</si>
  <si>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</si>
  <si>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</si>
  <si>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</si>
  <si>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</si>
  <si>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</si>
  <si>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</si>
  <si>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</si>
  <si>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</si>
  <si>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</si>
  <si>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</si>
  <si>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</si>
  <si>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</si>
  <si>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</si>
  <si>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</si>
  <si>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</si>
  <si>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</si>
  <si>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</si>
  <si>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</si>
  <si>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</si>
  <si>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</si>
  <si>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</si>
  <si>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</si>
  <si>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</si>
  <si>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</si>
  <si>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</si>
  <si>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</si>
  <si>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</si>
  <si>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</si>
  <si>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</si>
  <si>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</si>
  <si>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</si>
  <si>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</si>
  <si>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</si>
  <si>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</si>
  <si>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</si>
  <si>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</si>
  <si>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</si>
  <si>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</si>
  <si>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</si>
  <si>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</si>
  <si>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</si>
  <si>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</si>
  <si>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</si>
  <si>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</si>
  <si>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</si>
  <si>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</si>
  <si>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</si>
  <si>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</si>
  <si>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</si>
  <si>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</si>
  <si>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</si>
  <si>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</si>
  <si>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</si>
  <si>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</si>
  <si>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</si>
  <si>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</si>
  <si>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</si>
  <si>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</si>
  <si>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</si>
  <si>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</si>
  <si>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</si>
  <si>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</si>
  <si>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</si>
  <si>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</si>
  <si>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</si>
  <si>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</si>
  <si>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</si>
  <si>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</si>
  <si>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</si>
  <si>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</si>
  <si>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</si>
  <si>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</si>
  <si>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</si>
  <si>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</si>
  <si>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</si>
  <si>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</si>
  <si>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</si>
  <si>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</si>
  <si>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</si>
  <si>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</si>
  <si>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</si>
  <si>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</si>
  <si>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</si>
  <si>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</si>
  <si>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</si>
  <si>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</si>
  <si>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</si>
  <si>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</si>
  <si>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</si>
  <si>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</si>
  <si>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</si>
  <si>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</si>
  <si>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</si>
  <si>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</si>
  <si>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</si>
  <si>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</si>
  <si>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</si>
  <si>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</si>
  <si>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</si>
  <si>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</si>
  <si>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</si>
  <si>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</si>
  <si>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</si>
  <si>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</si>
  <si>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</si>
  <si>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</si>
  <si>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</si>
  <si>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</si>
  <si>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</si>
  <si>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</si>
  <si>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</si>
  <si>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</si>
  <si>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</si>
  <si>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</si>
  <si>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</si>
  <si>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</si>
  <si>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</si>
  <si>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</si>
  <si>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</si>
  <si>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</si>
  <si>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</si>
  <si>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</si>
  <si>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</si>
  <si>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</si>
  <si>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</si>
  <si>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</si>
  <si>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</si>
  <si>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</si>
  <si>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</si>
  <si>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</si>
  <si>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</si>
  <si>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</si>
  <si>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</si>
  <si>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</si>
  <si>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</si>
  <si>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</si>
  <si>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</si>
  <si>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</si>
  <si>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</si>
  <si>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</si>
  <si>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</si>
  <si>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</si>
  <si>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</si>
  <si>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</si>
  <si>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</si>
  <si>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</si>
  <si>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</si>
  <si>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</si>
  <si>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</si>
  <si>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</si>
  <si>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</si>
  <si>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</si>
  <si>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</si>
  <si>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</si>
  <si>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</si>
  <si>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</si>
  <si>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</si>
  <si>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</si>
  <si>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</si>
  <si>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</si>
  <si>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</si>
  <si>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</si>
  <si>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</si>
  <si>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</si>
  <si>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</si>
  <si>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</si>
  <si>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</si>
  <si>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</si>
  <si>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</si>
  <si>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</si>
  <si>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</si>
  <si>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</si>
  <si>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</si>
  <si>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</si>
  <si>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</si>
  <si>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</si>
  <si>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</si>
  <si>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</si>
  <si>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</si>
  <si>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</si>
  <si>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</si>
  <si>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</si>
  <si>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</si>
  <si>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</si>
  <si>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</si>
  <si>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</si>
  <si>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</si>
  <si>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</si>
  <si>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</si>
  <si>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</si>
  <si>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</si>
  <si>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</si>
  <si>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</si>
  <si>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</si>
  <si>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</si>
  <si>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</si>
  <si>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</si>
  <si>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</si>
  <si>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</si>
  <si>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</si>
  <si>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</si>
  <si>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</si>
  <si>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</si>
  <si>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</si>
  <si>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</si>
  <si>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</si>
  <si>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</si>
  <si>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</si>
  <si>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</si>
  <si>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</si>
  <si>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</si>
  <si>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</si>
  <si>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</si>
  <si>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</si>
  <si>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</si>
  <si>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</si>
  <si>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</si>
  <si>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</si>
  <si>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</si>
  <si>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</si>
  <si>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</si>
  <si>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</si>
  <si>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</si>
  <si>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</si>
  <si>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</si>
  <si>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</si>
  <si>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</si>
  <si>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</si>
  <si>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</si>
  <si>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</si>
  <si>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</si>
  <si>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</si>
  <si>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</si>
  <si>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</si>
  <si>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</si>
  <si>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</si>
  <si>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</si>
  <si>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</si>
  <si>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</si>
  <si>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</si>
  <si>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</si>
  <si>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</si>
  <si>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</si>
  <si>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</si>
  <si>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</si>
  <si>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</si>
  <si>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</si>
  <si>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</si>
  <si>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</si>
  <si>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</si>
  <si>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</si>
  <si>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</si>
  <si>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</si>
  <si>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</si>
  <si>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</si>
  <si>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</si>
  <si>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</si>
  <si>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</si>
  <si>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</si>
  <si>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</si>
  <si>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</si>
  <si>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</si>
  <si>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</si>
  <si>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</si>
  <si>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</si>
  <si>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</si>
  <si>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</si>
  <si>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</si>
  <si>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</si>
  <si>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</si>
  <si>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</si>
  <si>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</si>
  <si>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</si>
  <si>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</si>
  <si>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</si>
  <si>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</si>
  <si>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</si>
  <si>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</si>
  <si>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</si>
  <si>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</si>
  <si>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</si>
  <si>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</si>
  <si>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</si>
  <si>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</si>
  <si>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</si>
  <si>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</si>
  <si>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</si>
  <si>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</si>
  <si>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</si>
  <si>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</si>
  <si>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</si>
  <si>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</si>
  <si>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</si>
  <si>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</si>
  <si>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</si>
  <si>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</si>
  <si>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</si>
  <si>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</si>
  <si>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</si>
  <si>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</si>
  <si>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</si>
  <si>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</si>
  <si>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</si>
  <si>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</si>
  <si>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</si>
  <si>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</si>
  <si>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</si>
  <si>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</si>
  <si>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</si>
  <si>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</si>
  <si>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</si>
  <si>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</si>
  <si>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</si>
  <si>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</si>
  <si>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</si>
  <si>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</si>
  <si>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</si>
  <si>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</si>
  <si>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</si>
  <si>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</si>
  <si>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</si>
  <si>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</si>
  <si>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</si>
  <si>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</si>
  <si>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</si>
  <si>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</si>
  <si>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</si>
  <si>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</si>
  <si>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</si>
  <si>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</si>
  <si>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</si>
  <si>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</si>
  <si>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</si>
  <si>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</si>
  <si>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</si>
  <si>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</si>
  <si>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</si>
  <si>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</si>
  <si>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</si>
  <si>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</si>
  <si>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</si>
  <si>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</si>
  <si>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</si>
  <si>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</si>
  <si>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</si>
  <si>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</si>
  <si>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</si>
  <si>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</si>
  <si>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</si>
  <si>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</si>
  <si>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</si>
  <si>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</si>
  <si>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</si>
  <si>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</si>
  <si>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</si>
  <si>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</si>
  <si>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</si>
  <si>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</si>
  <si>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</si>
  <si>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</si>
  <si>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</si>
  <si>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</si>
  <si>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</si>
  <si>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</si>
  <si>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</si>
  <si>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</si>
  <si>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</si>
  <si>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</si>
  <si>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</si>
  <si>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</si>
  <si>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</si>
  <si>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</si>
  <si>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</si>
  <si>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</si>
  <si>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</si>
  <si>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</si>
  <si>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</si>
  <si>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</si>
  <si>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</si>
  <si>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</si>
  <si>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</si>
  <si>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</si>
  <si>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</si>
  <si>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</si>
  <si>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</si>
  <si>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</si>
  <si>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</si>
  <si>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</si>
  <si>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</si>
  <si>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</si>
  <si>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</si>
  <si>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</si>
  <si>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</si>
  <si>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</si>
  <si>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</si>
  <si>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</si>
  <si>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</si>
  <si>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</si>
  <si>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</si>
  <si>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</si>
  <si>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</si>
  <si>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</si>
  <si>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</si>
  <si>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</si>
  <si>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</si>
  <si>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</si>
  <si>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</si>
  <si>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</si>
  <si>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</si>
  <si>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</si>
  <si>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</si>
  <si>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</si>
  <si>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</si>
  <si>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</si>
  <si>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</si>
  <si>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</si>
  <si>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</si>
  <si>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</si>
  <si>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</si>
  <si>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</si>
  <si>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</si>
  <si>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</si>
  <si>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</si>
  <si>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</si>
  <si>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</si>
  <si>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</si>
  <si>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</si>
  <si>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</si>
  <si>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</si>
  <si>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</si>
  <si>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</si>
  <si>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</si>
  <si>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</si>
  <si>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</si>
  <si>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</si>
  <si>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</si>
  <si>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</si>
  <si>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</si>
  <si>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</si>
  <si>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</si>
  <si>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</si>
  <si>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</si>
  <si>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</si>
  <si>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</si>
  <si>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</si>
  <si>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</si>
  <si>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</si>
  <si>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</si>
  <si>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</si>
  <si>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</si>
  <si>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</si>
  <si>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</si>
  <si>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</si>
  <si>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</si>
  <si>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</si>
  <si>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</si>
  <si>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</si>
  <si>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</si>
  <si>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</si>
  <si>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</si>
  <si>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</si>
  <si>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</si>
  <si>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</si>
  <si>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</si>
  <si>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</si>
  <si>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</si>
  <si>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</si>
  <si>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</si>
  <si>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</si>
  <si>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</si>
  <si>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</si>
  <si>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</si>
  <si>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</si>
  <si>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</si>
  <si>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</si>
  <si>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</si>
  <si>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</si>
  <si>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</si>
  <si>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</si>
  <si>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</si>
  <si>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</si>
  <si>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</si>
  <si>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</si>
  <si>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</si>
  <si>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</si>
  <si>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</si>
  <si>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</si>
  <si>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</si>
  <si>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</si>
  <si>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</si>
  <si>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</si>
  <si>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</si>
  <si>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</si>
  <si>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</si>
  <si>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</si>
  <si>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</si>
  <si>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</si>
  <si>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</si>
  <si>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</si>
  <si>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</si>
  <si>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</si>
  <si>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</si>
  <si>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</si>
  <si>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</si>
  <si>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</si>
  <si>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</si>
  <si>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</si>
  <si>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</si>
  <si>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</si>
  <si>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</si>
  <si>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</si>
  <si>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</si>
  <si>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</si>
  <si>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</si>
  <si>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</si>
  <si>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</si>
  <si>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</si>
  <si>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</si>
  <si>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</si>
  <si>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</si>
  <si>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</si>
  <si>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</si>
  <si>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</si>
  <si>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</si>
  <si>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</si>
  <si>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</si>
  <si>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</si>
  <si>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</si>
  <si>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</si>
  <si>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</si>
  <si>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</si>
  <si>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</si>
  <si>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</si>
  <si>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</si>
  <si>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</si>
  <si>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</si>
  <si>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</si>
  <si>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</si>
  <si>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</si>
  <si>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</si>
  <si>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</si>
  <si>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</si>
  <si>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</si>
  <si>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</si>
  <si>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</si>
  <si>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</si>
  <si>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</si>
  <si>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</si>
  <si>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</si>
  <si>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</si>
  <si>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</si>
  <si>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</si>
  <si>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</si>
  <si>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</si>
  <si>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</si>
  <si>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</si>
  <si>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</si>
  <si>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</si>
  <si>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</si>
  <si>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</si>
  <si>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</si>
  <si>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</si>
  <si>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</si>
  <si>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</si>
  <si>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</si>
  <si>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</si>
  <si>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</si>
  <si>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</si>
  <si>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</si>
  <si>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</si>
  <si>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</si>
  <si>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</si>
  <si>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</si>
  <si>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</si>
  <si>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</si>
  <si>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</si>
  <si>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</si>
  <si>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</si>
  <si>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</si>
  <si>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</si>
  <si>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</si>
  <si>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</si>
  <si>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</si>
  <si>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</si>
  <si>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</si>
  <si>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</si>
  <si>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</si>
  <si>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</si>
  <si>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</si>
  <si>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</si>
  <si>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</si>
  <si>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</si>
  <si>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</si>
  <si>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</si>
  <si>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</si>
  <si>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</si>
  <si>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</si>
  <si>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</si>
  <si>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</si>
  <si>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</si>
  <si>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</si>
  <si>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</si>
  <si>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</si>
  <si>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</si>
  <si>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</si>
  <si>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</si>
  <si>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</si>
  <si>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</si>
  <si>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</si>
  <si>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</si>
  <si>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</si>
  <si>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</si>
  <si>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</si>
  <si>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</si>
  <si>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</si>
  <si>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</si>
  <si>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</si>
  <si>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</si>
  <si>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</si>
  <si>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</si>
  <si>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</si>
  <si>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</si>
  <si>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</si>
  <si>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</si>
  <si>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</si>
  <si>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</si>
  <si>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</si>
  <si>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</si>
  <si>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</si>
  <si>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</si>
  <si>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</si>
  <si>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</si>
  <si>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</si>
  <si>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</si>
  <si>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</si>
  <si>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</si>
  <si>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</si>
  <si>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</si>
  <si>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</si>
  <si>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</si>
  <si>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</si>
  <si>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</si>
  <si>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</si>
  <si>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</si>
  <si>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</si>
  <si>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</si>
  <si>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</si>
  <si>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</si>
  <si>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</si>
  <si>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</si>
  <si>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</si>
  <si>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</si>
  <si>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</si>
  <si>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</si>
  <si>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</si>
  <si>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</si>
  <si>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</si>
  <si>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</si>
  <si>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</si>
  <si>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</si>
  <si>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</si>
  <si>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</si>
  <si>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</si>
  <si>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</si>
  <si>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</si>
  <si>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</si>
  <si>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</si>
  <si>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</si>
  <si>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</si>
  <si>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</si>
  <si>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</si>
  <si>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</si>
  <si>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</si>
  <si>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</si>
  <si>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</si>
  <si>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</si>
  <si>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</si>
  <si>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</si>
  <si>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</si>
  <si>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</si>
  <si>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</si>
  <si>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</si>
  <si>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</si>
  <si>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</si>
  <si>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</si>
  <si>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</si>
  <si>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</si>
  <si>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</si>
  <si>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</si>
  <si>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</si>
  <si>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</si>
  <si>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</si>
  <si>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</si>
  <si>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</si>
  <si>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</si>
  <si>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</si>
  <si>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</si>
  <si>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</si>
  <si>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</si>
  <si>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</si>
  <si>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</si>
  <si>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</si>
  <si>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</si>
  <si>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</si>
  <si>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</si>
  <si>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</si>
  <si>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</si>
  <si>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</si>
  <si>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</si>
  <si>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</si>
  <si>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</si>
  <si>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</si>
  <si>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</si>
  <si>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</si>
  <si>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</si>
  <si>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</si>
  <si>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</si>
  <si>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</si>
  <si>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</si>
  <si>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</si>
  <si>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</si>
  <si>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</si>
  <si>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</si>
  <si>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</si>
  <si>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</si>
  <si>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</si>
  <si>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</si>
  <si>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</si>
  <si>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</si>
  <si>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</si>
  <si>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</si>
  <si>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</si>
  <si>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</si>
  <si>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</si>
  <si>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</si>
  <si>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</si>
  <si>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</si>
  <si>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</si>
  <si>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</si>
  <si>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</si>
  <si>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</si>
  <si>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</si>
  <si>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</si>
  <si>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</si>
  <si>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</si>
  <si>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</si>
  <si>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</si>
  <si>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</si>
  <si>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</si>
  <si>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</si>
  <si>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</si>
  <si>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</si>
  <si>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</si>
  <si>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</si>
  <si>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</si>
  <si>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</si>
  <si>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</si>
  <si>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</si>
  <si>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</si>
  <si>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</si>
  <si>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</si>
  <si>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</si>
  <si>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</si>
  <si>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</si>
  <si>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</si>
  <si>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</si>
  <si>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</si>
  <si>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</si>
  <si>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</si>
  <si>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</si>
  <si>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</si>
  <si>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</si>
  <si>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</si>
  <si>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</si>
  <si>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</si>
  <si>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</si>
  <si>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</si>
  <si>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</si>
  <si>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</si>
  <si>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</si>
  <si>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</si>
  <si>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</si>
  <si>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</si>
  <si>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</si>
  <si>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</si>
  <si>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</si>
  <si>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</si>
  <si>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</si>
  <si>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</si>
  <si>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</si>
  <si>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</si>
  <si>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</si>
  <si>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</si>
  <si>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</si>
  <si>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</si>
  <si>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</si>
  <si>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</si>
  <si>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</si>
  <si>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</si>
  <si>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</si>
  <si>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</si>
  <si>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</si>
  <si>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</si>
  <si>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</si>
  <si>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</si>
  <si>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</si>
  <si>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</si>
  <si>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</si>
  <si>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</si>
  <si>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</si>
  <si>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</si>
  <si>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</si>
  <si>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</si>
  <si>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</si>
  <si>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</si>
  <si>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</si>
  <si>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</si>
  <si>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</si>
  <si>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</si>
  <si>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</si>
  <si>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</si>
  <si>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</si>
  <si>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</si>
  <si>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</si>
  <si>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</si>
  <si>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</si>
  <si>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</si>
  <si>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</si>
  <si>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</si>
  <si>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</si>
  <si>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</si>
  <si>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</si>
  <si>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</si>
  <si>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</si>
  <si>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</si>
  <si>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</si>
  <si>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</si>
  <si>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</si>
  <si>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</si>
  <si>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</si>
  <si>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</si>
  <si>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</si>
  <si>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</si>
  <si>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</si>
  <si>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</si>
  <si>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</si>
  <si>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</si>
  <si>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</si>
  <si>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</si>
  <si>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</si>
  <si>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</si>
  <si>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</si>
  <si>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</si>
  <si>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</si>
  <si>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</si>
  <si>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</si>
  <si>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</si>
  <si>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</si>
  <si>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</si>
  <si>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</si>
  <si>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</si>
  <si>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</si>
  <si>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</si>
  <si>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</si>
  <si>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</si>
  <si>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</si>
  <si>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</si>
  <si>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</si>
  <si>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</si>
  <si>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</si>
  <si>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</si>
  <si>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</si>
  <si>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</si>
  <si>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</si>
  <si>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</si>
  <si>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</si>
  <si>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</si>
  <si>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</si>
  <si>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</si>
  <si>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</si>
  <si>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</si>
  <si>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</si>
  <si>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</si>
  <si>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</si>
  <si>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</si>
  <si>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</si>
  <si>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</si>
  <si>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</si>
  <si>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</si>
  <si>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</si>
  <si>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</si>
  <si>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</si>
  <si>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</si>
  <si>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</si>
  <si>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</si>
  <si>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</si>
  <si>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</si>
  <si>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</si>
  <si>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</si>
  <si>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</si>
  <si>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</si>
  <si>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</si>
  <si>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</si>
  <si>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</si>
  <si>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</si>
  <si>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</si>
  <si>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</si>
  <si>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</si>
  <si>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</si>
  <si>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</si>
  <si>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</si>
  <si>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</si>
  <si>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</si>
  <si>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</si>
  <si>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</si>
  <si>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</si>
  <si>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</si>
  <si>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</si>
  <si>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</si>
  <si>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</si>
  <si>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</si>
  <si>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</si>
  <si>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</si>
  <si>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</si>
  <si>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</si>
  <si>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</si>
  <si>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</si>
  <si>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</si>
  <si>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</si>
  <si>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</si>
  <si>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</si>
  <si>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</si>
  <si>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</si>
  <si>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</si>
  <si>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</si>
  <si>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</si>
  <si>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</si>
  <si>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</si>
  <si>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</si>
  <si>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</si>
  <si>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</si>
  <si>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</si>
  <si>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</si>
  <si>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</si>
  <si>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</si>
  <si>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</si>
  <si>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</si>
  <si>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</si>
  <si>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</si>
  <si>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</si>
  <si>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</si>
  <si>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</si>
  <si>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</si>
  <si>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</si>
  <si>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</si>
  <si>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</si>
  <si>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</si>
  <si>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</si>
  <si>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</si>
  <si>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</si>
  <si>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</si>
  <si>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</si>
  <si>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</si>
  <si>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</si>
  <si>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</si>
  <si>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</si>
  <si>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</si>
  <si>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</si>
  <si>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</si>
  <si>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</si>
  <si>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</si>
  <si>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</si>
  <si>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</si>
  <si>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</si>
  <si>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</si>
  <si>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</si>
  <si>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</si>
  <si>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</si>
  <si>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</si>
  <si>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</si>
  <si>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</si>
  <si>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</si>
  <si>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</si>
  <si>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</si>
  <si>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</si>
  <si>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</si>
  <si>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</si>
  <si>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</si>
  <si>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</si>
  <si>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</si>
  <si>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</si>
  <si>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</si>
  <si>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</si>
  <si>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</si>
  <si>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</si>
  <si>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</si>
  <si>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</si>
  <si>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</si>
  <si>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</si>
  <si>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</si>
  <si>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</si>
  <si>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</si>
  <si>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</si>
  <si>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</si>
  <si>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</si>
  <si>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</si>
  <si>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</si>
  <si>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</si>
  <si>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</si>
  <si>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</si>
  <si>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</si>
  <si>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</si>
  <si>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</si>
  <si>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</si>
  <si>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</si>
  <si>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</si>
  <si>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</si>
  <si>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</si>
  <si>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</si>
  <si>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</si>
  <si>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</si>
  <si>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</si>
  <si>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</si>
  <si>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</si>
  <si>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</si>
  <si>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</si>
  <si>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</si>
  <si>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</si>
  <si>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</si>
  <si>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</si>
  <si>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</si>
  <si>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</si>
  <si>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</si>
  <si>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</si>
  <si>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</si>
  <si>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</si>
  <si>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</si>
  <si>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</si>
  <si>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</si>
  <si>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</si>
  <si>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</si>
  <si>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</si>
  <si>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</si>
  <si>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</si>
  <si>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</si>
  <si>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</si>
  <si>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</si>
  <si>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</si>
  <si>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</si>
  <si>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</si>
  <si>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</si>
  <si>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</si>
  <si>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</si>
  <si>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</si>
  <si>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</si>
  <si>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</si>
  <si>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</si>
  <si>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</si>
  <si>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</si>
  <si>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</si>
  <si>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</si>
  <si>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</si>
  <si>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</si>
  <si>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</si>
  <si>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</si>
  <si>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</si>
  <si>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</si>
  <si>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</si>
  <si>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</si>
  <si>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</si>
  <si>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</si>
  <si>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</si>
  <si>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</si>
  <si>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</si>
  <si>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</si>
  <si>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</si>
  <si>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</si>
  <si>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</si>
  <si>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</si>
  <si>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</si>
  <si>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</si>
  <si>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</si>
  <si>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</si>
  <si>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</si>
  <si>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</si>
  <si>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</si>
  <si>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</si>
  <si>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</si>
  <si>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</si>
  <si>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</si>
  <si>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</si>
  <si>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</si>
  <si>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</si>
  <si>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</si>
  <si>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</si>
  <si>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</si>
  <si>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</si>
  <si>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</si>
  <si>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</si>
  <si>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</si>
  <si>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</si>
  <si>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</si>
  <si>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</si>
  <si>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</si>
  <si>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</si>
  <si>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</si>
  <si>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</si>
  <si>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</si>
  <si>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</si>
  <si>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</si>
  <si>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</si>
  <si>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</si>
  <si>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</si>
  <si>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</si>
  <si>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</si>
  <si>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</si>
  <si>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</si>
  <si>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</si>
  <si>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</si>
  <si>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</si>
  <si>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</si>
  <si>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</si>
  <si>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</si>
  <si>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</si>
  <si>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</si>
  <si>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</si>
  <si>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</si>
  <si>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</si>
  <si>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</si>
  <si>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</si>
  <si>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</si>
  <si>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</si>
  <si>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</si>
  <si>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</si>
  <si>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</si>
  <si>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</si>
  <si>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</si>
  <si>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</si>
  <si>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</si>
  <si>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</si>
  <si>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</si>
  <si>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</si>
  <si>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</si>
  <si>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</si>
  <si>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</si>
  <si>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</si>
  <si>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</si>
  <si>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</si>
  <si>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</si>
  <si>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</si>
  <si>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</si>
  <si>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</si>
  <si>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</si>
  <si>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</si>
  <si>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</si>
  <si>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</si>
  <si>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</si>
  <si>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</si>
  <si>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</si>
  <si>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</si>
  <si>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</si>
  <si>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</si>
  <si>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</si>
  <si>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</si>
  <si>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</si>
  <si>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</si>
  <si>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</si>
  <si>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</si>
  <si>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</si>
  <si>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</si>
  <si>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</si>
  <si>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</si>
  <si>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</si>
  <si>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</si>
  <si>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</si>
  <si>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</si>
  <si>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</si>
  <si>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</si>
  <si>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</si>
  <si>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</si>
  <si>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</si>
  <si>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</si>
  <si>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</si>
  <si>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</si>
  <si>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</si>
  <si>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</si>
  <si>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</si>
  <si>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</si>
  <si>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</si>
  <si>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</si>
  <si>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</si>
  <si>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</si>
  <si>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</si>
  <si>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</si>
  <si>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</si>
  <si>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</si>
  <si>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</si>
  <si>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</si>
  <si>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</si>
  <si>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</si>
  <si>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</si>
  <si>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</si>
  <si>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</si>
  <si>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</si>
  <si>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</si>
  <si>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</si>
  <si>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</si>
  <si>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</si>
  <si>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</si>
  <si>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</si>
  <si>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</si>
  <si>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</si>
  <si>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</si>
  <si>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</si>
  <si>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</si>
  <si>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</si>
  <si>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</si>
  <si>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</si>
  <si>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</si>
  <si>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</si>
  <si>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</si>
  <si>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</si>
  <si>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</si>
  <si>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</si>
  <si>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</si>
  <si>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</si>
  <si>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</si>
  <si>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</si>
  <si>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</si>
  <si>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</si>
  <si>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</si>
  <si>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</si>
  <si>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</si>
  <si>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</si>
  <si>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</si>
  <si>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</si>
  <si>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</si>
  <si>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</si>
  <si>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</si>
  <si>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</si>
  <si>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</si>
  <si>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</si>
  <si>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</si>
  <si>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</si>
  <si>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</si>
  <si>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</si>
  <si>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</si>
  <si>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</si>
  <si>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</si>
  <si>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</si>
  <si>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</si>
  <si>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</si>
  <si>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</si>
  <si>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</si>
  <si>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</si>
  <si>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</si>
  <si>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</si>
  <si>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</si>
  <si>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</si>
  <si>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</si>
  <si>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</si>
  <si>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</si>
  <si>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</si>
  <si>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</si>
  <si>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</si>
  <si>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</si>
  <si>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</si>
  <si>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</si>
  <si>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</si>
  <si>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</si>
  <si>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</si>
  <si>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</si>
  <si>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</si>
  <si>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</si>
  <si>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</si>
  <si>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</si>
  <si>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</si>
  <si>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</si>
  <si>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</si>
  <si>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</si>
  <si>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</si>
  <si>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</si>
  <si>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</si>
  <si>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</si>
  <si>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</si>
  <si>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</si>
  <si>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</si>
  <si>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</si>
  <si>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</si>
  <si>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</si>
  <si>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</si>
  <si>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</si>
  <si>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</si>
  <si>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</si>
  <si>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</si>
  <si>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</si>
  <si>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</si>
  <si>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</si>
  <si>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</si>
  <si>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</si>
  <si>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</si>
  <si>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</si>
  <si>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</si>
  <si>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</si>
  <si>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</si>
  <si>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</si>
  <si>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</si>
  <si>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</si>
  <si>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</si>
  <si>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</si>
  <si>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</si>
  <si>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</si>
  <si>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</si>
  <si>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</si>
  <si>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</si>
  <si>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</si>
  <si>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</si>
  <si>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</si>
  <si>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</si>
  <si>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</si>
  <si>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</si>
  <si>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</si>
  <si>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</si>
  <si>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</si>
  <si>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</si>
  <si>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</si>
  <si>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</si>
  <si>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</si>
  <si>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</si>
  <si>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</si>
  <si>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</si>
  <si>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</si>
  <si>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</si>
  <si>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</si>
  <si>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</si>
  <si>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</si>
  <si>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</si>
  <si>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</si>
  <si>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</si>
  <si>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</si>
  <si>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</si>
  <si>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</si>
  <si>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</si>
  <si>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</si>
  <si>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</si>
  <si>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</si>
  <si>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</si>
  <si>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</si>
  <si>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</si>
  <si>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</si>
  <si>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</si>
  <si>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</si>
  <si>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</si>
  <si>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</si>
  <si>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</si>
  <si>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</si>
  <si>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</si>
  <si>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</si>
  <si>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</si>
  <si>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</si>
  <si>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</si>
  <si>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</si>
  <si>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</si>
  <si>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</si>
  <si>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</si>
  <si>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</si>
  <si>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</si>
  <si>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</si>
  <si>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</si>
  <si>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</si>
  <si>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</si>
  <si>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</si>
  <si>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</si>
  <si>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</si>
  <si>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</si>
  <si>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</si>
  <si>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</si>
  <si>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</si>
  <si>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</si>
  <si>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</si>
  <si>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</si>
  <si>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</si>
  <si>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</si>
  <si>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</si>
  <si>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</si>
  <si>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</si>
  <si>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</si>
  <si>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</si>
  <si>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</si>
  <si>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</si>
  <si>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</si>
  <si>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</si>
  <si>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</si>
  <si>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</si>
  <si>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</si>
  <si>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</si>
  <si>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</si>
  <si>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</si>
  <si>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</si>
  <si>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</si>
  <si>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</si>
  <si>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</si>
  <si>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</si>
  <si>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</si>
  <si>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</si>
  <si>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</si>
  <si>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</si>
  <si>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</si>
  <si>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</si>
  <si>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</si>
  <si>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</si>
  <si>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</si>
  <si>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</si>
  <si>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</si>
  <si>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</si>
  <si>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</si>
  <si>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</si>
  <si>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</si>
  <si>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</si>
  <si>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</si>
  <si>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</si>
  <si>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</si>
  <si>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</si>
  <si>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</si>
  <si>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</si>
  <si>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</si>
  <si>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</si>
  <si>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</si>
  <si>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</si>
  <si>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</si>
  <si>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</si>
  <si>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</si>
  <si>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</si>
  <si>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</si>
  <si>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</si>
  <si>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</si>
  <si>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</si>
  <si>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</si>
  <si>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</si>
  <si>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</si>
  <si>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</si>
  <si>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</si>
  <si>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</si>
  <si>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</si>
  <si>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</si>
  <si>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</si>
  <si>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</si>
  <si>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</si>
  <si>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</si>
  <si>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</si>
  <si>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</si>
  <si>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</si>
  <si>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</si>
  <si>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</si>
  <si>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</si>
  <si>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</si>
  <si>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</si>
  <si>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</si>
  <si>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</si>
  <si>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</si>
  <si>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</si>
  <si>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</si>
  <si>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</si>
  <si>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</si>
  <si>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</si>
  <si>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</si>
  <si>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</si>
  <si>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</si>
  <si>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</si>
  <si>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</si>
  <si>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</si>
  <si>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</si>
  <si>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</si>
  <si>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</si>
  <si>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</si>
  <si>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</si>
  <si>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</si>
  <si>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</si>
  <si>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</si>
  <si>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</si>
  <si>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</si>
  <si>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</si>
  <si>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</si>
  <si>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</si>
  <si>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</si>
  <si>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</si>
  <si>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</si>
  <si>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</si>
  <si>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</si>
  <si>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</si>
  <si>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</si>
  <si>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</si>
  <si>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</si>
  <si>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</si>
  <si>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</si>
  <si>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</si>
  <si>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</si>
  <si>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</si>
  <si>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</si>
  <si>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</si>
  <si>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</si>
  <si>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</si>
  <si>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</si>
  <si>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</si>
  <si>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</si>
  <si>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</si>
  <si>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</si>
  <si>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</si>
  <si>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</si>
  <si>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</si>
  <si>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</si>
  <si>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</si>
  <si>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</si>
  <si>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</si>
  <si>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</si>
  <si>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</si>
  <si>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</si>
  <si>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</si>
  <si>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</si>
  <si>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</si>
  <si>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</si>
  <si>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</si>
  <si>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</si>
  <si>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</si>
  <si>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</si>
  <si>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</si>
  <si>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</si>
  <si>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</si>
  <si>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</si>
  <si>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</si>
  <si>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</si>
  <si>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</si>
  <si>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</si>
  <si>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</si>
  <si>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</si>
  <si>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</si>
  <si>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</si>
  <si>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</si>
  <si>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</si>
  <si>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</si>
  <si>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</si>
  <si>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</si>
  <si>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</si>
  <si>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</si>
  <si>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</si>
  <si>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</si>
  <si>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</si>
  <si>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</si>
  <si>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</si>
  <si>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</si>
  <si>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</si>
  <si>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</si>
  <si>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</si>
  <si>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</si>
  <si>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</si>
  <si>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</si>
  <si>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</si>
  <si>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</si>
  <si>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</si>
  <si>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</si>
  <si>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</si>
  <si>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</si>
  <si>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</si>
  <si>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</si>
  <si>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</si>
  <si>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</si>
  <si>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</si>
  <si>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</si>
  <si>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</si>
  <si>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</si>
  <si>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</si>
  <si>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</si>
  <si>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</si>
  <si>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</si>
  <si>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</si>
  <si>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</si>
  <si>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</si>
  <si>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</si>
  <si>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</si>
  <si>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</si>
  <si>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</si>
  <si>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</si>
  <si>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</si>
  <si>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</si>
  <si>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</si>
  <si>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</si>
  <si>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</si>
  <si>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</si>
  <si>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</si>
  <si>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</si>
  <si>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</si>
  <si>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</si>
  <si>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</si>
  <si>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</si>
  <si>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</si>
  <si>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</si>
  <si>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</si>
  <si>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</si>
  <si>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</si>
  <si>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</si>
  <si>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</si>
  <si>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</si>
  <si>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</si>
  <si>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</si>
  <si>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</si>
  <si>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</si>
  <si>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</si>
  <si>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</si>
  <si>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</si>
  <si>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</si>
  <si>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</si>
  <si>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</si>
  <si>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</si>
  <si>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</si>
  <si>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</si>
  <si>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</si>
  <si>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</si>
  <si>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</si>
  <si>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</si>
  <si>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</si>
  <si>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</si>
  <si>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</si>
  <si>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</si>
  <si>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</si>
  <si>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</si>
  <si>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</si>
  <si>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</si>
  <si>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</si>
  <si>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</si>
  <si>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</si>
  <si>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</si>
  <si>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</si>
  <si>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</si>
  <si>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</si>
  <si>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</si>
  <si>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</si>
  <si>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</si>
  <si>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</si>
  <si>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</si>
  <si>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</si>
  <si>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</si>
  <si>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</si>
  <si>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</si>
  <si>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</si>
  <si>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</si>
  <si>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</si>
  <si>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</si>
  <si>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</si>
  <si>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</si>
  <si>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</si>
  <si>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</si>
  <si>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</si>
  <si>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</si>
  <si>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</si>
  <si>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</si>
  <si>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</si>
  <si>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</si>
  <si>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</si>
  <si>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</si>
  <si>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</si>
  <si>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</si>
  <si>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</si>
  <si>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</si>
  <si>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</si>
  <si>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</si>
  <si>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</si>
  <si>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</si>
  <si>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</si>
  <si>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</si>
  <si>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</si>
  <si>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</si>
  <si>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</si>
  <si>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</si>
  <si>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</si>
  <si>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</si>
  <si>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</si>
  <si>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</si>
  <si>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</si>
  <si>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</si>
  <si>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</si>
  <si>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</si>
  <si>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</si>
  <si>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</si>
  <si>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</si>
  <si>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</si>
  <si>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</si>
  <si>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</si>
  <si>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</si>
  <si>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</si>
  <si>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</si>
  <si>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</si>
  <si>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</si>
  <si>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</si>
  <si>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</si>
  <si>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</si>
  <si>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</si>
  <si>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</si>
  <si>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</si>
  <si>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</si>
  <si>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</si>
  <si>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</si>
  <si>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</si>
  <si>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</si>
  <si>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</si>
  <si>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</si>
  <si>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</si>
  <si>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</si>
  <si>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</si>
  <si>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</si>
  <si>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</si>
  <si>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</si>
  <si>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</si>
  <si>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</si>
  <si>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</si>
  <si>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</si>
  <si>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</si>
  <si>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</si>
  <si>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</si>
  <si>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</si>
  <si>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</si>
  <si>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</si>
  <si>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</si>
  <si>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</si>
  <si>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</si>
  <si>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</si>
  <si>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</si>
  <si>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</si>
  <si>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</si>
  <si>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</si>
  <si>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</si>
  <si>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</si>
  <si>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</si>
  <si>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</si>
  <si>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</si>
  <si>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</si>
  <si>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</si>
  <si>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</si>
  <si>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</si>
  <si>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</si>
  <si>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</si>
  <si>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</si>
  <si>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</si>
  <si>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</si>
  <si>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</si>
  <si>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</si>
  <si>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</si>
  <si>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</si>
  <si>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</si>
  <si>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</si>
  <si>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</si>
  <si>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</si>
  <si>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</si>
  <si>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</si>
  <si>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</si>
  <si>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</si>
  <si>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</si>
  <si>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</si>
  <si>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</si>
  <si>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</si>
  <si>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</si>
  <si>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</si>
  <si>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</si>
  <si>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</si>
  <si>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</si>
  <si>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</si>
  <si>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</si>
  <si>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</si>
  <si>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</si>
  <si>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</si>
  <si>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</si>
  <si>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</si>
  <si>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</si>
  <si>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</si>
  <si>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</si>
  <si>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</si>
  <si>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</si>
  <si>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</si>
  <si>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</si>
  <si>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</si>
  <si>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</si>
  <si>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</si>
  <si>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</si>
  <si>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</si>
  <si>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</si>
  <si>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</si>
  <si>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</si>
  <si>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</si>
  <si>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</si>
  <si>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</si>
  <si>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</si>
  <si>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</si>
  <si>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</si>
  <si>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</si>
  <si>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</si>
  <si>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</si>
  <si>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</si>
  <si>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</si>
  <si>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</si>
  <si>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</si>
  <si>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</si>
  <si>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</si>
  <si>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</si>
  <si>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</si>
  <si>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</si>
  <si>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</si>
  <si>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</si>
  <si>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</si>
  <si>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</si>
  <si>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</si>
  <si>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</si>
  <si>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</si>
  <si>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</si>
  <si>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</si>
  <si>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</si>
  <si>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</si>
  <si>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</si>
  <si>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</si>
  <si>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</si>
  <si>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</si>
  <si>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</si>
  <si>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</si>
  <si>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</si>
  <si>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</si>
  <si>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</si>
  <si>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</si>
  <si>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</si>
  <si>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</si>
  <si>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</si>
  <si>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</si>
  <si>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</si>
  <si>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</si>
  <si>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</si>
  <si>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</si>
  <si>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</si>
  <si>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</si>
  <si>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</si>
  <si>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</si>
  <si>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</si>
  <si>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</si>
  <si>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</si>
  <si>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</si>
  <si>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</si>
  <si>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</si>
  <si>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</si>
  <si>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</si>
  <si>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</si>
  <si>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</si>
  <si>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</si>
  <si>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</si>
  <si>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</si>
  <si>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</si>
  <si>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</si>
  <si>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</si>
  <si>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</si>
  <si>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</si>
  <si>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</si>
  <si>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</si>
  <si>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</si>
  <si>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</si>
  <si>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</si>
  <si>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</si>
  <si>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</si>
  <si>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</si>
  <si>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</si>
  <si>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</si>
  <si>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</si>
  <si>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</si>
  <si>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</si>
  <si>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</si>
  <si>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</si>
  <si>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</si>
  <si>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</si>
  <si>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</si>
  <si>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</si>
  <si>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</si>
  <si>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</si>
  <si>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</si>
  <si>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</si>
  <si>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</si>
  <si>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</si>
  <si>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</si>
  <si>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</si>
  <si>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</si>
  <si>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</si>
  <si>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</si>
  <si>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</si>
  <si>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</si>
  <si>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</si>
  <si>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</si>
  <si>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</si>
  <si>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</si>
  <si>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</si>
  <si>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</si>
  <si>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</si>
  <si>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</si>
  <si>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</si>
  <si>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</si>
  <si>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</si>
  <si>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</si>
  <si>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</si>
  <si>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</si>
  <si>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</si>
  <si>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</si>
  <si>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</si>
  <si>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</si>
  <si>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</si>
  <si>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</si>
  <si>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</si>
  <si>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</si>
  <si>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</si>
  <si>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</si>
  <si>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</si>
  <si>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</si>
  <si>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</si>
  <si>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</si>
  <si>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</si>
  <si>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</si>
  <si>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</si>
  <si>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</si>
  <si>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</si>
  <si>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</si>
  <si>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</si>
  <si>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</si>
  <si>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</si>
  <si>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</si>
  <si>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</si>
  <si>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</si>
  <si>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</si>
  <si>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</si>
  <si>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</si>
  <si>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</si>
  <si>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</si>
  <si>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</si>
  <si>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</si>
  <si>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</si>
  <si>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</si>
  <si>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</si>
  <si>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</si>
  <si>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</si>
  <si>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</si>
  <si>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</si>
  <si>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</si>
  <si>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</si>
  <si>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</si>
  <si>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</si>
  <si>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</si>
  <si>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</si>
  <si>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</si>
  <si>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</si>
  <si>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</si>
  <si>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</si>
  <si>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</si>
  <si>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</si>
  <si>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</si>
  <si>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</si>
  <si>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</si>
  <si>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</si>
  <si>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</si>
  <si>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</si>
  <si>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</si>
  <si>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</si>
  <si>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</si>
  <si>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</si>
  <si>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</si>
  <si>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</si>
  <si>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</si>
  <si>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</si>
  <si>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</si>
  <si>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</si>
  <si>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</si>
  <si>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</si>
  <si>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</si>
  <si>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</si>
  <si>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</si>
  <si>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</si>
  <si>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</si>
  <si>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</si>
  <si>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</si>
  <si>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</si>
  <si>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</si>
  <si>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</si>
  <si>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</si>
  <si>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</si>
  <si>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</si>
  <si>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</si>
  <si>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</si>
  <si>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</si>
  <si>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</si>
  <si>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</si>
  <si>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</si>
  <si>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</si>
  <si>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</si>
  <si>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</si>
  <si>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</si>
  <si>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</si>
  <si>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</si>
  <si>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</si>
  <si>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</si>
  <si>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</si>
  <si>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</si>
  <si>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</si>
  <si>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</si>
  <si>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</si>
  <si>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</si>
  <si>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</si>
  <si>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</si>
  <si>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</si>
  <si>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</si>
  <si>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</si>
  <si>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</si>
  <si>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</si>
  <si>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</si>
  <si>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</si>
  <si>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</si>
  <si>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</si>
  <si>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</si>
  <si>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</si>
  <si>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</si>
  <si>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</si>
  <si>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</si>
  <si>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</si>
  <si>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</si>
  <si>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</si>
  <si>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</si>
  <si>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</si>
  <si>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</si>
  <si>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</si>
  <si>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</si>
  <si>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</si>
  <si>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</si>
  <si>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</si>
  <si>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</si>
  <si>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</si>
  <si>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</si>
  <si>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</si>
  <si>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</si>
  <si>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</si>
  <si>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</si>
  <si>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</si>
  <si>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</si>
  <si>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</si>
  <si>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</si>
  <si>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</si>
  <si>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</si>
  <si>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</si>
  <si>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</si>
  <si>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</si>
  <si>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</si>
  <si>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</si>
  <si>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</si>
  <si>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</si>
  <si>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</si>
  <si>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</si>
  <si>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</si>
  <si>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</si>
  <si>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</si>
  <si>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</si>
  <si>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</si>
  <si>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</si>
  <si>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</si>
  <si>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</si>
  <si>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</si>
  <si>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</si>
  <si>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</si>
  <si>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</si>
  <si>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</si>
  <si>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</si>
  <si>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</si>
  <si>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</si>
  <si>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</si>
  <si>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</si>
  <si>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</si>
  <si>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</si>
  <si>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</si>
  <si>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</si>
  <si>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</si>
  <si>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</si>
  <si>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</si>
  <si>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</si>
  <si>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</si>
  <si>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</si>
  <si>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</si>
  <si>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</si>
  <si>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</si>
  <si>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</si>
  <si>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</si>
  <si>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</si>
  <si>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</si>
  <si>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</si>
  <si>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</si>
  <si>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</si>
  <si>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</si>
  <si>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</si>
  <si>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</si>
  <si>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</si>
  <si>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</si>
  <si>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</si>
  <si>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</si>
  <si>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</si>
  <si>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</si>
  <si>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</si>
  <si>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</si>
  <si>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</si>
  <si>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</si>
  <si>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</si>
  <si>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</si>
  <si>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</si>
  <si>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</si>
  <si>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</si>
  <si>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</si>
  <si>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</si>
  <si>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</si>
  <si>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</si>
  <si>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</si>
  <si>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</si>
  <si>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</si>
  <si>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</si>
  <si>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</si>
  <si>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</si>
  <si>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</si>
  <si>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</si>
  <si>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</si>
  <si>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</si>
  <si>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</si>
  <si>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</si>
  <si>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</si>
  <si>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</si>
  <si>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</si>
  <si>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</si>
  <si>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</si>
  <si>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</si>
  <si>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</si>
  <si>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</si>
  <si>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</si>
  <si>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</si>
  <si>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</si>
  <si>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</si>
  <si>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</si>
  <si>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</si>
  <si>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</si>
  <si>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</si>
  <si>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</si>
  <si>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</si>
  <si>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</si>
  <si>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</si>
  <si>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</si>
  <si>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</si>
  <si>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</si>
  <si>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</si>
  <si>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</si>
  <si>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</si>
  <si>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</si>
  <si>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</si>
  <si>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</si>
  <si>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</si>
  <si>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</si>
  <si>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</si>
  <si>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</si>
  <si>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</si>
  <si>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</si>
  <si>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</si>
  <si>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</si>
  <si>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</si>
  <si>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</si>
  <si>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</si>
  <si>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</si>
  <si>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</si>
  <si>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</si>
  <si>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</si>
  <si>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</si>
  <si>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</si>
  <si>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</si>
  <si>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</si>
  <si>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</si>
  <si>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</si>
  <si>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</si>
  <si>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</si>
  <si>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</si>
  <si>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</si>
  <si>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</si>
  <si>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</si>
  <si>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</si>
  <si>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</si>
  <si>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</si>
  <si>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</si>
  <si>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</si>
  <si>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</si>
  <si>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</t>
  </si>
  <si>
    <t>Successful'</t>
  </si>
  <si>
    <t>Failed</t>
  </si>
  <si>
    <t>Canceled</t>
  </si>
  <si>
    <t>Percent</t>
  </si>
  <si>
    <t>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</si>
  <si>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</si>
  <si>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</si>
  <si>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</si>
  <si>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</si>
  <si>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</si>
  <si>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</si>
  <si>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</si>
  <si>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</si>
  <si>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</si>
  <si>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</si>
  <si>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</si>
  <si>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</si>
  <si>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Total</t>
  </si>
  <si>
    <t>Projects</t>
  </si>
  <si>
    <t>Category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</si>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</sst>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41C5A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1.xlsx]State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4-4408-84EF-6539E85B95A9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4-4408-84EF-6539E85B95A9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4-4408-84EF-6539E85B95A9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44-4408-84EF-6539E85B9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870472"/>
        <c:axId val="545870800"/>
      </c:barChart>
      <c:catAx>
        <c:axId val="54587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70800"/>
        <c:crosses val="autoZero"/>
        <c:auto val="1"/>
        <c:lblAlgn val="ctr"/>
        <c:lblOffset val="100"/>
        <c:noMultiLvlLbl val="0"/>
      </c:catAx>
      <c:valAx>
        <c:axId val="5458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7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1.xlsx]State by Subcategory!PivotTable2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0-46B4-A4E6-C077E65B465A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10-46B4-A4E6-C077E65B465A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10-46B4-A4E6-C077E65B465A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10-46B4-A4E6-C077E65B4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400520"/>
        <c:axId val="628403472"/>
      </c:barChart>
      <c:catAx>
        <c:axId val="62840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03472"/>
        <c:crosses val="autoZero"/>
        <c:auto val="1"/>
        <c:lblAlgn val="ctr"/>
        <c:lblOffset val="100"/>
        <c:noMultiLvlLbl val="0"/>
      </c:catAx>
      <c:valAx>
        <c:axId val="6284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0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1.xlsx]State by Month!PivotTable3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Month'!$B$2:$B$3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Month'!$B$4:$B$16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5-4F76-96EE-35450EEF93EB}"/>
            </c:ext>
          </c:extLst>
        </c:ser>
        <c:ser>
          <c:idx val="1"/>
          <c:order val="1"/>
          <c:tx>
            <c:strRef>
              <c:f>'State by Month'!$C$2:$C$3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Month'!$C$4:$C$16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D5-4F76-96EE-35450EEF93EB}"/>
            </c:ext>
          </c:extLst>
        </c:ser>
        <c:ser>
          <c:idx val="2"/>
          <c:order val="2"/>
          <c:tx>
            <c:strRef>
              <c:f>'State by Month'!$D$2:$D$3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Month'!$D$4:$D$16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D5-4F76-96EE-35450EEF9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645216"/>
        <c:axId val="554517536"/>
      </c:lineChart>
      <c:catAx>
        <c:axId val="54364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17536"/>
        <c:crosses val="autoZero"/>
        <c:auto val="1"/>
        <c:lblAlgn val="ctr"/>
        <c:lblOffset val="100"/>
        <c:noMultiLvlLbl val="0"/>
      </c:catAx>
      <c:valAx>
        <c:axId val="5545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4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- Counts'!$F$1:$F$2</c:f>
              <c:strCache>
                <c:ptCount val="2"/>
                <c:pt idx="0">
                  <c:v>Percent</c:v>
                </c:pt>
                <c:pt idx="1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- Counts'!$A$3:$A$14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'State - Counts'!$F$3:$F$14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A-4665-B9F4-51ACBDE19EC3}"/>
            </c:ext>
          </c:extLst>
        </c:ser>
        <c:ser>
          <c:idx val="1"/>
          <c:order val="1"/>
          <c:tx>
            <c:strRef>
              <c:f>'State - Counts'!$G$1:$G$2</c:f>
              <c:strCache>
                <c:ptCount val="2"/>
                <c:pt idx="0">
                  <c:v>Percent</c:v>
                </c:pt>
                <c:pt idx="1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- Counts'!$A$3:$A$14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'State - Counts'!$G$3:$G$14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A-4665-B9F4-51ACBDE19EC3}"/>
            </c:ext>
          </c:extLst>
        </c:ser>
        <c:ser>
          <c:idx val="2"/>
          <c:order val="2"/>
          <c:tx>
            <c:strRef>
              <c:f>'State - Counts'!$H$1:$H$2</c:f>
              <c:strCache>
                <c:ptCount val="2"/>
                <c:pt idx="0">
                  <c:v>Percent</c:v>
                </c:pt>
                <c:pt idx="1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- Counts'!$A$3:$A$14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'State - Counts'!$H$3:$H$14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4A-4665-B9F4-51ACBDE19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528912"/>
        <c:axId val="656530880"/>
      </c:lineChart>
      <c:catAx>
        <c:axId val="6565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30880"/>
        <c:crosses val="autoZero"/>
        <c:auto val="1"/>
        <c:lblAlgn val="ctr"/>
        <c:lblOffset val="100"/>
        <c:noMultiLvlLbl val="0"/>
      </c:catAx>
      <c:valAx>
        <c:axId val="6565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289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1</xdr:row>
      <xdr:rowOff>160020</xdr:rowOff>
    </xdr:from>
    <xdr:to>
      <xdr:col>14</xdr:col>
      <xdr:colOff>373380</xdr:colOff>
      <xdr:row>23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C05488-3302-416D-9282-9AE42E377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3</xdr:row>
      <xdr:rowOff>0</xdr:rowOff>
    </xdr:from>
    <xdr:to>
      <xdr:col>21</xdr:col>
      <xdr:colOff>15240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905BB4-D518-41F4-B96B-EAD1B9DF7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7</xdr:row>
      <xdr:rowOff>22860</xdr:rowOff>
    </xdr:from>
    <xdr:to>
      <xdr:col>18</xdr:col>
      <xdr:colOff>403860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CE327-0CE3-489B-96DB-A5E4F73BB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</xdr:colOff>
      <xdr:row>1</xdr:row>
      <xdr:rowOff>60960</xdr:rowOff>
    </xdr:from>
    <xdr:to>
      <xdr:col>21</xdr:col>
      <xdr:colOff>274320</xdr:colOff>
      <xdr:row>25</xdr:row>
      <xdr:rowOff>106680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A4F355-70D2-47F4-B237-1BB7D886E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vcousin" refreshedDate="43414.822910532406" createdVersion="6" refreshedVersion="6" minRefreshableVersion="3" recordCount="4114" xr:uid="{8EECD120-0FFD-440C-8ACD-CF60D3616D2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vcousin" refreshedDate="43414.834248148145" createdVersion="6" refreshedVersion="6" minRefreshableVersion="3" recordCount="4114" xr:uid="{117A358C-A554-4744-8FAF-6FBA1336751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8269E-1144-4ABF-889B-8BEE5B1289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452B5-14A6-46DB-8DDD-B66EF4720F3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8FC6E-F9D5-4EBC-AF0B-AB7F6AA9F84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:E1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70" zoomScaleNormal="70" workbookViewId="0">
      <selection activeCell="R6" sqref="R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style="7" bestFit="1" customWidth="1"/>
    <col min="16" max="16" width="21.77734375" bestFit="1" customWidth="1"/>
    <col min="17" max="17" width="12.21875" bestFit="1" customWidth="1"/>
    <col min="18" max="18" width="16.88671875" bestFit="1" customWidth="1"/>
    <col min="19" max="19" width="22.33203125" bestFit="1" customWidth="1"/>
    <col min="20" max="20" width="21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8399</v>
      </c>
      <c r="R1" s="1" t="s">
        <v>8400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v>1.3685882352941177</v>
      </c>
      <c r="P2" s="5">
        <f>+E2/L2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+E3/D3</f>
        <v>1.4260827250608272</v>
      </c>
      <c r="P3" s="5">
        <f t="shared" ref="P3:P66" si="1">+E3/L3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5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+E67/D67</f>
        <v>1.0752857142857142</v>
      </c>
      <c r="P67" s="5">
        <f t="shared" ref="P67:P130" si="7">+E67/L67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5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5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+E131/D131</f>
        <v>0</v>
      </c>
      <c r="P131" s="5" t="e">
        <f t="shared" ref="P131:P194" si="13">+E131/L131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t="15.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5.6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5.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5.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+E195/D195</f>
        <v>0</v>
      </c>
      <c r="P195" s="5" t="e">
        <f t="shared" ref="P195:P258" si="19">+E195/L195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5.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5.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15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+E259/D259</f>
        <v>1.0672648571428571</v>
      </c>
      <c r="P259" s="5">
        <f t="shared" ref="P259:P322" si="25">+E259/L259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t="15.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+E323/D323</f>
        <v>1.0266285714285714</v>
      </c>
      <c r="P323" s="5">
        <f t="shared" ref="P323:P386" si="31">+E323/L323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+E387/D387</f>
        <v>1.05982</v>
      </c>
      <c r="P387" s="5">
        <f t="shared" ref="P387:P450" si="37">+E387/L387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5.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+E451/D451</f>
        <v>2.2499999999999999E-2</v>
      </c>
      <c r="P451" s="5">
        <f t="shared" ref="P451:P514" si="43">+E451/L451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15.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5.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5.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+E515/D515</f>
        <v>0.13924</v>
      </c>
      <c r="P515" s="5">
        <f t="shared" ref="P515:P578" si="49">+E515/L515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+E579/D579</f>
        <v>2E-3</v>
      </c>
      <c r="P579" s="5">
        <f t="shared" ref="P579:P642" si="55">+E579/L579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t="15.6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5.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+E643/D643</f>
        <v>1.1916249999999999</v>
      </c>
      <c r="P643" s="5">
        <f t="shared" ref="P643:P706" si="61">+E643/L643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5.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+E707/D707</f>
        <v>9.7699999999999992E-3</v>
      </c>
      <c r="P707" s="5">
        <f t="shared" ref="P707:P770" si="67">+E707/L707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5.6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+E771/D771</f>
        <v>0.41399999999999998</v>
      </c>
      <c r="P771" s="5">
        <f t="shared" ref="P771:P834" si="73">+E771/L771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5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ht="15.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+E835/D835</f>
        <v>1.0166666666666666</v>
      </c>
      <c r="P835" s="5">
        <f t="shared" ref="P835:P898" si="79">+E835/L835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5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+E899/D899</f>
        <v>0</v>
      </c>
      <c r="P899" s="5" t="e">
        <f t="shared" ref="P899:P962" si="85">+E899/L899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5.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5.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+E963/D963</f>
        <v>0.42188421052631581</v>
      </c>
      <c r="P963" s="5">
        <f t="shared" ref="P963:P1026" si="91">+E963/L963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+E1027/D1027</f>
        <v>1.099283142857143</v>
      </c>
      <c r="P1027" s="5">
        <f t="shared" ref="P1027:P1090" si="97">+E1027/L1027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5.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5.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5.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5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5.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5.6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+E1091/D1091</f>
        <v>7.8266666666666665E-2</v>
      </c>
      <c r="P1091" s="5">
        <f t="shared" ref="P1091:P1154" si="103">+E1091/L1091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5.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5.6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t="15.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+E1155/D1155</f>
        <v>6.2500000000000003E-3</v>
      </c>
      <c r="P1155" s="5">
        <f t="shared" ref="P1155:P1218" si="109">+E1155/L1155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+E1219/D1219</f>
        <v>1.026</v>
      </c>
      <c r="P1219" s="5">
        <f t="shared" ref="P1219:P1282" si="115">+E1219/L1219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5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+E1283/D1283</f>
        <v>1.1071428571428572</v>
      </c>
      <c r="P1283" s="5">
        <f t="shared" ref="P1283:P1346" si="121">+E1283/L1283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+E1347/D1347</f>
        <v>1.25</v>
      </c>
      <c r="P1347" s="5">
        <f t="shared" ref="P1347:P1410" si="127">+E1347/L1347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5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5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5.6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5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5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5.6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+E1411/D1411</f>
        <v>0</v>
      </c>
      <c r="P1411" s="5" t="e">
        <f t="shared" ref="P1411:P1474" si="133">+E1411/L1411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5.6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5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5.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+E1475/D1475</f>
        <v>1.20516</v>
      </c>
      <c r="P1475" s="5">
        <f t="shared" ref="P1475:P1538" si="139">+E1475/L1475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5.6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+E1539/D1539</f>
        <v>1.7989999999999999</v>
      </c>
      <c r="P1539" s="5">
        <f t="shared" ref="P1539:P1602" si="145">+E1539/L1539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5.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5.6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+E1603/D1603</f>
        <v>1.082492</v>
      </c>
      <c r="P1603" s="5">
        <f t="shared" ref="P1603:P1666" si="151">+E1603/L1603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5.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+E1667/D1667</f>
        <v>1.1945714285714286</v>
      </c>
      <c r="P1667" s="5">
        <f t="shared" ref="P1667:P1730" si="157">+E1667/L1667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t="15.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+E1731/D1731</f>
        <v>0</v>
      </c>
      <c r="P1731" s="5" t="e">
        <f t="shared" ref="P1731:P1794" si="163">+E1731/L1731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+E1795/D1795</f>
        <v>1.3333333333333334E-2</v>
      </c>
      <c r="P1795" s="5">
        <f t="shared" ref="P1795:P1858" si="169">+E1795/L1795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5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+E1859/D1859</f>
        <v>1</v>
      </c>
      <c r="P1859" s="5">
        <f t="shared" ref="P1859:P1922" si="175">+E1859/L1859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+E1923/D1923</f>
        <v>1.3680000000000001</v>
      </c>
      <c r="P1923" s="5">
        <f t="shared" ref="P1923:P1986" si="181">+E1923/L1923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5.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+E1987/D1987</f>
        <v>3.1875000000000001E-2</v>
      </c>
      <c r="P1987" s="5">
        <f t="shared" ref="P1987:P2050" si="187">+E1987/L1987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5.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5.6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+E2051/D2051</f>
        <v>1.2019070000000001</v>
      </c>
      <c r="P2051" s="5">
        <f t="shared" ref="P2051:P2114" si="193">+E2051/L2051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5.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+E2115/D2115</f>
        <v>1.0485714285714285</v>
      </c>
      <c r="P2115" s="5">
        <f t="shared" ref="P2115:P2178" si="199">+E2115/L2115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5.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5.6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+E2179/D2179</f>
        <v>1.0012000000000001</v>
      </c>
      <c r="P2179" s="5">
        <f t="shared" ref="P2179:P2242" si="205">+E2179/L2179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+E2243/D2243</f>
        <v>8.0640000000000001</v>
      </c>
      <c r="P2243" s="5">
        <f t="shared" ref="P2243:P2306" si="211">+E2243/L2243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+E2307/D2307</f>
        <v>1.0122777777777778</v>
      </c>
      <c r="P2307" s="5">
        <f t="shared" ref="P2307:P2370" si="217">+E2307/L2307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+E2371/D2371</f>
        <v>0</v>
      </c>
      <c r="P2371" s="5" t="e">
        <f t="shared" ref="P2371:P2434" si="223">+E2371/L2371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5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5.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+E2435/D2435</f>
        <v>0</v>
      </c>
      <c r="P2435" s="5" t="e">
        <f t="shared" ref="P2435:P2498" si="229">+E2435/L2435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5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+E2499/D2499</f>
        <v>1.127715</v>
      </c>
      <c r="P2499" s="5">
        <f t="shared" ref="P2499:P2562" si="235">+E2499/L2499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5.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t="15.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+E2563/D2563</f>
        <v>0</v>
      </c>
      <c r="P2563" s="5" t="e">
        <f t="shared" ref="P2563:P2626" si="241">+E2563/L2563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+E2627/D2627</f>
        <v>9.56</v>
      </c>
      <c r="P2627" s="5">
        <f t="shared" ref="P2627:P2690" si="247">+E2627/L2627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t="15.6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t="15.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5.6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+E2691/D2691</f>
        <v>2.8571428571428571E-5</v>
      </c>
      <c r="P2691" s="5">
        <f t="shared" ref="P2691:P2754" si="253">+E2691/L2691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5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+E2755/D2755</f>
        <v>0.19</v>
      </c>
      <c r="P2755" s="5">
        <f t="shared" ref="P2755:P2818" si="259">+E2755/L2755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+E2819/D2819</f>
        <v>1.3</v>
      </c>
      <c r="P2819" s="5">
        <f t="shared" ref="P2819:P2882" si="265">+E2819/L2819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5.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+E2883/D2883</f>
        <v>0</v>
      </c>
      <c r="P2883" s="5" t="e">
        <f t="shared" ref="P2883:P2946" si="271">+E2883/L2883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5.6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+E2947/D2947</f>
        <v>0</v>
      </c>
      <c r="P2947" s="5" t="e">
        <f t="shared" ref="P2947:P3010" si="277">+E2947/L2947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t="15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5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+E3011/D3011</f>
        <v>1.19756</v>
      </c>
      <c r="P3011" s="5">
        <f t="shared" ref="P3011:P3074" si="283">+E3011/L3011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5.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+E3075/D3075</f>
        <v>2.3035714285714285E-4</v>
      </c>
      <c r="P3075" s="5">
        <f t="shared" ref="P3075:P3138" si="289">+E3075/L3075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15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5.6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5.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+E3139/D3139</f>
        <v>3.3333333333333333E-2</v>
      </c>
      <c r="P3139" s="5">
        <f t="shared" ref="P3139:P3202" si="295">+E3139/L3139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+E3203/D3203</f>
        <v>1.2500000000000001E-2</v>
      </c>
      <c r="P3203" s="5">
        <f t="shared" ref="P3203:P3266" si="301">+E3203/L3203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+E3267/D3267</f>
        <v>1.64</v>
      </c>
      <c r="P3267" s="5">
        <f t="shared" ref="P3267:P3330" si="307">+E3267/L3267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5.6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t="15.6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+E3331/D3331</f>
        <v>1.1679999999999999</v>
      </c>
      <c r="P3331" s="5">
        <f t="shared" ref="P3331:P3394" si="313">+E3331/L3331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+E3395/D3395</f>
        <v>1.0580000000000001</v>
      </c>
      <c r="P3395" s="5">
        <f t="shared" ref="P3395:P3458" si="319">+E3395/L3395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+E3459/D3459</f>
        <v>1.4019999999999999</v>
      </c>
      <c r="P3459" s="5">
        <f t="shared" ref="P3459:P3522" si="325">+E3459/L3459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+E3523/D3523</f>
        <v>1.6942857142857144</v>
      </c>
      <c r="P3523" s="5">
        <f t="shared" ref="P3523:P3586" si="331">+E3523/L3523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+E3587/D3587</f>
        <v>1.1911764705882353</v>
      </c>
      <c r="P3587" s="5">
        <f t="shared" ref="P3587:P3650" si="337">+E3587/L3587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+E3651/D3651</f>
        <v>1.04</v>
      </c>
      <c r="P3651" s="5">
        <f t="shared" ref="P3651:P3714" si="343">+E3651/L3651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+E3715/D3715</f>
        <v>1.0149999999999999</v>
      </c>
      <c r="P3715" s="5">
        <f t="shared" ref="P3715:P3778" si="349">+E3715/L3715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15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+E3779/D3779</f>
        <v>1.4319999999999999</v>
      </c>
      <c r="P3779" s="5">
        <f t="shared" ref="P3779:P3842" si="355">+E3779/L3779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+E3843/D3843</f>
        <v>8.72E-2</v>
      </c>
      <c r="P3843" s="5">
        <f t="shared" ref="P3843:P3906" si="361">+E3843/L3843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t="15.6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5.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5.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+E3907/D3907</f>
        <v>0.11533333333333333</v>
      </c>
      <c r="P3907" s="5">
        <f t="shared" ref="P3907:P3970" si="367">+E3907/L3907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+E3971/D3971</f>
        <v>7.4690265486725665E-2</v>
      </c>
      <c r="P3971" s="5">
        <f t="shared" ref="P3971:P4034" si="373">+E3971/L3971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5.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+E4035/D4035</f>
        <v>0.25698702928870293</v>
      </c>
      <c r="P4035" s="5">
        <f t="shared" ref="P4035:P4098" si="379">+E4035/L4035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5.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+E4099/D4099</f>
        <v>0</v>
      </c>
      <c r="P4099" s="5" t="e">
        <f t="shared" ref="P4099:P4115" si="385">+E4099/L4099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582EAB23-B20D-4A3A-8371-B402B97BD86F}"/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.99"/>
        <cfvo type="num" val="1.5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CC50-97C2-404A-B28A-B591E232F0E7}">
  <dimension ref="A1:F14"/>
  <sheetViews>
    <sheetView workbookViewId="0">
      <selection activeCell="R17" sqref="R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3" spans="1:6" x14ac:dyDescent="0.3">
      <c r="A3" s="8" t="s">
        <v>8361</v>
      </c>
      <c r="B3" s="8" t="s">
        <v>8363</v>
      </c>
    </row>
    <row r="4" spans="1:6" x14ac:dyDescent="0.3">
      <c r="A4" s="8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EB0FD-BBC9-423A-B2E1-BB90E8D17AFB}">
  <dimension ref="A1:F47"/>
  <sheetViews>
    <sheetView topLeftCell="A19" workbookViewId="0">
      <selection activeCell="K3" sqref="K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8308</v>
      </c>
      <c r="B2" t="s">
        <v>8362</v>
      </c>
    </row>
    <row r="4" spans="1:6" x14ac:dyDescent="0.3">
      <c r="A4" s="8" t="s">
        <v>8361</v>
      </c>
      <c r="B4" s="8" t="s">
        <v>8363</v>
      </c>
    </row>
    <row r="5" spans="1:6" x14ac:dyDescent="0.3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57AB-2D35-4C8D-8C6D-0A1040F8213E}">
  <dimension ref="A2:E16"/>
  <sheetViews>
    <sheetView workbookViewId="0">
      <selection activeCell="P5" sqref="P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8" t="s">
        <v>8361</v>
      </c>
      <c r="B2" s="8" t="s">
        <v>8363</v>
      </c>
    </row>
    <row r="3" spans="1:5" x14ac:dyDescent="0.3">
      <c r="A3" s="8" t="s">
        <v>8359</v>
      </c>
      <c r="B3" t="s">
        <v>8220</v>
      </c>
      <c r="C3" t="s">
        <v>8221</v>
      </c>
      <c r="D3" t="s">
        <v>8219</v>
      </c>
      <c r="E3" t="s">
        <v>8360</v>
      </c>
    </row>
    <row r="4" spans="1:5" x14ac:dyDescent="0.3">
      <c r="A4" s="12" t="s">
        <v>8372</v>
      </c>
      <c r="B4" s="10">
        <v>34</v>
      </c>
      <c r="C4" s="10">
        <v>149</v>
      </c>
      <c r="D4" s="10">
        <v>183</v>
      </c>
      <c r="E4" s="10">
        <v>366</v>
      </c>
    </row>
    <row r="5" spans="1:5" x14ac:dyDescent="0.3">
      <c r="A5" s="12" t="s">
        <v>8373</v>
      </c>
      <c r="B5" s="10">
        <v>27</v>
      </c>
      <c r="C5" s="10">
        <v>105</v>
      </c>
      <c r="D5" s="10">
        <v>202</v>
      </c>
      <c r="E5" s="10">
        <v>334</v>
      </c>
    </row>
    <row r="6" spans="1:5" x14ac:dyDescent="0.3">
      <c r="A6" s="12" t="s">
        <v>8374</v>
      </c>
      <c r="B6" s="10">
        <v>28</v>
      </c>
      <c r="C6" s="10">
        <v>108</v>
      </c>
      <c r="D6" s="10">
        <v>179</v>
      </c>
      <c r="E6" s="10">
        <v>315</v>
      </c>
    </row>
    <row r="7" spans="1:5" x14ac:dyDescent="0.3">
      <c r="A7" s="12" t="s">
        <v>8375</v>
      </c>
      <c r="B7" s="10">
        <v>27</v>
      </c>
      <c r="C7" s="10">
        <v>103</v>
      </c>
      <c r="D7" s="10">
        <v>193</v>
      </c>
      <c r="E7" s="10">
        <v>323</v>
      </c>
    </row>
    <row r="8" spans="1:5" x14ac:dyDescent="0.3">
      <c r="A8" s="12" t="s">
        <v>8366</v>
      </c>
      <c r="B8" s="10">
        <v>26</v>
      </c>
      <c r="C8" s="10">
        <v>126</v>
      </c>
      <c r="D8" s="10">
        <v>233</v>
      </c>
      <c r="E8" s="10">
        <v>385</v>
      </c>
    </row>
    <row r="9" spans="1:5" x14ac:dyDescent="0.3">
      <c r="A9" s="12" t="s">
        <v>8376</v>
      </c>
      <c r="B9" s="10">
        <v>27</v>
      </c>
      <c r="C9" s="10">
        <v>148</v>
      </c>
      <c r="D9" s="10">
        <v>213</v>
      </c>
      <c r="E9" s="10">
        <v>388</v>
      </c>
    </row>
    <row r="10" spans="1:5" x14ac:dyDescent="0.3">
      <c r="A10" s="12" t="s">
        <v>8367</v>
      </c>
      <c r="B10" s="10">
        <v>44</v>
      </c>
      <c r="C10" s="10">
        <v>148</v>
      </c>
      <c r="D10" s="10">
        <v>192</v>
      </c>
      <c r="E10" s="10">
        <v>384</v>
      </c>
    </row>
    <row r="11" spans="1:5" x14ac:dyDescent="0.3">
      <c r="A11" s="12" t="s">
        <v>8368</v>
      </c>
      <c r="B11" s="10">
        <v>32</v>
      </c>
      <c r="C11" s="10">
        <v>134</v>
      </c>
      <c r="D11" s="10">
        <v>167</v>
      </c>
      <c r="E11" s="10">
        <v>333</v>
      </c>
    </row>
    <row r="12" spans="1:5" x14ac:dyDescent="0.3">
      <c r="A12" s="12" t="s">
        <v>8369</v>
      </c>
      <c r="B12" s="10">
        <v>24</v>
      </c>
      <c r="C12" s="10">
        <v>127</v>
      </c>
      <c r="D12" s="10">
        <v>148</v>
      </c>
      <c r="E12" s="10">
        <v>299</v>
      </c>
    </row>
    <row r="13" spans="1:5" x14ac:dyDescent="0.3">
      <c r="A13" s="12" t="s">
        <v>8370</v>
      </c>
      <c r="B13" s="10">
        <v>20</v>
      </c>
      <c r="C13" s="10">
        <v>150</v>
      </c>
      <c r="D13" s="10">
        <v>184</v>
      </c>
      <c r="E13" s="10">
        <v>354</v>
      </c>
    </row>
    <row r="14" spans="1:5" x14ac:dyDescent="0.3">
      <c r="A14" s="12" t="s">
        <v>8371</v>
      </c>
      <c r="B14" s="10">
        <v>37</v>
      </c>
      <c r="C14" s="10">
        <v>113</v>
      </c>
      <c r="D14" s="10">
        <v>180</v>
      </c>
      <c r="E14" s="10">
        <v>330</v>
      </c>
    </row>
    <row r="15" spans="1:5" x14ac:dyDescent="0.3">
      <c r="A15" s="12" t="s">
        <v>8377</v>
      </c>
      <c r="B15" s="10">
        <v>23</v>
      </c>
      <c r="C15" s="10">
        <v>119</v>
      </c>
      <c r="D15" s="10">
        <v>111</v>
      </c>
      <c r="E15" s="10">
        <v>253</v>
      </c>
    </row>
    <row r="16" spans="1:5" x14ac:dyDescent="0.3">
      <c r="A16" s="12" t="s">
        <v>8360</v>
      </c>
      <c r="B16" s="10">
        <v>349</v>
      </c>
      <c r="C16" s="10">
        <v>1530</v>
      </c>
      <c r="D16" s="10">
        <v>2185</v>
      </c>
      <c r="E16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FDB6E-0706-45CB-B8A7-4BB1714B80FA}">
  <dimension ref="A1:H14"/>
  <sheetViews>
    <sheetView workbookViewId="0">
      <selection activeCell="H17" sqref="H17"/>
    </sheetView>
  </sheetViews>
  <sheetFormatPr defaultRowHeight="14.4" x14ac:dyDescent="0.3"/>
  <cols>
    <col min="1" max="1" width="16.88671875" bestFit="1" customWidth="1"/>
  </cols>
  <sheetData>
    <row r="1" spans="1:8" x14ac:dyDescent="0.3">
      <c r="A1" s="13"/>
      <c r="B1" s="13" t="s">
        <v>8379</v>
      </c>
      <c r="C1" s="13" t="s">
        <v>8379</v>
      </c>
      <c r="D1" s="13" t="s">
        <v>8379</v>
      </c>
      <c r="E1" s="13" t="s">
        <v>8397</v>
      </c>
      <c r="F1" s="13" t="s">
        <v>8383</v>
      </c>
      <c r="G1" s="13" t="s">
        <v>8383</v>
      </c>
      <c r="H1" s="13" t="s">
        <v>8383</v>
      </c>
    </row>
    <row r="2" spans="1:8" x14ac:dyDescent="0.3">
      <c r="A2" s="14" t="s">
        <v>8378</v>
      </c>
      <c r="B2" s="14" t="s">
        <v>8380</v>
      </c>
      <c r="C2" s="14" t="s">
        <v>8381</v>
      </c>
      <c r="D2" s="14" t="s">
        <v>8382</v>
      </c>
      <c r="E2" s="14" t="s">
        <v>8398</v>
      </c>
      <c r="F2" s="14" t="s">
        <v>8384</v>
      </c>
      <c r="G2" s="14" t="s">
        <v>8381</v>
      </c>
      <c r="H2" s="14" t="s">
        <v>8382</v>
      </c>
    </row>
    <row r="3" spans="1:8" x14ac:dyDescent="0.3">
      <c r="A3" t="s">
        <v>8385</v>
      </c>
      <c r="B3">
        <f>COUNTIFS(Data!$F$2:$F$4115,"successful",Data!$D$2:$D$4115,"&lt;1000")</f>
        <v>322</v>
      </c>
      <c r="C3">
        <f>COUNTIFS(Data!$F$2:$F$4115,"failed",Data!$D$2:$D$4115,"&lt;1000")</f>
        <v>113</v>
      </c>
      <c r="D3">
        <f>COUNTIFS(Data!$F$2:$F$4115,"canceled",Data!$D$2:$D$4115,"&lt;1000")</f>
        <v>18</v>
      </c>
      <c r="E3">
        <f>SUM(B3:D3)</f>
        <v>453</v>
      </c>
      <c r="F3" s="15">
        <f>+B3/E3</f>
        <v>0.71081677704194257</v>
      </c>
      <c r="G3" s="15">
        <f>+C3/E3</f>
        <v>0.24944812362030905</v>
      </c>
      <c r="H3" s="15">
        <f>+D3/E3</f>
        <v>3.9735099337748346E-2</v>
      </c>
    </row>
    <row r="4" spans="1:8" x14ac:dyDescent="0.3">
      <c r="A4" t="s">
        <v>8386</v>
      </c>
      <c r="B4">
        <f>COUNTIFS(Data!$F$2:$F$4115,"successful",Data!$D$2:$D$4115,"&gt;=1000",Data!$D$2:$D$4115,"&lt;5000")</f>
        <v>932</v>
      </c>
      <c r="C4">
        <f>COUNTIFS(Data!$F$2:$F$4115,"failed",Data!$D$2:$D$4115,"&gt;=1000",Data!$D$2:$D$4115,"&lt;5000")</f>
        <v>420</v>
      </c>
      <c r="D4">
        <f>COUNTIFS(Data!$F$2:$F$4115,"canceled",Data!$D$2:$D$4115,"&gt;=1000",Data!$D$2:$D$4115,"&lt;5000")</f>
        <v>60</v>
      </c>
      <c r="E4">
        <f t="shared" ref="E4:E14" si="0">SUM(B4:D4)</f>
        <v>1412</v>
      </c>
      <c r="F4" s="15">
        <f t="shared" ref="F4:F14" si="1">+B4/E4</f>
        <v>0.66005665722379603</v>
      </c>
      <c r="G4" s="15">
        <f t="shared" ref="G4:G14" si="2">+C4/E4</f>
        <v>0.29745042492917845</v>
      </c>
      <c r="H4" s="15">
        <f t="shared" ref="H4:H14" si="3">+D4/E4</f>
        <v>4.2492917847025496E-2</v>
      </c>
    </row>
    <row r="5" spans="1:8" x14ac:dyDescent="0.3">
      <c r="A5" t="s">
        <v>8387</v>
      </c>
      <c r="B5">
        <f>COUNTIFS(Data!$F$2:$F$4115,"successful",Data!$D$2:$D$4115,"&gt;=5000",Data!$D$2:$D$4115,"&lt;10000")</f>
        <v>381</v>
      </c>
      <c r="C5">
        <f>COUNTIFS(Data!$F$2:$F$4115,"failed",Data!$D$2:$D$4115,"&gt;=5000",Data!$D$2:$D$4115,"&lt;10000")</f>
        <v>283</v>
      </c>
      <c r="D5">
        <f>COUNTIFS(Data!$F$2:$F$4115,"canceled",Data!$D$2:$D$4115,"&gt;=5000",Data!$D$2:$D$4115,"&lt;10000")</f>
        <v>52</v>
      </c>
      <c r="E5">
        <f t="shared" si="0"/>
        <v>716</v>
      </c>
      <c r="F5" s="15">
        <f t="shared" si="1"/>
        <v>0.53212290502793291</v>
      </c>
      <c r="G5" s="15">
        <f t="shared" si="2"/>
        <v>0.39525139664804471</v>
      </c>
      <c r="H5" s="15">
        <f t="shared" si="3"/>
        <v>7.2625698324022353E-2</v>
      </c>
    </row>
    <row r="6" spans="1:8" x14ac:dyDescent="0.3">
      <c r="A6" t="s">
        <v>8388</v>
      </c>
      <c r="B6">
        <f>COUNTIFS(Data!$F$2:$F$4115,"successful",Data!$D$2:$D$4115,"&gt;=10000",Data!$D$2:$D$4115,"&lt;15000")</f>
        <v>168</v>
      </c>
      <c r="C6">
        <f>COUNTIFS(Data!$F$2:$F$4115,"failed",Data!$D$2:$D$4115,"&gt;=10000",Data!$D$2:$D$4115,"&lt;15000")</f>
        <v>144</v>
      </c>
      <c r="D6">
        <f>COUNTIFS(Data!$F$2:$F$4115,"canceled",Data!$D$2:$D$4115,"&gt;=10000",Data!$D$2:$D$4115,"&lt;15000")</f>
        <v>40</v>
      </c>
      <c r="E6">
        <f t="shared" si="0"/>
        <v>352</v>
      </c>
      <c r="F6" s="15">
        <f t="shared" si="1"/>
        <v>0.47727272727272729</v>
      </c>
      <c r="G6" s="15">
        <f t="shared" si="2"/>
        <v>0.40909090909090912</v>
      </c>
      <c r="H6" s="15">
        <f t="shared" si="3"/>
        <v>0.11363636363636363</v>
      </c>
    </row>
    <row r="7" spans="1:8" x14ac:dyDescent="0.3">
      <c r="A7" t="s">
        <v>8389</v>
      </c>
      <c r="B7">
        <f>COUNTIFS(Data!$F$2:$F$4115,"successful",Data!$D$2:$D$4115,"&gt;=15000",Data!$D$2:$D$4115,"&lt;20000")</f>
        <v>94</v>
      </c>
      <c r="C7">
        <f>COUNTIFS(Data!$F$2:$F$4115,"failed",Data!$D$2:$D$4115,"&gt;=15000",Data!$D$2:$D$4115,"&lt;20000")</f>
        <v>90</v>
      </c>
      <c r="D7">
        <f>COUNTIFS(Data!$F$2:$F$4115,"canceled",Data!$D$2:$D$4115,"&gt;=15000",Data!$D$2:$D$4115,"&lt;20000")</f>
        <v>17</v>
      </c>
      <c r="E7">
        <f t="shared" si="0"/>
        <v>201</v>
      </c>
      <c r="F7" s="15">
        <f t="shared" si="1"/>
        <v>0.46766169154228854</v>
      </c>
      <c r="G7" s="15">
        <f t="shared" si="2"/>
        <v>0.44776119402985076</v>
      </c>
      <c r="H7" s="15">
        <f t="shared" si="3"/>
        <v>8.45771144278607E-2</v>
      </c>
    </row>
    <row r="8" spans="1:8" x14ac:dyDescent="0.3">
      <c r="A8" t="s">
        <v>8390</v>
      </c>
      <c r="B8">
        <f>COUNTIFS(Data!$F$2:$F$4115,"successful",Data!$D$2:$D$4115,"&gt;=20000",Data!$D$2:$D$4115,"&lt;25000")</f>
        <v>62</v>
      </c>
      <c r="C8">
        <f>COUNTIFS(Data!$F$2:$F$4115,"failed",Data!$D$2:$D$4115,"&gt;=20000",Data!$D$2:$D$4115,"&lt;25000")</f>
        <v>72</v>
      </c>
      <c r="D8">
        <f>COUNTIFS(Data!$F$2:$F$4115,"canceled",Data!$D$2:$D$4115,"&gt;=20000",Data!$D$2:$D$4115,"&lt;25000")</f>
        <v>14</v>
      </c>
      <c r="E8">
        <f t="shared" si="0"/>
        <v>148</v>
      </c>
      <c r="F8" s="15">
        <f t="shared" si="1"/>
        <v>0.41891891891891891</v>
      </c>
      <c r="G8" s="15">
        <f t="shared" si="2"/>
        <v>0.48648648648648651</v>
      </c>
      <c r="H8" s="15">
        <f t="shared" si="3"/>
        <v>9.45945945945946E-2</v>
      </c>
    </row>
    <row r="9" spans="1:8" x14ac:dyDescent="0.3">
      <c r="A9" t="s">
        <v>8391</v>
      </c>
      <c r="B9">
        <f>COUNTIFS(Data!$F$2:$F$4115,"successful",Data!$D$2:$D$4115,"&gt;=25000",Data!$D$2:$D$4115,"&lt;30000")</f>
        <v>55</v>
      </c>
      <c r="C9">
        <f>COUNTIFS(Data!$F$2:$F$4115,"failed",Data!$D$2:$D$4115,"&gt;=25000",Data!$D$2:$D$4115,"&lt;30000")</f>
        <v>64</v>
      </c>
      <c r="D9">
        <f>COUNTIFS(Data!$F$2:$F$4115,"canceled",Data!$D$2:$D$4115,"&gt;=25000",Data!$D$2:$D$4115,"&lt;30000")</f>
        <v>18</v>
      </c>
      <c r="E9">
        <f t="shared" si="0"/>
        <v>137</v>
      </c>
      <c r="F9" s="15">
        <f t="shared" si="1"/>
        <v>0.40145985401459855</v>
      </c>
      <c r="G9" s="15">
        <f t="shared" si="2"/>
        <v>0.46715328467153283</v>
      </c>
      <c r="H9" s="15">
        <f t="shared" si="3"/>
        <v>0.13138686131386862</v>
      </c>
    </row>
    <row r="10" spans="1:8" x14ac:dyDescent="0.3">
      <c r="A10" t="s">
        <v>8392</v>
      </c>
      <c r="B10">
        <f>COUNTIFS(Data!$F$2:$F$4115,"successful",Data!$D$2:$D$4115,"&gt;=30000",Data!$D$2:$D$4115,"&lt;35000")</f>
        <v>32</v>
      </c>
      <c r="C10">
        <f>COUNTIFS(Data!$F$2:$F$4115,"failed",Data!$D$2:$D$4115,"&gt;=30000",Data!$D$2:$D$4115,"&lt;35000")</f>
        <v>37</v>
      </c>
      <c r="D10">
        <f>COUNTIFS(Data!$F$2:$F$4115,"canceled",Data!$D$2:$D$4115,"&gt;=30000",Data!$D$2:$D$4115,"&lt;35000")</f>
        <v>13</v>
      </c>
      <c r="E10">
        <f t="shared" si="0"/>
        <v>82</v>
      </c>
      <c r="F10" s="15">
        <f t="shared" si="1"/>
        <v>0.3902439024390244</v>
      </c>
      <c r="G10" s="15">
        <f t="shared" si="2"/>
        <v>0.45121951219512196</v>
      </c>
      <c r="H10" s="15">
        <f t="shared" si="3"/>
        <v>0.15853658536585366</v>
      </c>
    </row>
    <row r="11" spans="1:8" x14ac:dyDescent="0.3">
      <c r="A11" t="s">
        <v>8393</v>
      </c>
      <c r="B11">
        <f>COUNTIFS(Data!$F$2:$F$4115,"successful",Data!$D$2:$D$4115,"&gt;=35000",Data!$D$2:$D$4115,"&lt;40000")</f>
        <v>26</v>
      </c>
      <c r="C11">
        <f>COUNTIFS(Data!$F$2:$F$4115,"failed",Data!$D$2:$D$4115,"&gt;=35000",Data!$D$2:$D$4115,"&lt;40000")</f>
        <v>22</v>
      </c>
      <c r="D11">
        <f>COUNTIFS(Data!$F$2:$F$4115,"canceled",Data!$D$2:$D$4115,"&gt;=35000",Data!$D$2:$D$4115,"&lt;40000")</f>
        <v>7</v>
      </c>
      <c r="E11">
        <f t="shared" si="0"/>
        <v>55</v>
      </c>
      <c r="F11" s="15">
        <f t="shared" si="1"/>
        <v>0.47272727272727272</v>
      </c>
      <c r="G11" s="15">
        <f t="shared" si="2"/>
        <v>0.4</v>
      </c>
      <c r="H11" s="15">
        <f t="shared" si="3"/>
        <v>0.12727272727272726</v>
      </c>
    </row>
    <row r="12" spans="1:8" x14ac:dyDescent="0.3">
      <c r="A12" t="s">
        <v>8394</v>
      </c>
      <c r="B12">
        <f>COUNTIFS(Data!$F$2:$F$4115,"successful",Data!$D$2:$D$4115,"&gt;=40000",Data!$D$2:$D$4115,"&lt;45000")</f>
        <v>21</v>
      </c>
      <c r="C12">
        <f>COUNTIFS(Data!$F$2:$F$4115,"failed",Data!$D$2:$D$4115,"&gt;=40000",Data!$D$2:$D$4115,"&lt;45000")</f>
        <v>16</v>
      </c>
      <c r="D12">
        <f>COUNTIFS(Data!$F$2:$F$4115,"canceled",Data!$D$2:$D$4115,"&gt;=40000",Data!$D$2:$D$4115,"&lt;45000")</f>
        <v>6</v>
      </c>
      <c r="E12">
        <f t="shared" si="0"/>
        <v>43</v>
      </c>
      <c r="F12" s="15">
        <f t="shared" si="1"/>
        <v>0.48837209302325579</v>
      </c>
      <c r="G12" s="15">
        <f t="shared" si="2"/>
        <v>0.37209302325581395</v>
      </c>
      <c r="H12" s="15">
        <f t="shared" si="3"/>
        <v>0.13953488372093023</v>
      </c>
    </row>
    <row r="13" spans="1:8" x14ac:dyDescent="0.3">
      <c r="A13" t="s">
        <v>8395</v>
      </c>
      <c r="B13">
        <f>COUNTIFS(Data!$F$2:$F$4115,"successful",Data!$D$2:$D$4115,"&gt;=45000",Data!$D$2:$D$4115,"&lt;50000")</f>
        <v>6</v>
      </c>
      <c r="C13">
        <f>COUNTIFS(Data!$F$2:$F$4115,"failed",Data!$D$2:$D$4115,"&gt;=45000",Data!$D$2:$D$4115,"&lt;50000")</f>
        <v>11</v>
      </c>
      <c r="D13">
        <f>COUNTIFS(Data!$F$2:$F$4115,"canceled",Data!$D$2:$D$4115,"&gt;=45000",Data!$D$2:$D$4115,"&lt;50000")</f>
        <v>4</v>
      </c>
      <c r="E13">
        <f t="shared" si="0"/>
        <v>21</v>
      </c>
      <c r="F13" s="15">
        <f t="shared" si="1"/>
        <v>0.2857142857142857</v>
      </c>
      <c r="G13" s="15">
        <f t="shared" si="2"/>
        <v>0.52380952380952384</v>
      </c>
      <c r="H13" s="15">
        <f t="shared" si="3"/>
        <v>0.19047619047619047</v>
      </c>
    </row>
    <row r="14" spans="1:8" x14ac:dyDescent="0.3">
      <c r="A14" t="s">
        <v>8396</v>
      </c>
      <c r="B14">
        <f>COUNTIFS(Data!$F$2:$F$4115,"successful",Data!$D$2:$D$4115,"&gt;=50000")</f>
        <v>86</v>
      </c>
      <c r="C14">
        <f>COUNTIFS(Data!$F$2:$F$4115,"failed",Data!$D$2:$D$4115,"&gt;=50000")</f>
        <v>258</v>
      </c>
      <c r="D14">
        <f>COUNTIFS(Data!$F$2:$F$4115,"canceled",Data!$D$2:$D$4115,"&gt;=50000")</f>
        <v>100</v>
      </c>
      <c r="E14">
        <f t="shared" si="0"/>
        <v>444</v>
      </c>
      <c r="F14" s="15">
        <f t="shared" si="1"/>
        <v>0.19369369369369369</v>
      </c>
      <c r="G14" s="15">
        <f t="shared" si="2"/>
        <v>0.58108108108108103</v>
      </c>
      <c r="H14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by Category</vt:lpstr>
      <vt:lpstr>State by Subcategory</vt:lpstr>
      <vt:lpstr>State by Month</vt:lpstr>
      <vt:lpstr>State - 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pvcousin</cp:lastModifiedBy>
  <dcterms:created xsi:type="dcterms:W3CDTF">2017-04-20T15:17:24Z</dcterms:created>
  <dcterms:modified xsi:type="dcterms:W3CDTF">2018-11-14T12:55:52Z</dcterms:modified>
</cp:coreProperties>
</file>