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a71ba8cf79870e/Desktop/financial modeling/netflix/"/>
    </mc:Choice>
  </mc:AlternateContent>
  <xr:revisionPtr revIDLastSave="15" documentId="11_52D2BA93F1E160F68EEBC4F2B71C0460D6F83775" xr6:coauthVersionLast="47" xr6:coauthVersionMax="47" xr10:uidLastSave="{854D7D93-B8E2-4AC7-A7C0-6A3404590880}"/>
  <bookViews>
    <workbookView xWindow="-110" yWindow="-110" windowWidth="19420" windowHeight="10660" firstSheet="7" activeTab="9" xr2:uid="{00000000-000D-0000-FFFF-FFFF00000000}"/>
  </bookViews>
  <sheets>
    <sheet name="P&amp;L Input" sheetId="2" r:id="rId1"/>
    <sheet name="Balance Sheet Input" sheetId="3" r:id="rId2"/>
    <sheet name="Revenue Modelling" sheetId="4" r:id="rId3"/>
    <sheet name="Other Items" sheetId="5" r:id="rId4"/>
    <sheet name="Schedules" sheetId="7" r:id="rId5"/>
    <sheet name="P&amp;L" sheetId="9" r:id="rId6"/>
    <sheet name="Balance Sheet" sheetId="11" r:id="rId7"/>
    <sheet name="Cashflow statements" sheetId="15" r:id="rId8"/>
    <sheet name="WACC" sheetId="13" r:id="rId9"/>
    <sheet name="DCF" sheetId="1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4" l="1"/>
  <c r="B18" i="14"/>
  <c r="B17" i="14"/>
  <c r="B16" i="14"/>
  <c r="B13" i="14"/>
  <c r="B12" i="14"/>
  <c r="B10" i="14"/>
  <c r="C8" i="14"/>
  <c r="D8" i="14"/>
  <c r="E8" i="14"/>
  <c r="B8" i="14"/>
  <c r="C5" i="14"/>
  <c r="D5" i="14"/>
  <c r="E5" i="14"/>
  <c r="B5" i="14"/>
  <c r="C4" i="14"/>
  <c r="D4" i="14"/>
  <c r="E4" i="14"/>
  <c r="B4" i="14"/>
  <c r="B17" i="13"/>
  <c r="B16" i="13"/>
  <c r="B14" i="13"/>
  <c r="B13" i="13"/>
  <c r="F23" i="11"/>
  <c r="G23" i="11"/>
  <c r="H23" i="11"/>
  <c r="E23" i="11"/>
  <c r="F23" i="15"/>
  <c r="G23" i="15"/>
  <c r="H23" i="15"/>
  <c r="E23" i="15"/>
  <c r="F7" i="11"/>
  <c r="G7" i="11"/>
  <c r="H7" i="11"/>
  <c r="E7" i="11"/>
  <c r="F16" i="15"/>
  <c r="G16" i="15"/>
  <c r="H16" i="15"/>
  <c r="E16" i="15"/>
  <c r="F18" i="11"/>
  <c r="G18" i="11"/>
  <c r="H18" i="11"/>
  <c r="E18" i="11"/>
  <c r="F15" i="15"/>
  <c r="G15" i="15"/>
  <c r="H15" i="15"/>
  <c r="E15" i="15"/>
  <c r="F19" i="11"/>
  <c r="G19" i="11"/>
  <c r="H19" i="11"/>
  <c r="E19" i="11"/>
  <c r="F12" i="15"/>
  <c r="G12" i="15"/>
  <c r="H12" i="15"/>
  <c r="F13" i="15"/>
  <c r="G13" i="15"/>
  <c r="H13" i="15"/>
  <c r="E13" i="15"/>
  <c r="F17" i="11"/>
  <c r="G17" i="11"/>
  <c r="H17" i="11"/>
  <c r="E17" i="11"/>
  <c r="E10" i="11"/>
  <c r="E12" i="15"/>
  <c r="F10" i="11"/>
  <c r="G10" i="11"/>
  <c r="H10" i="11"/>
  <c r="G19" i="15"/>
  <c r="G20" i="15" s="1"/>
  <c r="H19" i="15"/>
  <c r="F19" i="15"/>
  <c r="E19" i="15"/>
  <c r="H10" i="15"/>
  <c r="F10" i="15"/>
  <c r="G10" i="15"/>
  <c r="E10" i="15"/>
  <c r="F9" i="11"/>
  <c r="G9" i="11"/>
  <c r="H9" i="11"/>
  <c r="E18" i="15"/>
  <c r="E9" i="11"/>
  <c r="H18" i="15"/>
  <c r="F18" i="15"/>
  <c r="G18" i="15"/>
  <c r="F9" i="15"/>
  <c r="G9" i="15"/>
  <c r="H9" i="15"/>
  <c r="E9" i="15"/>
  <c r="E30" i="11"/>
  <c r="F30" i="11" s="1"/>
  <c r="G30" i="11" s="1"/>
  <c r="H30" i="11" s="1"/>
  <c r="G24" i="15"/>
  <c r="H24" i="15"/>
  <c r="F7" i="15"/>
  <c r="G7" i="15"/>
  <c r="H7" i="15"/>
  <c r="F5" i="15"/>
  <c r="F6" i="15" s="1"/>
  <c r="F8" i="15" s="1"/>
  <c r="G5" i="15"/>
  <c r="H5" i="15"/>
  <c r="D35" i="11"/>
  <c r="C35" i="11"/>
  <c r="B35" i="11"/>
  <c r="E5" i="15"/>
  <c r="E7" i="15"/>
  <c r="E27" i="7"/>
  <c r="E24" i="15" s="1"/>
  <c r="E21" i="11"/>
  <c r="E25" i="11" s="1"/>
  <c r="G21" i="11"/>
  <c r="H21" i="11"/>
  <c r="E19" i="7"/>
  <c r="F25" i="5"/>
  <c r="G25" i="5"/>
  <c r="H25" i="5"/>
  <c r="E25" i="5"/>
  <c r="F22" i="5"/>
  <c r="G22" i="5"/>
  <c r="H22" i="5"/>
  <c r="E22" i="5"/>
  <c r="F23" i="5"/>
  <c r="G23" i="5"/>
  <c r="H23" i="5"/>
  <c r="H26" i="5"/>
  <c r="F26" i="5"/>
  <c r="G26" i="5"/>
  <c r="E23" i="5"/>
  <c r="E26" i="5"/>
  <c r="C26" i="5"/>
  <c r="D26" i="5"/>
  <c r="B26" i="5"/>
  <c r="C23" i="5"/>
  <c r="D23" i="5"/>
  <c r="B23" i="5"/>
  <c r="C25" i="5"/>
  <c r="D25" i="5"/>
  <c r="B25" i="5"/>
  <c r="C22" i="5"/>
  <c r="D22" i="5"/>
  <c r="B22" i="5"/>
  <c r="F19" i="5"/>
  <c r="G19" i="5"/>
  <c r="H19" i="5"/>
  <c r="E19" i="5"/>
  <c r="F20" i="5"/>
  <c r="G20" i="5" s="1"/>
  <c r="H20" i="5" s="1"/>
  <c r="E20" i="5"/>
  <c r="C20" i="5"/>
  <c r="D20" i="5"/>
  <c r="B20" i="5"/>
  <c r="C19" i="5"/>
  <c r="D19" i="5"/>
  <c r="B19" i="5"/>
  <c r="E16" i="5"/>
  <c r="F16" i="5"/>
  <c r="G16" i="5"/>
  <c r="H16" i="5"/>
  <c r="H17" i="5"/>
  <c r="F17" i="5"/>
  <c r="G17" i="5"/>
  <c r="E17" i="5"/>
  <c r="C17" i="5"/>
  <c r="D17" i="5"/>
  <c r="B17" i="5"/>
  <c r="C16" i="5"/>
  <c r="D16" i="5"/>
  <c r="B16" i="5"/>
  <c r="F20" i="9"/>
  <c r="G20" i="9" s="1"/>
  <c r="H20" i="9" s="1"/>
  <c r="E20" i="9"/>
  <c r="C20" i="9"/>
  <c r="D20" i="9"/>
  <c r="B20" i="9"/>
  <c r="C19" i="9"/>
  <c r="D19" i="9"/>
  <c r="B19" i="9"/>
  <c r="C17" i="9"/>
  <c r="D17" i="9"/>
  <c r="B17" i="9"/>
  <c r="E15" i="9"/>
  <c r="C15" i="9"/>
  <c r="D15" i="9"/>
  <c r="F15" i="9"/>
  <c r="G15" i="9"/>
  <c r="H15" i="9"/>
  <c r="C16" i="9"/>
  <c r="D16" i="9"/>
  <c r="G16" i="9"/>
  <c r="H16" i="9"/>
  <c r="B16" i="9"/>
  <c r="B14" i="9"/>
  <c r="C14" i="9"/>
  <c r="D14" i="9"/>
  <c r="E14" i="9"/>
  <c r="F14" i="9"/>
  <c r="G14" i="9"/>
  <c r="H14" i="9"/>
  <c r="C4" i="5"/>
  <c r="D4" i="5"/>
  <c r="B4" i="5"/>
  <c r="B5" i="5" s="1"/>
  <c r="C12" i="9"/>
  <c r="D12" i="9"/>
  <c r="E12" i="9"/>
  <c r="F12" i="9"/>
  <c r="G12" i="9"/>
  <c r="H12" i="9"/>
  <c r="B12" i="9"/>
  <c r="C11" i="9"/>
  <c r="D11" i="9"/>
  <c r="E11" i="9"/>
  <c r="F11" i="9"/>
  <c r="G11" i="9"/>
  <c r="H11" i="9"/>
  <c r="B11" i="9"/>
  <c r="C10" i="9"/>
  <c r="D10" i="9"/>
  <c r="E10" i="9"/>
  <c r="F10" i="9"/>
  <c r="G10" i="9"/>
  <c r="H10" i="9"/>
  <c r="B10" i="9"/>
  <c r="C7" i="9"/>
  <c r="D7" i="9"/>
  <c r="C5" i="9"/>
  <c r="D5" i="9"/>
  <c r="E5" i="9"/>
  <c r="F5" i="9"/>
  <c r="G5" i="9"/>
  <c r="H5" i="9"/>
  <c r="C4" i="9"/>
  <c r="C6" i="9" s="1"/>
  <c r="C8" i="9" s="1"/>
  <c r="C13" i="9" s="1"/>
  <c r="D4" i="9"/>
  <c r="D6" i="9" s="1"/>
  <c r="E4" i="9"/>
  <c r="F4" i="9"/>
  <c r="G4" i="9"/>
  <c r="H4" i="9"/>
  <c r="B5" i="9"/>
  <c r="B4" i="9"/>
  <c r="E6" i="9"/>
  <c r="F6" i="9"/>
  <c r="B6" i="9"/>
  <c r="F27" i="7"/>
  <c r="F16" i="9" s="1"/>
  <c r="G27" i="7"/>
  <c r="H27" i="7"/>
  <c r="G25" i="7"/>
  <c r="F25" i="7"/>
  <c r="E25" i="7"/>
  <c r="F23" i="7" s="1"/>
  <c r="G23" i="7"/>
  <c r="E23" i="7"/>
  <c r="E6" i="7"/>
  <c r="E7" i="7" s="1"/>
  <c r="F4" i="7" s="1"/>
  <c r="E16" i="7"/>
  <c r="E17" i="7" s="1"/>
  <c r="F14" i="7" s="1"/>
  <c r="F19" i="7"/>
  <c r="G19" i="7"/>
  <c r="H19" i="7"/>
  <c r="F15" i="7"/>
  <c r="G15" i="7" s="1"/>
  <c r="H15" i="7" s="1"/>
  <c r="E15" i="7"/>
  <c r="E14" i="7"/>
  <c r="E4" i="7"/>
  <c r="F5" i="7"/>
  <c r="G5" i="7" s="1"/>
  <c r="H5" i="7" s="1"/>
  <c r="E5" i="7"/>
  <c r="G9" i="7"/>
  <c r="H9" i="7"/>
  <c r="F9" i="7"/>
  <c r="E9" i="7"/>
  <c r="F13" i="5"/>
  <c r="G13" i="5"/>
  <c r="H13" i="5"/>
  <c r="E13" i="5"/>
  <c r="F14" i="5"/>
  <c r="G14" i="5"/>
  <c r="H14" i="5"/>
  <c r="E14" i="5"/>
  <c r="C14" i="5"/>
  <c r="D14" i="5"/>
  <c r="B14" i="5"/>
  <c r="C13" i="5"/>
  <c r="D13" i="5"/>
  <c r="B13" i="5"/>
  <c r="F10" i="5"/>
  <c r="G10" i="5"/>
  <c r="H10" i="5"/>
  <c r="E10" i="5"/>
  <c r="F11" i="5"/>
  <c r="G11" i="5"/>
  <c r="H11" i="5"/>
  <c r="E11" i="5"/>
  <c r="C11" i="5"/>
  <c r="D11" i="5"/>
  <c r="B11" i="5"/>
  <c r="C10" i="5"/>
  <c r="D10" i="5"/>
  <c r="B10" i="5"/>
  <c r="F7" i="5"/>
  <c r="G7" i="5"/>
  <c r="H7" i="5"/>
  <c r="F8" i="5"/>
  <c r="G8" i="5"/>
  <c r="H8" i="5"/>
  <c r="E8" i="5"/>
  <c r="E7" i="5" s="1"/>
  <c r="C8" i="5"/>
  <c r="D8" i="5"/>
  <c r="B8" i="5"/>
  <c r="C7" i="5"/>
  <c r="D7" i="5"/>
  <c r="B7" i="5"/>
  <c r="C5" i="5"/>
  <c r="D5" i="5"/>
  <c r="E6" i="4"/>
  <c r="F6" i="4"/>
  <c r="G6" i="4"/>
  <c r="H6" i="4"/>
  <c r="E3" i="4"/>
  <c r="F3" i="4"/>
  <c r="G3" i="4"/>
  <c r="H3" i="4"/>
  <c r="H4" i="4"/>
  <c r="H5" i="4"/>
  <c r="F4" i="4"/>
  <c r="G4" i="4"/>
  <c r="E4" i="4"/>
  <c r="F5" i="4"/>
  <c r="G5" i="4"/>
  <c r="E5" i="4"/>
  <c r="D5" i="4"/>
  <c r="G32" i="4"/>
  <c r="F32" i="4"/>
  <c r="G25" i="4"/>
  <c r="F25" i="4"/>
  <c r="E25" i="4"/>
  <c r="E33" i="4"/>
  <c r="F33" i="4" s="1"/>
  <c r="G33" i="4" s="1"/>
  <c r="H33" i="4" s="1"/>
  <c r="E32" i="4"/>
  <c r="E31" i="4" s="1"/>
  <c r="H34" i="4"/>
  <c r="G34" i="4"/>
  <c r="F34" i="4"/>
  <c r="E34" i="4"/>
  <c r="E26" i="4"/>
  <c r="F26" i="4" s="1"/>
  <c r="G26" i="4" s="1"/>
  <c r="H26" i="4" s="1"/>
  <c r="H27" i="4"/>
  <c r="G27" i="4"/>
  <c r="F27" i="4"/>
  <c r="E27" i="4"/>
  <c r="H17" i="4"/>
  <c r="G17" i="4"/>
  <c r="F17" i="4"/>
  <c r="H6" i="15" l="1"/>
  <c r="H8" i="15" s="1"/>
  <c r="H11" i="15" s="1"/>
  <c r="H17" i="15"/>
  <c r="G17" i="15"/>
  <c r="H20" i="15"/>
  <c r="E17" i="15"/>
  <c r="G6" i="15"/>
  <c r="G8" i="15" s="1"/>
  <c r="G11" i="15" s="1"/>
  <c r="E6" i="15"/>
  <c r="E8" i="15" s="1"/>
  <c r="E11" i="15" s="1"/>
  <c r="E20" i="15"/>
  <c r="F20" i="15"/>
  <c r="F11" i="15"/>
  <c r="H25" i="11"/>
  <c r="G25" i="11"/>
  <c r="F17" i="15"/>
  <c r="F21" i="11"/>
  <c r="F25" i="11" s="1"/>
  <c r="F24" i="15"/>
  <c r="E16" i="9"/>
  <c r="F16" i="7"/>
  <c r="F17" i="7"/>
  <c r="G14" i="7" s="1"/>
  <c r="E5" i="5"/>
  <c r="E4" i="5" s="1"/>
  <c r="D8" i="9"/>
  <c r="D13" i="9" s="1"/>
  <c r="B7" i="9"/>
  <c r="B8" i="9" s="1"/>
  <c r="B13" i="9" s="1"/>
  <c r="C18" i="9"/>
  <c r="C21" i="9" s="1"/>
  <c r="D18" i="9"/>
  <c r="D21" i="9" s="1"/>
  <c r="G6" i="9"/>
  <c r="H6" i="9"/>
  <c r="H23" i="7"/>
  <c r="H25" i="7" s="1"/>
  <c r="G16" i="7"/>
  <c r="G17" i="7" s="1"/>
  <c r="H14" i="7" s="1"/>
  <c r="F6" i="7"/>
  <c r="F7" i="7" s="1"/>
  <c r="G4" i="7" s="1"/>
  <c r="G6" i="7" s="1"/>
  <c r="G7" i="7" s="1"/>
  <c r="H4" i="7" s="1"/>
  <c r="E7" i="9"/>
  <c r="E8" i="9" s="1"/>
  <c r="F5" i="5"/>
  <c r="H25" i="4"/>
  <c r="H24" i="4"/>
  <c r="F31" i="4"/>
  <c r="G24" i="4"/>
  <c r="F24" i="4"/>
  <c r="E24" i="4"/>
  <c r="B10" i="13"/>
  <c r="B19" i="13" s="1"/>
  <c r="D31" i="11"/>
  <c r="C31" i="11"/>
  <c r="B31" i="11"/>
  <c r="D21" i="11"/>
  <c r="D25" i="11" s="1"/>
  <c r="C21" i="11"/>
  <c r="C25" i="11" s="1"/>
  <c r="B21" i="11"/>
  <c r="B25" i="11" s="1"/>
  <c r="B7" i="11"/>
  <c r="B8" i="11" s="1"/>
  <c r="B12" i="11" s="1"/>
  <c r="C8" i="11"/>
  <c r="C12" i="11" s="1"/>
  <c r="D8" i="11"/>
  <c r="D12" i="11" s="1"/>
  <c r="C27" i="7"/>
  <c r="C25" i="7"/>
  <c r="D23" i="7" s="1"/>
  <c r="C28" i="7"/>
  <c r="D27" i="7"/>
  <c r="B27" i="7"/>
  <c r="B28" i="7" s="1"/>
  <c r="D25" i="7"/>
  <c r="B25" i="7"/>
  <c r="C23" i="7"/>
  <c r="C24" i="7"/>
  <c r="B17" i="7"/>
  <c r="C14" i="7"/>
  <c r="C19" i="7" s="1"/>
  <c r="C17" i="7"/>
  <c r="D17" i="7"/>
  <c r="D7" i="7"/>
  <c r="C7" i="7"/>
  <c r="B7" i="7"/>
  <c r="C4" i="7"/>
  <c r="D28" i="7"/>
  <c r="C15" i="7"/>
  <c r="D14" i="7"/>
  <c r="D4" i="7"/>
  <c r="D5" i="7" s="1"/>
  <c r="D9" i="7" s="1"/>
  <c r="D15" i="7"/>
  <c r="D19" i="7"/>
  <c r="D3" i="4"/>
  <c r="D6" i="4" s="1"/>
  <c r="C3" i="4"/>
  <c r="C6" i="4" s="1"/>
  <c r="B3" i="4"/>
  <c r="B6" i="4" s="1"/>
  <c r="C5" i="4"/>
  <c r="D32" i="4"/>
  <c r="D33" i="4"/>
  <c r="C32" i="4"/>
  <c r="C33" i="4" s="1"/>
  <c r="B32" i="4"/>
  <c r="B33" i="4" s="1"/>
  <c r="D25" i="4"/>
  <c r="D26" i="4"/>
  <c r="C25" i="4"/>
  <c r="C26" i="4" s="1"/>
  <c r="B25" i="4"/>
  <c r="B26" i="4" s="1"/>
  <c r="D18" i="4"/>
  <c r="C18" i="4"/>
  <c r="C19" i="4"/>
  <c r="B18" i="4"/>
  <c r="E18" i="4" s="1"/>
  <c r="B19" i="4"/>
  <c r="C11" i="4"/>
  <c r="C12" i="4" s="1"/>
  <c r="D11" i="4"/>
  <c r="D12" i="4" s="1"/>
  <c r="B11" i="4"/>
  <c r="B12" i="4" s="1"/>
  <c r="D31" i="3"/>
  <c r="C31" i="3"/>
  <c r="B31" i="3"/>
  <c r="D21" i="3"/>
  <c r="D25" i="3" s="1"/>
  <c r="D32" i="3" s="1"/>
  <c r="C21" i="3"/>
  <c r="C25" i="3" s="1"/>
  <c r="C32" i="3" s="1"/>
  <c r="B21" i="3"/>
  <c r="B25" i="3"/>
  <c r="B32" i="3" s="1"/>
  <c r="D8" i="3"/>
  <c r="D12" i="3"/>
  <c r="C8" i="3"/>
  <c r="C12" i="3" s="1"/>
  <c r="B7" i="3"/>
  <c r="B8" i="3"/>
  <c r="B12" i="3"/>
  <c r="G22" i="15" l="1"/>
  <c r="H22" i="15"/>
  <c r="F22" i="15"/>
  <c r="E22" i="15"/>
  <c r="D32" i="11"/>
  <c r="C32" i="11"/>
  <c r="B32" i="11"/>
  <c r="F4" i="5"/>
  <c r="F7" i="9" s="1"/>
  <c r="F8" i="9" s="1"/>
  <c r="F13" i="9" s="1"/>
  <c r="F18" i="9" s="1"/>
  <c r="E13" i="9"/>
  <c r="E18" i="9" s="1"/>
  <c r="G5" i="5"/>
  <c r="B15" i="9"/>
  <c r="B18" i="9" s="1"/>
  <c r="B21" i="9" s="1"/>
  <c r="H16" i="7"/>
  <c r="H17" i="7" s="1"/>
  <c r="H6" i="7"/>
  <c r="H7" i="7" s="1"/>
  <c r="D27" i="4"/>
  <c r="H18" i="4"/>
  <c r="C20" i="4"/>
  <c r="F18" i="4"/>
  <c r="G18" i="4"/>
  <c r="C9" i="7"/>
  <c r="C13" i="4"/>
  <c r="D24" i="7"/>
  <c r="C27" i="4"/>
  <c r="D13" i="4"/>
  <c r="C34" i="4"/>
  <c r="D34" i="4"/>
  <c r="C5" i="7"/>
  <c r="E11" i="4"/>
  <c r="F11" i="4"/>
  <c r="G11" i="4"/>
  <c r="H11" i="4"/>
  <c r="D19" i="4"/>
  <c r="E19" i="9" l="1"/>
  <c r="E25" i="15" s="1"/>
  <c r="F19" i="9"/>
  <c r="G4" i="5"/>
  <c r="G7" i="9" s="1"/>
  <c r="G8" i="9" s="1"/>
  <c r="G13" i="9" s="1"/>
  <c r="G18" i="9" s="1"/>
  <c r="H5" i="5"/>
  <c r="G31" i="4"/>
  <c r="H32" i="4"/>
  <c r="H31" i="4" s="1"/>
  <c r="D20" i="4"/>
  <c r="E20" i="4" s="1"/>
  <c r="F20" i="4" s="1"/>
  <c r="G20" i="4" s="1"/>
  <c r="H20" i="4" s="1"/>
  <c r="E10" i="4"/>
  <c r="F13" i="4"/>
  <c r="G13" i="4"/>
  <c r="H13" i="4"/>
  <c r="E13" i="4"/>
  <c r="E12" i="4" s="1"/>
  <c r="E26" i="15" l="1"/>
  <c r="E6" i="11" s="1"/>
  <c r="E8" i="11" s="1"/>
  <c r="E12" i="11" s="1"/>
  <c r="G19" i="9"/>
  <c r="G25" i="15" s="1"/>
  <c r="G26" i="15" s="1"/>
  <c r="F21" i="9"/>
  <c r="F25" i="15"/>
  <c r="F26" i="15" s="1"/>
  <c r="E21" i="9"/>
  <c r="H4" i="5"/>
  <c r="H7" i="9" s="1"/>
  <c r="H8" i="9" s="1"/>
  <c r="H13" i="9" s="1"/>
  <c r="H18" i="9" s="1"/>
  <c r="E19" i="4"/>
  <c r="F12" i="4"/>
  <c r="F6" i="11" l="1"/>
  <c r="F8" i="11" s="1"/>
  <c r="F12" i="11" s="1"/>
  <c r="G21" i="9"/>
  <c r="H19" i="9"/>
  <c r="H25" i="15" s="1"/>
  <c r="H26" i="15" s="1"/>
  <c r="E31" i="11"/>
  <c r="E32" i="11" s="1"/>
  <c r="E35" i="11" s="1"/>
  <c r="E17" i="4"/>
  <c r="F19" i="4"/>
  <c r="G12" i="4"/>
  <c r="F10" i="4"/>
  <c r="G6" i="11" l="1"/>
  <c r="G8" i="11" s="1"/>
  <c r="G12" i="11" s="1"/>
  <c r="H21" i="9"/>
  <c r="F31" i="11"/>
  <c r="F32" i="11" s="1"/>
  <c r="F35" i="11" s="1"/>
  <c r="G19" i="4"/>
  <c r="H12" i="4"/>
  <c r="H10" i="4" s="1"/>
  <c r="G10" i="4"/>
  <c r="H6" i="11" l="1"/>
  <c r="H8" i="11" s="1"/>
  <c r="H12" i="11" s="1"/>
  <c r="G31" i="11"/>
  <c r="G32" i="11" s="1"/>
  <c r="G35" i="11" s="1"/>
  <c r="H31" i="11"/>
  <c r="H32" i="11" s="1"/>
  <c r="H19" i="4"/>
  <c r="H35" i="11" l="1"/>
</calcChain>
</file>

<file path=xl/sharedStrings.xml><?xml version="1.0" encoding="utf-8"?>
<sst xmlns="http://schemas.openxmlformats.org/spreadsheetml/2006/main" count="299" uniqueCount="157">
  <si>
    <t>P&amp;L Statement</t>
  </si>
  <si>
    <t>(in thousands)</t>
  </si>
  <si>
    <t>2018
Act</t>
  </si>
  <si>
    <t>2019
Act</t>
  </si>
  <si>
    <t>2020
Act</t>
  </si>
  <si>
    <t>Revenues</t>
  </si>
  <si>
    <t>Cost of revenues</t>
  </si>
  <si>
    <t>Marketing</t>
  </si>
  <si>
    <t>Technology and development</t>
  </si>
  <si>
    <t>General and administrative</t>
  </si>
  <si>
    <t>Operating income</t>
  </si>
  <si>
    <t>Other income (expense):</t>
  </si>
  <si>
    <t xml:space="preserve">     Interest</t>
  </si>
  <si>
    <t xml:space="preserve">     Interest and other income (expense)</t>
  </si>
  <si>
    <t>Income before income taxes</t>
  </si>
  <si>
    <t>Provision for income taxes</t>
  </si>
  <si>
    <t>Net income</t>
  </si>
  <si>
    <t xml:space="preserve">Balance Sheet </t>
  </si>
  <si>
    <t>Assets</t>
  </si>
  <si>
    <t>Current assets:</t>
  </si>
  <si>
    <t xml:space="preserve">     Cash and cash equivalents</t>
  </si>
  <si>
    <t xml:space="preserve">     Other current assets</t>
  </si>
  <si>
    <t>Total current assets</t>
  </si>
  <si>
    <t xml:space="preserve">     Content assets, net</t>
  </si>
  <si>
    <t xml:space="preserve">     Property and equipment, net</t>
  </si>
  <si>
    <t xml:space="preserve">     Other non-current assets</t>
  </si>
  <si>
    <t>Total assets</t>
  </si>
  <si>
    <t>Liabilities and Stockholders' Equity</t>
  </si>
  <si>
    <t>Current liabilities:</t>
  </si>
  <si>
    <t xml:space="preserve">     Current content liabilities</t>
  </si>
  <si>
    <t xml:space="preserve">     Accounts payable</t>
  </si>
  <si>
    <t xml:space="preserve">     Accrued expenses and other liabilities</t>
  </si>
  <si>
    <t xml:space="preserve">     Deferred revenue</t>
  </si>
  <si>
    <t xml:space="preserve">     Short-term debt</t>
  </si>
  <si>
    <t>Total current liabilities</t>
  </si>
  <si>
    <t>Non-current content liabilities</t>
  </si>
  <si>
    <t xml:space="preserve">     Long-term debt</t>
  </si>
  <si>
    <t xml:space="preserve">     Other non-current liabilities</t>
  </si>
  <si>
    <t>Total liabilities</t>
  </si>
  <si>
    <t>Stockholders' equity:</t>
  </si>
  <si>
    <t xml:space="preserve">     Common stock</t>
  </si>
  <si>
    <t xml:space="preserve">     Treasury stock</t>
  </si>
  <si>
    <t xml:space="preserve">     Accumulated other comprehensive income (loss)</t>
  </si>
  <si>
    <t xml:space="preserve">     Retained earnings</t>
  </si>
  <si>
    <t>Total stockholders' equity</t>
  </si>
  <si>
    <t>Total liabilities and stockholders' equity</t>
  </si>
  <si>
    <t>Revenue Sources</t>
  </si>
  <si>
    <t>Streaming revenues</t>
  </si>
  <si>
    <t>DVD Revenues</t>
  </si>
  <si>
    <t>Growth %</t>
  </si>
  <si>
    <t>Total Revenues</t>
  </si>
  <si>
    <t>Unites States and Canada ( in thousands)</t>
  </si>
  <si>
    <t>Average yearly revenue per membership</t>
  </si>
  <si>
    <t>Average Paid membership</t>
  </si>
  <si>
    <t>Europe, Middle East, and Africa (EMEA) (in thousands)</t>
  </si>
  <si>
    <t>Latin America (LATAM) (in thousands)</t>
  </si>
  <si>
    <t>Asia-Pacific (in thousands)</t>
  </si>
  <si>
    <t>Average Monthly Revenues</t>
  </si>
  <si>
    <t>Other Items</t>
  </si>
  <si>
    <t>Cost of Goods Sold</t>
  </si>
  <si>
    <t>as a % revenues</t>
  </si>
  <si>
    <t>Technology and Development</t>
  </si>
  <si>
    <t>General and Administrative</t>
  </si>
  <si>
    <t>Cashflow</t>
  </si>
  <si>
    <t>Schedules</t>
  </si>
  <si>
    <t>Other Current assets</t>
  </si>
  <si>
    <t xml:space="preserve">Accounts Payable </t>
  </si>
  <si>
    <t>Days Payable</t>
  </si>
  <si>
    <t>Accrued Expenses and other Liabilities</t>
  </si>
  <si>
    <t>Deferred Revenue</t>
  </si>
  <si>
    <t>PP&amp;E</t>
  </si>
  <si>
    <t>Beginning Balance</t>
  </si>
  <si>
    <t>add: Capex</t>
  </si>
  <si>
    <t>less: Depreciation</t>
  </si>
  <si>
    <t>Closing Balance</t>
  </si>
  <si>
    <t xml:space="preserve">Useful life </t>
  </si>
  <si>
    <t>Content Assets</t>
  </si>
  <si>
    <t>less: Amortisation of Content Assets</t>
  </si>
  <si>
    <t>add: Addition to Content Assets</t>
  </si>
  <si>
    <t>Useful life</t>
  </si>
  <si>
    <t>Debt Schedule</t>
  </si>
  <si>
    <t>Beginning Balance of Debt</t>
  </si>
  <si>
    <t>add/less: Debt Taken /(debt repaid)</t>
  </si>
  <si>
    <t>Interest Expense</t>
  </si>
  <si>
    <t>P&amp;L Forcasting</t>
  </si>
  <si>
    <t>Operating Expenses</t>
  </si>
  <si>
    <t>Gross Margin</t>
  </si>
  <si>
    <t>EBITDA</t>
  </si>
  <si>
    <t xml:space="preserve">EBIT </t>
  </si>
  <si>
    <t>EBT</t>
  </si>
  <si>
    <t>Taxes</t>
  </si>
  <si>
    <t>tax rate %</t>
  </si>
  <si>
    <t>Net Income</t>
  </si>
  <si>
    <t>Cash Flow</t>
  </si>
  <si>
    <t>EBIT</t>
  </si>
  <si>
    <t>Operating Taxes</t>
  </si>
  <si>
    <t>Tax Rate %</t>
  </si>
  <si>
    <t>NOPAT</t>
  </si>
  <si>
    <t>add Amortization</t>
  </si>
  <si>
    <t>add Depreciation</t>
  </si>
  <si>
    <t>Gross Cash Flow</t>
  </si>
  <si>
    <t>Account Payables</t>
  </si>
  <si>
    <t>Current content liabilites</t>
  </si>
  <si>
    <t>Accrued expenses and other liabilities</t>
  </si>
  <si>
    <t>Other current assets</t>
  </si>
  <si>
    <t>Investments in Working Capital</t>
  </si>
  <si>
    <t>Capex:</t>
  </si>
  <si>
    <t>Extraordinary Items</t>
  </si>
  <si>
    <t>UFCF</t>
  </si>
  <si>
    <t>Debt taken (Repaid)</t>
  </si>
  <si>
    <t>Diff b/w Operating Taxes &amp; Actual Taxes</t>
  </si>
  <si>
    <t>Net Cash Flow</t>
  </si>
  <si>
    <t>Opening Cash</t>
  </si>
  <si>
    <t xml:space="preserve">Check </t>
  </si>
  <si>
    <t xml:space="preserve">Closing Cash </t>
  </si>
  <si>
    <t>WACC</t>
  </si>
  <si>
    <t>Risk free Rate</t>
  </si>
  <si>
    <t>Market Risk Premium</t>
  </si>
  <si>
    <t>Beta</t>
  </si>
  <si>
    <t>Amount</t>
  </si>
  <si>
    <t xml:space="preserve">Cost of Equity </t>
  </si>
  <si>
    <t>RiskfreeRate*beta + Market Risk Premium</t>
  </si>
  <si>
    <t>Cost Debt</t>
  </si>
  <si>
    <t>Equity</t>
  </si>
  <si>
    <t>Debt</t>
  </si>
  <si>
    <t>Equity/(Equity+Debt)</t>
  </si>
  <si>
    <t>Debt/(Equity+Debt)</t>
  </si>
  <si>
    <t>DCF Analysis</t>
  </si>
  <si>
    <t xml:space="preserve">Discounting Factor </t>
  </si>
  <si>
    <t>No of Years</t>
  </si>
  <si>
    <t>PV of UFCF</t>
  </si>
  <si>
    <t>Sum of PV</t>
  </si>
  <si>
    <t>Terminal Value</t>
  </si>
  <si>
    <t>PV of Terminal value</t>
  </si>
  <si>
    <t>Enterprise Value</t>
  </si>
  <si>
    <t>Cash</t>
  </si>
  <si>
    <t>Equity Value</t>
  </si>
  <si>
    <t>2021
Act</t>
  </si>
  <si>
    <t>2022
Act</t>
  </si>
  <si>
    <t>2023
Act</t>
  </si>
  <si>
    <t>2024
Act</t>
  </si>
  <si>
    <t>2021
Forcasted</t>
  </si>
  <si>
    <t>2022
Forcasted</t>
  </si>
  <si>
    <t>2023
Forcasted</t>
  </si>
  <si>
    <t>2024
Forcasted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</si>
  <si>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</si>
  <si>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</si>
  <si>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</si>
  <si>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</si>
  <si>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</si>
  <si>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</si>
  <si>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</si>
  <si>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</si>
  <si>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2021
Forcast</t>
  </si>
  <si>
    <t>2022
Forcast</t>
  </si>
  <si>
    <t>2023
Forcast</t>
  </si>
  <si>
    <t>2024
Forcast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</si>
</sst>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(&quot;$&quot;* #,##0_);_(&quot;$&quot;* \(#,##0\);_(&quot;$&quot;* &quot;-&quot;??_);_(@_)"/>
    <numFmt numFmtId="168" formatCode="&quot;$&quot;* #,###\ ;&quot;$&quot;* \(#,###\);&quot;$&quot;* \-\ "/>
    <numFmt numFmtId="169" formatCode="&quot;$&quot;#,##0.00"/>
    <numFmt numFmtId="170" formatCode="0.0%"/>
    <numFmt numFmtId="171" formatCode="#,##0.0"/>
    <numFmt numFmtId="172" formatCode="_(* #,##0.0_);_(* \(#,##0.0\);_(* &quot;-&quot;?_);@_l"/>
    <numFmt numFmtId="173" formatCode="_(* #,##0.0_);_(* \(#,##0.0\);_(* &quot;-&quot;?_);@_)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2"/>
      <color rgb="FF002060"/>
      <name val="Arial"/>
      <family val="2"/>
      <charset val="204"/>
    </font>
    <font>
      <sz val="10"/>
      <name val="Arial"/>
      <family val="2"/>
    </font>
    <font>
      <b/>
      <sz val="9"/>
      <name val="Arial"/>
      <family val="2"/>
      <charset val="204"/>
    </font>
    <font>
      <sz val="10"/>
      <color indexed="8"/>
      <name val="Arial"/>
      <family val="2"/>
    </font>
    <font>
      <sz val="10"/>
      <name val="Arial"/>
      <family val="2"/>
      <charset val="204"/>
    </font>
    <font>
      <sz val="10"/>
      <name val="Helv"/>
    </font>
    <font>
      <b/>
      <sz val="10"/>
      <name val="Arial"/>
      <family val="2"/>
    </font>
    <font>
      <i/>
      <sz val="10"/>
      <name val="Arial"/>
      <family val="2"/>
    </font>
    <font>
      <b/>
      <sz val="8"/>
      <color indexed="8"/>
      <name val="Times New Roman"/>
      <family val="2"/>
    </font>
    <font>
      <sz val="10"/>
      <color indexed="8"/>
      <name val="Times New Roman"/>
      <family val="2"/>
    </font>
    <font>
      <sz val="10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color theme="2" tint="-0.89999084444715716"/>
      <name val="Arial"/>
      <family val="2"/>
      <charset val="204"/>
    </font>
    <font>
      <b/>
      <sz val="12"/>
      <color theme="0"/>
      <name val="Arial"/>
      <family val="2"/>
      <charset val="204"/>
    </font>
    <font>
      <sz val="8"/>
      <name val="Calibri"/>
      <family val="2"/>
      <scheme val="minor"/>
    </font>
    <font>
      <b/>
      <sz val="14"/>
      <color rgb="FF002060"/>
      <name val="Arial"/>
      <family val="2"/>
      <charset val="204"/>
    </font>
    <font>
      <sz val="14"/>
      <color theme="1"/>
      <name val="Calibri"/>
      <family val="2"/>
      <scheme val="minor"/>
    </font>
    <font>
      <b/>
      <sz val="14"/>
      <color theme="0"/>
      <name val="Arial"/>
      <family val="2"/>
      <charset val="204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>
      <alignment vertical="top"/>
    </xf>
    <xf numFmtId="165" fontId="7" fillId="0" borderId="0">
      <alignment vertical="top"/>
    </xf>
    <xf numFmtId="0" fontId="8" fillId="0" borderId="0"/>
    <xf numFmtId="0" fontId="4" fillId="0" borderId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23">
    <xf numFmtId="0" fontId="0" fillId="0" borderId="0" xfId="0"/>
    <xf numFmtId="0" fontId="3" fillId="0" borderId="0" xfId="2" applyFont="1">
      <alignment vertical="top"/>
    </xf>
    <xf numFmtId="0" fontId="4" fillId="0" borderId="0" xfId="2" applyFont="1">
      <alignment vertical="top"/>
    </xf>
    <xf numFmtId="0" fontId="5" fillId="0" borderId="1" xfId="2" applyFont="1" applyBorder="1" applyAlignment="1"/>
    <xf numFmtId="0" fontId="5" fillId="0" borderId="1" xfId="2" applyFont="1" applyBorder="1" applyAlignment="1">
      <alignment horizontal="right" vertical="top" wrapText="1"/>
    </xf>
    <xf numFmtId="0" fontId="2" fillId="0" borderId="0" xfId="2">
      <alignment vertical="top"/>
    </xf>
    <xf numFmtId="0" fontId="4" fillId="0" borderId="0" xfId="2" applyFont="1" applyAlignment="1">
      <alignment vertical="top" wrapText="1"/>
    </xf>
    <xf numFmtId="0" fontId="6" fillId="0" borderId="0" xfId="2" applyFont="1" applyAlignment="1">
      <alignment vertical="top" wrapText="1"/>
    </xf>
    <xf numFmtId="166" fontId="7" fillId="0" borderId="0" xfId="3" applyNumberFormat="1">
      <alignment vertical="top"/>
    </xf>
    <xf numFmtId="0" fontId="6" fillId="0" borderId="0" xfId="2" applyFont="1" applyAlignment="1">
      <alignment horizontal="left" vertical="top" indent="2"/>
    </xf>
    <xf numFmtId="0" fontId="6" fillId="0" borderId="0" xfId="2" applyFont="1" applyAlignment="1">
      <alignment horizontal="left" vertical="top"/>
    </xf>
    <xf numFmtId="0" fontId="6" fillId="0" borderId="0" xfId="2" applyFont="1">
      <alignment vertical="top"/>
    </xf>
    <xf numFmtId="0" fontId="6" fillId="0" borderId="0" xfId="2" applyFont="1" applyAlignment="1">
      <alignment horizontal="left" vertical="top" wrapText="1"/>
    </xf>
    <xf numFmtId="0" fontId="9" fillId="0" borderId="0" xfId="4" applyFont="1"/>
    <xf numFmtId="0" fontId="4" fillId="0" borderId="0" xfId="4" applyFont="1"/>
    <xf numFmtId="0" fontId="9" fillId="0" borderId="0" xfId="5" applyFont="1"/>
    <xf numFmtId="3" fontId="4" fillId="0" borderId="0" xfId="4" applyNumberFormat="1" applyFont="1"/>
    <xf numFmtId="167" fontId="6" fillId="0" borderId="0" xfId="6" applyNumberFormat="1" applyFont="1" applyFill="1" applyBorder="1" applyProtection="1"/>
    <xf numFmtId="166" fontId="6" fillId="0" borderId="1" xfId="7" applyNumberFormat="1" applyFont="1" applyFill="1" applyBorder="1"/>
    <xf numFmtId="166" fontId="6" fillId="0" borderId="2" xfId="7" applyNumberFormat="1" applyFont="1" applyFill="1" applyBorder="1"/>
    <xf numFmtId="166" fontId="6" fillId="0" borderId="0" xfId="7" applyNumberFormat="1" applyFont="1" applyFill="1" applyBorder="1"/>
    <xf numFmtId="166" fontId="4" fillId="0" borderId="0" xfId="2" applyNumberFormat="1" applyFont="1">
      <alignment vertical="top"/>
    </xf>
    <xf numFmtId="167" fontId="6" fillId="0" borderId="3" xfId="6" applyNumberFormat="1" applyFont="1" applyFill="1" applyBorder="1"/>
    <xf numFmtId="167" fontId="6" fillId="0" borderId="0" xfId="6" applyNumberFormat="1" applyFont="1" applyFill="1" applyBorder="1"/>
    <xf numFmtId="168" fontId="6" fillId="0" borderId="0" xfId="7" applyNumberFormat="1" applyFont="1" applyFill="1" applyBorder="1"/>
    <xf numFmtId="167" fontId="4" fillId="0" borderId="0" xfId="4" applyNumberFormat="1" applyFont="1"/>
    <xf numFmtId="3" fontId="4" fillId="0" borderId="0" xfId="2" applyNumberFormat="1" applyFont="1">
      <alignment vertical="top"/>
    </xf>
    <xf numFmtId="3" fontId="2" fillId="0" borderId="0" xfId="2" applyNumberFormat="1">
      <alignment vertical="top"/>
    </xf>
    <xf numFmtId="0" fontId="4" fillId="0" borderId="0" xfId="4" applyFont="1" applyAlignment="1">
      <alignment horizontal="left" wrapText="1"/>
    </xf>
    <xf numFmtId="166" fontId="6" fillId="0" borderId="4" xfId="7" applyNumberFormat="1" applyFont="1" applyFill="1" applyBorder="1"/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9" fillId="0" borderId="0" xfId="0" applyFont="1" applyAlignment="1">
      <alignment vertical="top"/>
    </xf>
    <xf numFmtId="0" fontId="14" fillId="0" borderId="0" xfId="0" applyFont="1"/>
    <xf numFmtId="3" fontId="0" fillId="0" borderId="0" xfId="0" applyNumberFormat="1"/>
    <xf numFmtId="166" fontId="4" fillId="0" borderId="0" xfId="2" applyNumberFormat="1" applyFont="1" applyAlignment="1">
      <alignment horizontal="left" vertical="top"/>
    </xf>
    <xf numFmtId="165" fontId="0" fillId="0" borderId="0" xfId="8" applyFont="1"/>
    <xf numFmtId="0" fontId="17" fillId="0" borderId="0" xfId="0" applyFont="1"/>
    <xf numFmtId="0" fontId="14" fillId="0" borderId="1" xfId="0" applyFont="1" applyBorder="1"/>
    <xf numFmtId="9" fontId="0" fillId="0" borderId="0" xfId="0" applyNumberFormat="1"/>
    <xf numFmtId="10" fontId="0" fillId="0" borderId="0" xfId="1" applyNumberFormat="1" applyFont="1"/>
    <xf numFmtId="0" fontId="15" fillId="3" borderId="0" xfId="0" applyFont="1" applyFill="1"/>
    <xf numFmtId="0" fontId="0" fillId="4" borderId="0" xfId="0" applyFill="1"/>
    <xf numFmtId="9" fontId="0" fillId="0" borderId="0" xfId="1" applyFont="1"/>
    <xf numFmtId="171" fontId="0" fillId="2" borderId="0" xfId="0" applyNumberFormat="1" applyFill="1"/>
    <xf numFmtId="0" fontId="0" fillId="0" borderId="7" xfId="0" applyBorder="1"/>
    <xf numFmtId="0" fontId="0" fillId="0" borderId="7" xfId="0" applyBorder="1" applyAlignment="1">
      <alignment vertical="top"/>
    </xf>
    <xf numFmtId="0" fontId="6" fillId="0" borderId="7" xfId="2" applyFont="1" applyBorder="1" applyAlignment="1">
      <alignment horizontal="left" vertical="top" indent="2"/>
    </xf>
    <xf numFmtId="0" fontId="6" fillId="0" borderId="7" xfId="2" applyFont="1" applyBorder="1">
      <alignment vertical="top"/>
    </xf>
    <xf numFmtId="3" fontId="0" fillId="0" borderId="7" xfId="0" applyNumberFormat="1" applyBorder="1"/>
    <xf numFmtId="165" fontId="0" fillId="0" borderId="7" xfId="8" applyFont="1" applyBorder="1"/>
    <xf numFmtId="165" fontId="19" fillId="3" borderId="0" xfId="8" applyFont="1" applyFill="1"/>
    <xf numFmtId="0" fontId="5" fillId="6" borderId="1" xfId="0" applyFont="1" applyFill="1" applyBorder="1"/>
    <xf numFmtId="0" fontId="0" fillId="6" borderId="0" xfId="0" applyFill="1"/>
    <xf numFmtId="4" fontId="0" fillId="6" borderId="0" xfId="0" applyNumberFormat="1" applyFill="1"/>
    <xf numFmtId="4" fontId="16" fillId="6" borderId="0" xfId="0" applyNumberFormat="1" applyFont="1" applyFill="1"/>
    <xf numFmtId="0" fontId="14" fillId="6" borderId="0" xfId="0" applyFont="1" applyFill="1"/>
    <xf numFmtId="171" fontId="0" fillId="6" borderId="0" xfId="0" applyNumberFormat="1" applyFill="1"/>
    <xf numFmtId="0" fontId="5" fillId="6" borderId="1" xfId="0" applyFont="1" applyFill="1" applyBorder="1" applyAlignment="1">
      <alignment horizontal="right" vertical="top" wrapText="1"/>
    </xf>
    <xf numFmtId="3" fontId="0" fillId="6" borderId="0" xfId="0" applyNumberFormat="1" applyFill="1"/>
    <xf numFmtId="165" fontId="0" fillId="6" borderId="0" xfId="8" applyFont="1" applyFill="1"/>
    <xf numFmtId="165" fontId="0" fillId="6" borderId="0" xfId="8" applyFont="1" applyFill="1" applyAlignment="1">
      <alignment horizontal="center"/>
    </xf>
    <xf numFmtId="166" fontId="0" fillId="6" borderId="0" xfId="8" applyNumberFormat="1" applyFont="1" applyFill="1"/>
    <xf numFmtId="170" fontId="0" fillId="6" borderId="0" xfId="1" applyNumberFormat="1" applyFont="1" applyFill="1"/>
    <xf numFmtId="9" fontId="0" fillId="2" borderId="0" xfId="1" applyFont="1" applyFill="1"/>
    <xf numFmtId="0" fontId="20" fillId="0" borderId="7" xfId="0" applyFont="1" applyBorder="1" applyAlignment="1">
      <alignment horizontal="center" vertical="top" wrapText="1"/>
    </xf>
    <xf numFmtId="0" fontId="15" fillId="3" borderId="2" xfId="0" applyFont="1" applyFill="1" applyBorder="1"/>
    <xf numFmtId="0" fontId="20" fillId="0" borderId="7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right" vertical="top" wrapText="1"/>
    </xf>
    <xf numFmtId="165" fontId="0" fillId="0" borderId="0" xfId="0" applyNumberFormat="1" applyAlignment="1">
      <alignment vertical="top"/>
    </xf>
    <xf numFmtId="3" fontId="0" fillId="0" borderId="0" xfId="0" applyNumberFormat="1" applyAlignment="1">
      <alignment vertical="top"/>
    </xf>
    <xf numFmtId="0" fontId="10" fillId="0" borderId="0" xfId="0" applyFont="1" applyAlignment="1">
      <alignment vertical="top"/>
    </xf>
    <xf numFmtId="9" fontId="1" fillId="0" borderId="0" xfId="1" applyFill="1" applyAlignment="1">
      <alignment vertical="top"/>
    </xf>
    <xf numFmtId="165" fontId="9" fillId="0" borderId="0" xfId="0" applyNumberFormat="1" applyFont="1" applyAlignment="1">
      <alignment vertical="top"/>
    </xf>
    <xf numFmtId="169" fontId="0" fillId="0" borderId="0" xfId="0" applyNumberFormat="1" applyAlignment="1">
      <alignment vertical="top"/>
    </xf>
    <xf numFmtId="0" fontId="18" fillId="0" borderId="0" xfId="0" applyFont="1" applyAlignment="1">
      <alignment vertical="top"/>
    </xf>
    <xf numFmtId="10" fontId="1" fillId="0" borderId="0" xfId="1" applyNumberFormat="1" applyFill="1" applyAlignment="1">
      <alignment vertical="top"/>
    </xf>
    <xf numFmtId="170" fontId="1" fillId="0" borderId="0" xfId="1" applyNumberFormat="1" applyFill="1" applyAlignment="1">
      <alignment vertical="top"/>
    </xf>
    <xf numFmtId="0" fontId="9" fillId="0" borderId="0" xfId="0" applyFont="1" applyAlignment="1">
      <alignment horizontal="center" vertical="top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center" wrapText="1"/>
    </xf>
    <xf numFmtId="0" fontId="21" fillId="0" borderId="1" xfId="0" applyFont="1" applyBorder="1"/>
    <xf numFmtId="0" fontId="22" fillId="4" borderId="1" xfId="0" applyFont="1" applyFill="1" applyBorder="1" applyAlignment="1">
      <alignment horizontal="center" vertical="top" wrapText="1"/>
    </xf>
    <xf numFmtId="0" fontId="20" fillId="7" borderId="1" xfId="0" applyFont="1" applyFill="1" applyBorder="1"/>
    <xf numFmtId="0" fontId="20" fillId="7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23" fillId="0" borderId="0" xfId="0" applyFont="1" applyAlignment="1">
      <alignment vertical="top"/>
    </xf>
    <xf numFmtId="0" fontId="15" fillId="5" borderId="5" xfId="0" applyFont="1" applyFill="1" applyBorder="1" applyAlignment="1">
      <alignment vertical="top" wrapText="1"/>
    </xf>
    <xf numFmtId="0" fontId="20" fillId="7" borderId="1" xfId="2" applyFont="1" applyFill="1" applyBorder="1" applyAlignment="1">
      <alignment horizontal="center"/>
    </xf>
    <xf numFmtId="10" fontId="0" fillId="6" borderId="0" xfId="1" applyNumberFormat="1" applyFont="1" applyFill="1"/>
    <xf numFmtId="165" fontId="4" fillId="0" borderId="0" xfId="8" applyFont="1"/>
    <xf numFmtId="165" fontId="6" fillId="0" borderId="0" xfId="8" applyFont="1" applyFill="1" applyBorder="1" applyProtection="1"/>
    <xf numFmtId="165" fontId="6" fillId="0" borderId="1" xfId="8" applyFont="1" applyFill="1" applyBorder="1"/>
    <xf numFmtId="165" fontId="6" fillId="0" borderId="2" xfId="8" applyFont="1" applyFill="1" applyBorder="1"/>
    <xf numFmtId="165" fontId="6" fillId="0" borderId="0" xfId="8" applyFont="1" applyFill="1" applyBorder="1"/>
    <xf numFmtId="165" fontId="6" fillId="0" borderId="3" xfId="8" applyFont="1" applyFill="1" applyBorder="1"/>
    <xf numFmtId="165" fontId="6" fillId="0" borderId="7" xfId="8" applyFont="1" applyFill="1" applyBorder="1"/>
    <xf numFmtId="165" fontId="4" fillId="0" borderId="0" xfId="8" applyFont="1" applyAlignment="1">
      <alignment horizontal="left" wrapText="1"/>
    </xf>
    <xf numFmtId="165" fontId="6" fillId="0" borderId="4" xfId="8" applyFont="1" applyFill="1" applyBorder="1"/>
    <xf numFmtId="0" fontId="15" fillId="5" borderId="8" xfId="0" applyFont="1" applyFill="1" applyBorder="1" applyAlignment="1">
      <alignment vertical="top" wrapText="1"/>
    </xf>
    <xf numFmtId="0" fontId="25" fillId="0" borderId="0" xfId="0" applyFont="1" applyAlignment="1">
      <alignment vertical="top"/>
    </xf>
    <xf numFmtId="0" fontId="26" fillId="0" borderId="0" xfId="0" applyFont="1"/>
    <xf numFmtId="0" fontId="26" fillId="0" borderId="0" xfId="0" applyFont="1" applyAlignment="1">
      <alignment vertical="top"/>
    </xf>
    <xf numFmtId="0" fontId="27" fillId="7" borderId="1" xfId="2" applyFont="1" applyFill="1" applyBorder="1" applyAlignment="1">
      <alignment horizontal="center"/>
    </xf>
    <xf numFmtId="0" fontId="28" fillId="5" borderId="5" xfId="0" applyFont="1" applyFill="1" applyBorder="1" applyAlignment="1">
      <alignment vertical="top" wrapText="1"/>
    </xf>
    <xf numFmtId="0" fontId="28" fillId="5" borderId="6" xfId="0" applyFont="1" applyFill="1" applyBorder="1" applyAlignment="1">
      <alignment vertical="top" wrapText="1"/>
    </xf>
    <xf numFmtId="0" fontId="26" fillId="8" borderId="0" xfId="0" applyFont="1" applyFill="1"/>
    <xf numFmtId="165" fontId="26" fillId="0" borderId="0" xfId="8" applyFont="1"/>
    <xf numFmtId="0" fontId="26" fillId="0" borderId="1" xfId="0" applyFont="1" applyBorder="1" applyAlignment="1">
      <alignment vertical="top"/>
    </xf>
    <xf numFmtId="165" fontId="29" fillId="3" borderId="0" xfId="8" applyFont="1" applyFill="1"/>
    <xf numFmtId="0" fontId="30" fillId="0" borderId="1" xfId="0" applyFont="1" applyBorder="1" applyAlignment="1">
      <alignment vertical="top"/>
    </xf>
    <xf numFmtId="0" fontId="31" fillId="0" borderId="0" xfId="0" applyFont="1" applyAlignment="1">
      <alignment vertical="top"/>
    </xf>
    <xf numFmtId="0" fontId="32" fillId="0" borderId="0" xfId="4" applyFont="1"/>
    <xf numFmtId="0" fontId="31" fillId="0" borderId="1" xfId="0" applyFont="1" applyBorder="1" applyAlignment="1">
      <alignment vertical="top"/>
    </xf>
    <xf numFmtId="0" fontId="28" fillId="3" borderId="0" xfId="0" applyFont="1" applyFill="1" applyAlignment="1">
      <alignment vertical="top"/>
    </xf>
    <xf numFmtId="0" fontId="32" fillId="0" borderId="0" xfId="0" applyFont="1" applyAlignment="1">
      <alignment vertical="top"/>
    </xf>
    <xf numFmtId="172" fontId="26" fillId="0" borderId="0" xfId="0" applyNumberFormat="1" applyFont="1"/>
    <xf numFmtId="173" fontId="33" fillId="0" borderId="0" xfId="0" applyNumberFormat="1" applyFont="1"/>
    <xf numFmtId="173" fontId="32" fillId="0" borderId="0" xfId="0" applyNumberFormat="1" applyFont="1"/>
    <xf numFmtId="0" fontId="20" fillId="7" borderId="1" xfId="2" applyFont="1" applyFill="1" applyBorder="1" applyAlignment="1"/>
    <xf numFmtId="165" fontId="5" fillId="0" borderId="1" xfId="8" applyFont="1" applyBorder="1" applyAlignment="1"/>
  </cellXfs>
  <cellStyles count="9">
    <cellStyle name="Comma" xfId="8" builtinId="3"/>
    <cellStyle name="Comma 2" xfId="3" xr:uid="{00000000-0005-0000-0000-000001000000}"/>
    <cellStyle name="Comma 2 2" xfId="7" xr:uid="{00000000-0005-0000-0000-000002000000}"/>
    <cellStyle name="Currency 2" xfId="6" xr:uid="{00000000-0005-0000-0000-000003000000}"/>
    <cellStyle name="Normal" xfId="0" builtinId="0"/>
    <cellStyle name="Normal 2" xfId="2" xr:uid="{00000000-0005-0000-0000-000005000000}"/>
    <cellStyle name="Normal 3" xfId="5" xr:uid="{00000000-0005-0000-0000-000006000000}"/>
    <cellStyle name="Normal_BalanceSheets" xfId="4" xr:uid="{00000000-0005-0000-0000-000007000000}"/>
    <cellStyle name="Percent" xfId="1" builtinId="5"/>
  </cellStyles>
  <dxfs count="62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strike val="0"/>
        <outline val="0"/>
        <shadow val="0"/>
        <u val="none"/>
        <vertAlign val="baseline"/>
        <sz val="14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</font>
      <fill>
        <patternFill patternType="solid">
          <fgColor indexed="64"/>
          <bgColor theme="2" tint="-9.9978637043366805E-2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solid">
          <fgColor indexed="64"/>
          <bgColor theme="2" tint="-9.9978637043366805E-2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solid">
          <fgColor indexed="64"/>
          <bgColor theme="2" tint="-9.9978637043366805E-2"/>
        </patternFill>
      </fill>
    </dxf>
    <dxf>
      <font>
        <strike val="0"/>
        <outline val="0"/>
        <shadow val="0"/>
        <u val="none"/>
        <vertAlign val="baseline"/>
        <sz val="14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border outline="0">
        <bottom style="thin">
          <color indexed="64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family val="2"/>
        <charset val="204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family val="2"/>
        <charset val="204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family val="2"/>
        <charset val="204"/>
        <scheme val="none"/>
      </font>
      <fill>
        <patternFill patternType="solid">
          <fgColor indexed="64"/>
          <bgColor theme="1"/>
        </patternFill>
      </fill>
      <alignment horizontal="right" vertical="top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charset val="204"/>
        <scheme val="none"/>
      </font>
      <fill>
        <patternFill patternType="solid">
          <fgColor indexed="64"/>
          <bgColor theme="0"/>
        </patternFill>
      </fill>
      <alignment horizontal="righ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186111</xdr:rowOff>
    </xdr:from>
    <xdr:to>
      <xdr:col>5</xdr:col>
      <xdr:colOff>656391</xdr:colOff>
      <xdr:row>57</xdr:row>
      <xdr:rowOff>138875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CA8163-7351-4252-BBF4-631990BFC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641338"/>
          <a:ext cx="7857868" cy="53935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6350</xdr:colOff>
      <xdr:row>13</xdr:row>
      <xdr:rowOff>133350</xdr:rowOff>
    </xdr:from>
    <xdr:to>
      <xdr:col>12</xdr:col>
      <xdr:colOff>219</xdr:colOff>
      <xdr:row>23</xdr:row>
      <xdr:rowOff>114394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34BE69-71C2-41BD-B61C-3918EFE1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0" y="2527300"/>
          <a:ext cx="4261069" cy="18225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571501</xdr:colOff>
      <xdr:row>9</xdr:row>
      <xdr:rowOff>94387</xdr:rowOff>
    </xdr:from>
    <xdr:to>
      <xdr:col>9</xdr:col>
      <xdr:colOff>514048</xdr:colOff>
      <xdr:row>18</xdr:row>
      <xdr:rowOff>42243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EB5145-9C54-47C6-A939-E0B8E374C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71144" y="2017530"/>
          <a:ext cx="2373690" cy="158071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CFDA6E-7CB2-4F48-BCBE-54CD23833633}" name="Table3" displayName="Table3" ref="A1:H34" totalsRowShown="0" headerRowDxfId="61" dataDxfId="60">
  <autoFilter ref="A1:H34" xr:uid="{A4CFDA6E-7CB2-4F48-BCBE-54CD23833633}"/>
  <tableColumns count="8">
    <tableColumn id="1" xr3:uid="{5A2B5FF6-8AEA-4AF9-A09B-F6FBDF786CC6}" name="Revenue Sources" dataDxfId="59"/>
    <tableColumn id="2" xr3:uid="{721BE9F7-627A-4E55-8F9C-7A0DD84805C6}" name="2018_x000a_Act" dataDxfId="58"/>
    <tableColumn id="3" xr3:uid="{90E4D31F-5D5F-4ED0-90AE-1B6AF7A21526}" name="2019_x000a_Act" dataDxfId="57"/>
    <tableColumn id="4" xr3:uid="{4513E8B6-F522-4EC6-989A-01DAE5AADEFC}" name="2020_x000a_Act" dataDxfId="56"/>
    <tableColumn id="5" xr3:uid="{AC36FB10-7C7C-494B-929A-88A4D8554268}" name="2021_x000a_Act" dataDxfId="55"/>
    <tableColumn id="6" xr3:uid="{725C284C-6641-4003-9D6D-758DA7F8D7FD}" name="2022_x000a_Act" dataDxfId="54"/>
    <tableColumn id="7" xr3:uid="{18E60DDE-184A-4A14-828A-5EC5BE12B3BF}" name="2023_x000a_Act" dataDxfId="53"/>
    <tableColumn id="8" xr3:uid="{7A35CD60-1DF3-48DB-BD63-576E624E3AE0}" name="2024_x000a_Act" dataDxfId="52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73385D7-52CA-4C55-ACD0-07466EC1FD7D}" name="Table12" displayName="Table12" ref="A3:E19" totalsRowShown="0" headerRowDxfId="0">
  <autoFilter ref="A3:E19" xr:uid="{B73385D7-52CA-4C55-ACD0-07466EC1FD7D}"/>
  <tableColumns count="5">
    <tableColumn id="1" xr3:uid="{6558F20D-FB48-4DBC-9675-10667C08B1CE}" name="(in thousands)"/>
    <tableColumn id="2" xr3:uid="{2BC99A1B-40E3-4CC6-9072-2B2CF8CFF88D}" name="2021_x000a_Forcast" dataCellStyle="Comma"/>
    <tableColumn id="3" xr3:uid="{36576E0F-B749-4496-B8C8-1E4D1292FCCB}" name="2022_x000a_Forcast" dataCellStyle="Comma"/>
    <tableColumn id="4" xr3:uid="{8F7CCF2E-599D-473C-BFBC-072C43258A20}" name="2023_x000a_Forcast" dataCellStyle="Comma"/>
    <tableColumn id="5" xr3:uid="{50B202C1-7115-44AA-8B36-BE0960CEE6F3}" name="2024_x000a_Forcast" dataCellStyle="Comm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F084BF8-6A83-4CB4-97DA-39B47B797688}" name="Table6" displayName="Table6" ref="I9:L32" totalsRowShown="0" headerRowDxfId="51" dataDxfId="50">
  <autoFilter ref="I9:L32" xr:uid="{DF084BF8-6A83-4CB4-97DA-39B47B797688}"/>
  <tableColumns count="4">
    <tableColumn id="1" xr3:uid="{B0C6365A-F721-4B75-B25E-2CA6E89920E9}" name="Average Monthly Revenues" dataDxfId="49"/>
    <tableColumn id="2" xr3:uid="{EC967022-DF85-4B4C-88F2-E481599367BB}" name="Column1" dataDxfId="48"/>
    <tableColumn id="3" xr3:uid="{4463CAC0-5091-44B3-976F-22C1556F1909}" name="Column2" dataDxfId="47"/>
    <tableColumn id="4" xr3:uid="{48EFFF67-7CA0-42F4-9573-C7748D950700}" name="Column3" dataDxfId="46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A87623E-DAAA-4B5E-BA05-7D3B7E749755}" name="Table7" displayName="Table7" ref="A3:H26" totalsRowShown="0" headerRowDxfId="45" headerRowBorderDxfId="44">
  <autoFilter ref="A3:H26" xr:uid="{1A87623E-DAAA-4B5E-BA05-7D3B7E749755}"/>
  <tableColumns count="8">
    <tableColumn id="1" xr3:uid="{746F2D7D-96EA-4050-8F7F-CB2C71290E27}" name="(in thousands)"/>
    <tableColumn id="2" xr3:uid="{676063D3-B812-4E23-A1F8-BDC79B8C88EC}" name="2018_x000a_Act"/>
    <tableColumn id="3" xr3:uid="{5849C85A-2D31-4FF3-876D-69C451363D94}" name="2019_x000a_Act"/>
    <tableColumn id="4" xr3:uid="{55044288-50DE-4F10-A12A-F18E2318419F}" name="2020_x000a_Act"/>
    <tableColumn id="5" xr3:uid="{F259EF2B-C71D-4884-B9A5-D57EB319DF68}" name="2021_x000a_Act"/>
    <tableColumn id="6" xr3:uid="{E53D08CB-40B0-45DF-A994-17248A19FF1A}" name="2022_x000a_Act"/>
    <tableColumn id="7" xr3:uid="{73AD2E33-11D8-4338-96E5-233D6E5D3886}" name="2023_x000a_Act"/>
    <tableColumn id="8" xr3:uid="{D1A60BCA-7869-45FC-BF78-103AF8789867}" name="2024_x000a_Ac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E098DC-10CF-4FB8-827E-E6AB4D6DC939}" name="Table2" displayName="Table2" ref="A3:H28" totalsRowShown="0" headerRowDxfId="43" dataDxfId="41" headerRowBorderDxfId="42" dataCellStyle="Comma">
  <autoFilter ref="A3:H28" xr:uid="{7EE098DC-10CF-4FB8-827E-E6AB4D6DC939}"/>
  <tableColumns count="8">
    <tableColumn id="1" xr3:uid="{9C2CBE5A-F2D1-4657-9C6A-E08F20B06FA3}" name="(in thousands)" dataDxfId="40"/>
    <tableColumn id="2" xr3:uid="{2553A04E-B37F-4B0E-8CF6-A3072F7350E2}" name="2018_x000a_Act" dataDxfId="39" dataCellStyle="Comma"/>
    <tableColumn id="3" xr3:uid="{0C2118EE-5918-4FE4-A7F4-D9C4CBFCB09C}" name="2019_x000a_Act" dataDxfId="38" dataCellStyle="Comma"/>
    <tableColumn id="4" xr3:uid="{48DC6605-27B3-4ED8-B27F-02239847313E}" name="2020_x000a_Act" dataDxfId="37" dataCellStyle="Comma"/>
    <tableColumn id="5" xr3:uid="{EF29B169-22F1-4982-A7B7-EC26D89F97AE}" name="2021_x000a_Forcasted" dataDxfId="36" dataCellStyle="Comma"/>
    <tableColumn id="6" xr3:uid="{D8D9ED20-2DF1-42DE-A151-06D9CBB6A519}" name="2022_x000a_Forcasted" dataDxfId="35" dataCellStyle="Comma"/>
    <tableColumn id="7" xr3:uid="{3F3A957A-D89C-4638-AACE-229F65D6AA70}" name="2023_x000a_Forcasted" dataDxfId="34" dataCellStyle="Comma"/>
    <tableColumn id="8" xr3:uid="{4014A34E-3CDC-420D-A7C1-B542F45F6299}" name="2024_x000a_Forcasted" dataDxfId="33" dataCellStyle="Comma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388DF22-602F-4426-9700-5970ADDA10CB}" name="Table4" displayName="Table4" ref="B3:H21" totalsRowShown="0" headerRowDxfId="32" dataDxfId="30" headerRowBorderDxfId="31" dataCellStyle="Percent">
  <autoFilter ref="B3:H21" xr:uid="{F388DF22-602F-4426-9700-5970ADDA10CB}"/>
  <tableColumns count="7">
    <tableColumn id="1" xr3:uid="{BBC69B48-CDA4-4849-9BB3-13C3EDC48105}" name="2018_x000a_Act" dataDxfId="29" dataCellStyle="Percent"/>
    <tableColumn id="2" xr3:uid="{8B283F7F-F930-45A3-B69B-387FD6703FF7}" name="2019_x000a_Act" dataDxfId="28" dataCellStyle="Percent"/>
    <tableColumn id="3" xr3:uid="{8CA04DC8-2F48-41B9-925C-477C2A2EDD4A}" name="2020_x000a_Act" dataDxfId="27" dataCellStyle="Percent"/>
    <tableColumn id="4" xr3:uid="{477B7C0D-64CC-4854-9198-A755E525477B}" name="2021_x000a_Forcasted" dataDxfId="26" dataCellStyle="Percent"/>
    <tableColumn id="5" xr3:uid="{38020533-77C1-4C86-B702-A6CA9CB7D949}" name="2022_x000a_Forcasted" dataDxfId="25" dataCellStyle="Percent"/>
    <tableColumn id="6" xr3:uid="{97D2857F-F7BC-49DE-93E3-8FA3EB60269A}" name="2023_x000a_Forcasted" dataDxfId="24" dataCellStyle="Percent"/>
    <tableColumn id="7" xr3:uid="{90FD1012-091B-4320-947A-0C92F94774B1}" name="2024_x000a_Forcasted" dataDxfId="23" dataCellStyle="Percent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D8476EE-645F-45A4-A991-7BE7A1F45D09}" name="Table5" displayName="Table5" ref="A3:A21" totalsRowShown="0" headerRowDxfId="22" headerRowBorderDxfId="21" tableBorderDxfId="20">
  <autoFilter ref="A3:A21" xr:uid="{ED8476EE-645F-45A4-A991-7BE7A1F45D09}"/>
  <tableColumns count="1">
    <tableColumn id="1" xr3:uid="{230A081F-97A2-4075-A4FD-18AAFE966DA0}" name="(in thousands)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370BE7B-C93C-46C4-BB6D-380BC9786FE3}" name="Table10" displayName="Table10" ref="A3:H32" totalsRowShown="0" headerRowDxfId="11" dataDxfId="12" dataCellStyle="Comma">
  <autoFilter ref="A3:H32" xr:uid="{A370BE7B-C93C-46C4-BB6D-380BC9786FE3}"/>
  <tableColumns count="8">
    <tableColumn id="1" xr3:uid="{861C35E6-8253-454E-8FB5-E7AF9371DA35}" name="(in thousands)" dataDxfId="19" dataCellStyle="Normal_BalanceSheets"/>
    <tableColumn id="2" xr3:uid="{670D9BBE-32EE-4252-8174-DD963FDA369F}" name="2018_x000a_Act"/>
    <tableColumn id="3" xr3:uid="{83507276-F129-47F0-8F18-879D33161410}" name="2019_x000a_Act" dataDxfId="18" dataCellStyle="Comma"/>
    <tableColumn id="4" xr3:uid="{2CB57B0D-231E-4C73-9772-DA1DC6B636FB}" name="2020_x000a_Act" dataDxfId="17" dataCellStyle="Comma"/>
    <tableColumn id="5" xr3:uid="{F07C7373-7184-4146-BF3F-A9FDBB5AABD2}" name="2021_x000a_Forcast" dataDxfId="16" dataCellStyle="Comma"/>
    <tableColumn id="6" xr3:uid="{D08E4546-700B-4693-9E19-E9F375112CE0}" name="2022_x000a_Forcast" dataDxfId="15" dataCellStyle="Comma"/>
    <tableColumn id="7" xr3:uid="{AE5EB417-0D09-47E3-B1CB-F3FBC8127870}" name="2023_x000a_Forcast" dataDxfId="14" dataCellStyle="Comma"/>
    <tableColumn id="8" xr3:uid="{79E297AD-CFAA-4E3E-AE02-F1C8D5759061}" name="2024_x000a_Forcast" dataDxfId="13" dataCellStyle="Comma"/>
  </tableColumns>
  <tableStyleInfo name="TableStyleMedium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F1E6410-AADE-433E-AF57-02C429AB1C73}" name="Table9" displayName="Table9" ref="A1:H30" totalsRowShown="0" headerRowDxfId="2" dataDxfId="1">
  <autoFilter ref="A1:H30" xr:uid="{5F1E6410-AADE-433E-AF57-02C429AB1C73}"/>
  <tableColumns count="8">
    <tableColumn id="1" xr3:uid="{2B940636-8C20-4AB0-AACB-ADFCE2D6C823}" name="Column1" dataDxfId="10"/>
    <tableColumn id="2" xr3:uid="{26482768-B4EE-4825-AF71-07355191DA72}" name="Column2" dataDxfId="9"/>
    <tableColumn id="3" xr3:uid="{99C33E53-08B7-4865-9EB5-13DB80081E5B}" name="Column3" dataDxfId="8"/>
    <tableColumn id="4" xr3:uid="{F1873F20-9058-4BB2-A291-89239A024F97}" name="Column4" dataDxfId="7"/>
    <tableColumn id="5" xr3:uid="{D7B0F865-50C8-45FA-999C-BFEDE611164F}" name="Column5" dataDxfId="6" dataCellStyle="Comma"/>
    <tableColumn id="6" xr3:uid="{FB692CDF-4594-48ED-A2FF-1391EF508A79}" name="Column6" dataDxfId="5"/>
    <tableColumn id="7" xr3:uid="{10BE7475-DBF3-4697-9049-D9DF14A1387B}" name="Column7" dataDxfId="4"/>
    <tableColumn id="8" xr3:uid="{CCA4CC42-73E8-4AFF-952D-04185D4632A6}" name="Column8" dataDxfId="3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613D092-D437-4649-A8F7-6C9738FB56BD}" name="Table11" displayName="Table11" ref="A1:B19" totalsRowShown="0" dataCellStyle="Comma">
  <autoFilter ref="A1:B19" xr:uid="{5613D092-D437-4649-A8F7-6C9738FB56BD}"/>
  <tableColumns count="2">
    <tableColumn id="1" xr3:uid="{AA7CFED3-A256-4CF5-96C2-E873A1350F1A}" name="Column1" dataCellStyle="Comma"/>
    <tableColumn id="2" xr3:uid="{03641E46-2007-4F67-94E5-96D67EBC286C}" name="Column2" dataCellStyle="Comma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zoomScale="90" zoomScaleNormal="90" workbookViewId="0">
      <selection activeCell="B4" sqref="B4"/>
    </sheetView>
  </sheetViews>
  <sheetFormatPr defaultColWidth="9.08984375" defaultRowHeight="12.75" customHeight="1" x14ac:dyDescent="0.35"/>
  <cols>
    <col min="1" max="1" width="35" style="2" bestFit="1" customWidth="1"/>
    <col min="2" max="4" width="14" style="2" bestFit="1" customWidth="1"/>
    <col min="5" max="6" width="10.1796875" style="2" bestFit="1" customWidth="1"/>
    <col min="7" max="16384" width="9.08984375" style="2"/>
  </cols>
  <sheetData>
    <row r="1" spans="1:7" ht="15.5" x14ac:dyDescent="0.35">
      <c r="A1" s="1" t="s">
        <v>0</v>
      </c>
    </row>
    <row r="2" spans="1:7" ht="23" x14ac:dyDescent="0.25">
      <c r="A2" s="3" t="s">
        <v>1</v>
      </c>
      <c r="B2" s="4" t="s">
        <v>2</v>
      </c>
      <c r="C2" s="4" t="s">
        <v>3</v>
      </c>
      <c r="D2" s="4" t="s">
        <v>4</v>
      </c>
      <c r="F2" s="5"/>
      <c r="G2" s="6"/>
    </row>
    <row r="3" spans="1:7" ht="12.75" customHeight="1" x14ac:dyDescent="0.35">
      <c r="A3" s="7" t="s">
        <v>5</v>
      </c>
      <c r="B3" s="8">
        <v>15794341</v>
      </c>
      <c r="C3" s="8">
        <v>20156447</v>
      </c>
      <c r="D3" s="8">
        <v>24996056</v>
      </c>
      <c r="F3" s="5"/>
      <c r="G3" s="6"/>
    </row>
    <row r="4" spans="1:7" ht="12.75" customHeight="1" x14ac:dyDescent="0.35">
      <c r="A4" s="9" t="s">
        <v>6</v>
      </c>
      <c r="B4" s="8">
        <v>9967538</v>
      </c>
      <c r="C4" s="8">
        <v>12440213</v>
      </c>
      <c r="D4" s="8">
        <v>15276319</v>
      </c>
      <c r="F4" s="5"/>
      <c r="G4" s="6"/>
    </row>
    <row r="5" spans="1:7" ht="12.75" customHeight="1" x14ac:dyDescent="0.35">
      <c r="A5" s="9" t="s">
        <v>7</v>
      </c>
      <c r="B5" s="8">
        <v>2369469</v>
      </c>
      <c r="C5" s="8">
        <v>2652462</v>
      </c>
      <c r="D5" s="8">
        <v>2228362</v>
      </c>
      <c r="F5" s="5"/>
      <c r="G5" s="6"/>
    </row>
    <row r="6" spans="1:7" ht="12.75" customHeight="1" x14ac:dyDescent="0.35">
      <c r="A6" s="9" t="s">
        <v>8</v>
      </c>
      <c r="B6" s="8">
        <v>1221814</v>
      </c>
      <c r="C6" s="8">
        <v>1545149</v>
      </c>
      <c r="D6" s="8">
        <v>1829600</v>
      </c>
      <c r="F6" s="5"/>
      <c r="G6" s="6"/>
    </row>
    <row r="7" spans="1:7" ht="12.75" customHeight="1" x14ac:dyDescent="0.35">
      <c r="A7" s="9" t="s">
        <v>9</v>
      </c>
      <c r="B7" s="8">
        <v>630294</v>
      </c>
      <c r="C7" s="8">
        <v>914369</v>
      </c>
      <c r="D7" s="8">
        <v>1076486</v>
      </c>
      <c r="F7" s="5"/>
      <c r="G7" s="6"/>
    </row>
    <row r="8" spans="1:7" ht="12.75" customHeight="1" x14ac:dyDescent="0.35">
      <c r="A8" s="10" t="s">
        <v>10</v>
      </c>
      <c r="B8" s="8">
        <v>1605226</v>
      </c>
      <c r="C8" s="8">
        <v>2604254</v>
      </c>
      <c r="D8" s="8">
        <v>4585289</v>
      </c>
      <c r="F8" s="5"/>
      <c r="G8" s="6"/>
    </row>
    <row r="9" spans="1:7" ht="12.75" customHeight="1" x14ac:dyDescent="0.35">
      <c r="A9" s="7" t="s">
        <v>11</v>
      </c>
      <c r="B9" s="8"/>
      <c r="C9" s="8"/>
      <c r="D9" s="8"/>
      <c r="F9" s="5"/>
      <c r="G9" s="6"/>
    </row>
    <row r="10" spans="1:7" ht="12.75" customHeight="1" x14ac:dyDescent="0.35">
      <c r="A10" s="11" t="s">
        <v>12</v>
      </c>
      <c r="B10" s="8">
        <v>-420493</v>
      </c>
      <c r="C10" s="8">
        <v>-626023</v>
      </c>
      <c r="D10" s="8">
        <v>-767499</v>
      </c>
      <c r="F10" s="5"/>
      <c r="G10" s="11"/>
    </row>
    <row r="11" spans="1:7" ht="12.75" customHeight="1" x14ac:dyDescent="0.35">
      <c r="A11" s="11" t="s">
        <v>13</v>
      </c>
      <c r="B11" s="8">
        <v>41725</v>
      </c>
      <c r="C11" s="8">
        <v>84000</v>
      </c>
      <c r="D11" s="8">
        <v>-618441</v>
      </c>
      <c r="F11" s="5"/>
      <c r="G11" s="6"/>
    </row>
    <row r="12" spans="1:7" ht="12.75" customHeight="1" x14ac:dyDescent="0.35">
      <c r="A12" s="12" t="s">
        <v>14</v>
      </c>
      <c r="B12" s="8">
        <v>1226458</v>
      </c>
      <c r="C12" s="8">
        <v>2062231</v>
      </c>
      <c r="D12" s="8">
        <v>3199349</v>
      </c>
      <c r="F12" s="5"/>
      <c r="G12" s="6"/>
    </row>
    <row r="13" spans="1:7" ht="12.75" customHeight="1" x14ac:dyDescent="0.35">
      <c r="A13" s="12" t="s">
        <v>15</v>
      </c>
      <c r="B13" s="8">
        <v>-15216</v>
      </c>
      <c r="C13" s="8">
        <v>-195315</v>
      </c>
      <c r="D13" s="8">
        <v>-437954</v>
      </c>
      <c r="F13" s="5"/>
      <c r="G13" s="6"/>
    </row>
    <row r="14" spans="1:7" ht="12.75" customHeight="1" x14ac:dyDescent="0.35">
      <c r="A14" s="12" t="s">
        <v>16</v>
      </c>
      <c r="B14" s="8">
        <v>1211242</v>
      </c>
      <c r="C14" s="8">
        <v>1866916</v>
      </c>
      <c r="D14" s="8">
        <v>2761395</v>
      </c>
      <c r="F14" s="5"/>
      <c r="G14" s="6"/>
    </row>
    <row r="15" spans="1:7" ht="12.75" customHeight="1" x14ac:dyDescent="0.35">
      <c r="A15" s="7"/>
      <c r="B15" s="7"/>
      <c r="C15" s="7"/>
      <c r="D15" s="7"/>
      <c r="E15" s="5"/>
      <c r="F15" s="5"/>
      <c r="G15" s="6"/>
    </row>
    <row r="16" spans="1:7" ht="12.75" customHeight="1" x14ac:dyDescent="0.35">
      <c r="A16" s="7"/>
      <c r="B16" s="7"/>
      <c r="C16" s="7"/>
      <c r="D16" s="7"/>
      <c r="E16" s="7"/>
      <c r="F16" s="5"/>
      <c r="G16" s="7"/>
    </row>
    <row r="17" spans="1:7" ht="12.75" customHeight="1" x14ac:dyDescent="0.35">
      <c r="A17" s="7"/>
      <c r="B17" s="7"/>
      <c r="C17" s="7"/>
      <c r="D17" s="7"/>
      <c r="E17" s="7"/>
      <c r="F17" s="5"/>
      <c r="G17" s="7"/>
    </row>
    <row r="18" spans="1:7" ht="12.75" customHeight="1" x14ac:dyDescent="0.35">
      <c r="A18" s="7"/>
      <c r="B18" s="5"/>
      <c r="C18" s="5"/>
      <c r="D18" s="5"/>
      <c r="F18" s="5"/>
      <c r="G18" s="6"/>
    </row>
    <row r="19" spans="1:7" ht="12.75" customHeight="1" x14ac:dyDescent="0.35">
      <c r="A19" s="7"/>
      <c r="B19" s="5"/>
      <c r="C19" s="5"/>
      <c r="D19" s="5"/>
      <c r="F19" s="5"/>
      <c r="G19" s="6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9"/>
  <sheetViews>
    <sheetView tabSelected="1" zoomScale="70" zoomScaleNormal="70" workbookViewId="0">
      <selection activeCell="I23" sqref="I23"/>
    </sheetView>
  </sheetViews>
  <sheetFormatPr defaultRowHeight="14.5" x14ac:dyDescent="0.35"/>
  <cols>
    <col min="1" max="1" width="25.08984375" customWidth="1"/>
    <col min="2" max="2" width="20" customWidth="1"/>
    <col min="3" max="3" width="18.6328125" customWidth="1"/>
    <col min="4" max="4" width="16.36328125" customWidth="1"/>
    <col min="5" max="5" width="20.54296875" customWidth="1"/>
  </cols>
  <sheetData>
    <row r="1" spans="1:5" x14ac:dyDescent="0.35">
      <c r="A1" t="s">
        <v>127</v>
      </c>
    </row>
    <row r="3" spans="1:5" ht="37" x14ac:dyDescent="0.35">
      <c r="A3" s="121" t="s">
        <v>1</v>
      </c>
      <c r="B3" s="106" t="s">
        <v>153</v>
      </c>
      <c r="C3" s="106" t="s">
        <v>154</v>
      </c>
      <c r="D3" s="106" t="s">
        <v>155</v>
      </c>
      <c r="E3" s="107" t="s">
        <v>156</v>
      </c>
    </row>
    <row r="4" spans="1:5" x14ac:dyDescent="0.35">
      <c r="A4" t="s">
        <v>108</v>
      </c>
      <c r="B4" s="36">
        <f>'Cashflow statements'!E22</f>
        <v>2041907.7666048333</v>
      </c>
      <c r="C4" s="36">
        <f>'Cashflow statements'!F22</f>
        <v>3302333.4136475045</v>
      </c>
      <c r="D4" s="36">
        <f>'Cashflow statements'!G22</f>
        <v>4069427.9399376586</v>
      </c>
      <c r="E4" s="36">
        <f>'Cashflow statements'!H22</f>
        <v>4743626.3833802491</v>
      </c>
    </row>
    <row r="5" spans="1:5" x14ac:dyDescent="0.35">
      <c r="A5" t="s">
        <v>128</v>
      </c>
      <c r="B5" s="36">
        <f>1/(1+WACC!$B$19)^DCF!B6</f>
        <v>0.93964004517537514</v>
      </c>
      <c r="C5" s="36">
        <f>1/(1+WACC!$B$19)^DCF!C6</f>
        <v>0.88292341449718081</v>
      </c>
      <c r="D5" s="36">
        <f>1/(1+WACC!$B$19)^DCF!D6</f>
        <v>0.82963019708452745</v>
      </c>
      <c r="E5" s="36">
        <f>1/(1+WACC!$B$19)^DCF!E6</f>
        <v>0.77955375586736064</v>
      </c>
    </row>
    <row r="6" spans="1:5" x14ac:dyDescent="0.35">
      <c r="A6" t="s">
        <v>129</v>
      </c>
      <c r="B6" s="36">
        <v>1</v>
      </c>
      <c r="C6" s="36">
        <v>2</v>
      </c>
      <c r="D6" s="36">
        <v>3</v>
      </c>
      <c r="E6" s="36">
        <v>4</v>
      </c>
    </row>
    <row r="7" spans="1:5" x14ac:dyDescent="0.35">
      <c r="B7" s="36"/>
      <c r="C7" s="36"/>
      <c r="D7" s="36"/>
      <c r="E7" s="36"/>
    </row>
    <row r="8" spans="1:5" x14ac:dyDescent="0.35">
      <c r="A8" t="s">
        <v>130</v>
      </c>
      <c r="B8" s="36">
        <f>B4*B5</f>
        <v>1918658.3060565148</v>
      </c>
      <c r="C8" s="36">
        <f t="shared" ref="C8:E8" si="0">C4*C5</f>
        <v>2915707.4933857857</v>
      </c>
      <c r="D8" s="36">
        <f t="shared" si="0"/>
        <v>3376120.3038317622</v>
      </c>
      <c r="E8" s="36">
        <f t="shared" si="0"/>
        <v>3697911.7635955778</v>
      </c>
    </row>
    <row r="9" spans="1:5" x14ac:dyDescent="0.35">
      <c r="B9" s="36"/>
      <c r="C9" s="36"/>
      <c r="D9" s="36"/>
      <c r="E9" s="36"/>
    </row>
    <row r="10" spans="1:5" x14ac:dyDescent="0.35">
      <c r="A10" t="s">
        <v>131</v>
      </c>
      <c r="B10" s="36">
        <f>SUM(B8:E8)</f>
        <v>11908397.86686964</v>
      </c>
      <c r="C10" s="36"/>
      <c r="D10" s="36"/>
      <c r="E10" s="36"/>
    </row>
    <row r="11" spans="1:5" x14ac:dyDescent="0.35">
      <c r="B11" s="36"/>
      <c r="C11" s="36"/>
      <c r="D11" s="36"/>
      <c r="E11" s="36"/>
    </row>
    <row r="12" spans="1:5" x14ac:dyDescent="0.35">
      <c r="A12" t="s">
        <v>132</v>
      </c>
      <c r="B12" s="36">
        <f>E4*(1+WACC!B4)/(WACC!B19-WACC!B4)</f>
        <v>101453874.88465579</v>
      </c>
      <c r="C12" s="36"/>
      <c r="D12" s="36"/>
      <c r="E12" s="36"/>
    </row>
    <row r="13" spans="1:5" x14ac:dyDescent="0.35">
      <c r="A13" t="s">
        <v>133</v>
      </c>
      <c r="B13" s="36">
        <f>B12*E5</f>
        <v>79088749.213630706</v>
      </c>
      <c r="C13" s="36"/>
      <c r="D13" s="36"/>
      <c r="E13" s="36"/>
    </row>
    <row r="14" spans="1:5" x14ac:dyDescent="0.35">
      <c r="B14" s="36"/>
      <c r="C14" s="36"/>
      <c r="D14" s="36"/>
      <c r="E14" s="36"/>
    </row>
    <row r="15" spans="1:5" x14ac:dyDescent="0.35">
      <c r="B15" s="36"/>
      <c r="C15" s="36"/>
      <c r="D15" s="36"/>
      <c r="E15" s="36"/>
    </row>
    <row r="16" spans="1:5" x14ac:dyDescent="0.35">
      <c r="A16" s="41" t="s">
        <v>134</v>
      </c>
      <c r="B16" s="36">
        <f>B13+B10</f>
        <v>90997147.080500349</v>
      </c>
      <c r="C16" s="36"/>
      <c r="D16" s="36"/>
      <c r="E16" s="36"/>
    </row>
    <row r="17" spans="1:5" x14ac:dyDescent="0.35">
      <c r="A17" t="s">
        <v>124</v>
      </c>
      <c r="B17" s="36">
        <f>'Balance Sheet'!H23</f>
        <v>14209095</v>
      </c>
      <c r="C17" s="36"/>
      <c r="D17" s="36"/>
      <c r="E17" s="36"/>
    </row>
    <row r="18" spans="1:5" x14ac:dyDescent="0.35">
      <c r="A18" t="s">
        <v>135</v>
      </c>
      <c r="B18" s="36">
        <f>'Balance Sheet'!H6</f>
        <v>18481523.405776445</v>
      </c>
      <c r="C18" s="36"/>
      <c r="D18" s="36"/>
      <c r="E18" s="36"/>
    </row>
    <row r="19" spans="1:5" x14ac:dyDescent="0.35">
      <c r="A19" s="41" t="s">
        <v>136</v>
      </c>
      <c r="B19" s="36">
        <f>B16+B18-B17</f>
        <v>95269575.48627679</v>
      </c>
      <c r="C19" s="36"/>
      <c r="D19" s="36"/>
      <c r="E19" s="36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3"/>
  <sheetViews>
    <sheetView topLeftCell="A4" zoomScale="90" zoomScaleNormal="90" workbookViewId="0">
      <selection activeCell="E14" sqref="E14"/>
    </sheetView>
  </sheetViews>
  <sheetFormatPr defaultColWidth="9.08984375" defaultRowHeight="12.5" x14ac:dyDescent="0.35"/>
  <cols>
    <col min="1" max="1" width="45.1796875" style="5" bestFit="1" customWidth="1"/>
    <col min="2" max="4" width="12.81640625" style="5" bestFit="1" customWidth="1"/>
    <col min="5" max="5" width="9.08984375" style="5"/>
    <col min="6" max="7" width="11.36328125" style="5" bestFit="1" customWidth="1"/>
    <col min="8" max="8" width="12" style="5" bestFit="1" customWidth="1"/>
    <col min="9" max="10" width="10.1796875" style="5" bestFit="1" customWidth="1"/>
    <col min="11" max="16384" width="9.08984375" style="5"/>
  </cols>
  <sheetData>
    <row r="1" spans="1:11" ht="15.5" x14ac:dyDescent="0.35">
      <c r="A1" s="1" t="s">
        <v>17</v>
      </c>
    </row>
    <row r="3" spans="1:11" ht="23" x14ac:dyDescent="0.25">
      <c r="A3" s="3" t="s">
        <v>1</v>
      </c>
      <c r="B3" s="4" t="s">
        <v>2</v>
      </c>
      <c r="C3" s="4" t="s">
        <v>3</v>
      </c>
      <c r="D3" s="4" t="s">
        <v>4</v>
      </c>
    </row>
    <row r="4" spans="1:11" ht="13" x14ac:dyDescent="0.3">
      <c r="A4" s="13" t="s">
        <v>18</v>
      </c>
      <c r="B4" s="2"/>
      <c r="C4" s="2"/>
      <c r="D4" s="2"/>
      <c r="E4" s="14"/>
      <c r="F4" s="14"/>
      <c r="G4" s="2"/>
      <c r="H4" s="2"/>
      <c r="I4" s="2"/>
      <c r="J4" s="2"/>
      <c r="K4" s="2"/>
    </row>
    <row r="5" spans="1:11" ht="13" x14ac:dyDescent="0.3">
      <c r="A5" s="14" t="s">
        <v>19</v>
      </c>
      <c r="B5" s="14"/>
      <c r="C5" s="15"/>
      <c r="D5" s="15"/>
      <c r="E5" s="14"/>
      <c r="F5" s="14"/>
      <c r="G5" s="2"/>
      <c r="H5" s="2"/>
      <c r="I5" s="2"/>
      <c r="J5" s="2"/>
      <c r="K5" s="2"/>
    </row>
    <row r="6" spans="1:11" x14ac:dyDescent="0.25">
      <c r="A6" s="14" t="s">
        <v>20</v>
      </c>
      <c r="B6" s="16">
        <v>3794483</v>
      </c>
      <c r="C6" s="17">
        <v>5018437</v>
      </c>
      <c r="D6" s="17">
        <v>8205550</v>
      </c>
      <c r="E6" s="14"/>
      <c r="F6" s="14" t="s">
        <v>63</v>
      </c>
      <c r="G6" s="2"/>
      <c r="H6" s="2"/>
      <c r="I6" s="2"/>
      <c r="J6" s="2"/>
      <c r="K6" s="2"/>
    </row>
    <row r="7" spans="1:11" x14ac:dyDescent="0.25">
      <c r="A7" s="14" t="s">
        <v>21</v>
      </c>
      <c r="B7" s="16">
        <f>748466+5151186</f>
        <v>5899652</v>
      </c>
      <c r="C7" s="18">
        <v>1160067</v>
      </c>
      <c r="D7" s="18">
        <v>1556030</v>
      </c>
      <c r="E7" s="14"/>
      <c r="F7" s="14" t="s">
        <v>58</v>
      </c>
      <c r="G7" s="2"/>
      <c r="H7" s="2"/>
      <c r="I7" s="2"/>
      <c r="J7" s="2"/>
      <c r="K7" s="2"/>
    </row>
    <row r="8" spans="1:11" x14ac:dyDescent="0.25">
      <c r="A8" s="14" t="s">
        <v>22</v>
      </c>
      <c r="B8" s="19">
        <f>SUM(B6:B7)</f>
        <v>9694135</v>
      </c>
      <c r="C8" s="20">
        <f>SUM(C6:C7)</f>
        <v>6178504</v>
      </c>
      <c r="D8" s="20">
        <f>SUM(D6:D7)</f>
        <v>9761580</v>
      </c>
      <c r="E8" s="14"/>
      <c r="F8" s="2"/>
      <c r="G8" s="2"/>
      <c r="H8" s="2"/>
      <c r="I8" s="2"/>
      <c r="J8" s="2"/>
      <c r="K8" s="2"/>
    </row>
    <row r="9" spans="1:11" x14ac:dyDescent="0.25">
      <c r="A9" s="14" t="s">
        <v>23</v>
      </c>
      <c r="B9" s="16">
        <v>14951141</v>
      </c>
      <c r="C9" s="20">
        <v>24504567</v>
      </c>
      <c r="D9" s="20">
        <v>25383950</v>
      </c>
      <c r="E9" s="14"/>
      <c r="F9" s="14" t="s">
        <v>64</v>
      </c>
      <c r="G9" s="2"/>
      <c r="H9" s="2"/>
      <c r="I9" s="2"/>
      <c r="J9" s="2"/>
      <c r="K9" s="2"/>
    </row>
    <row r="10" spans="1:11" x14ac:dyDescent="0.25">
      <c r="A10" s="14" t="s">
        <v>24</v>
      </c>
      <c r="B10" s="16">
        <v>418281</v>
      </c>
      <c r="C10" s="20">
        <v>565221</v>
      </c>
      <c r="D10" s="20">
        <v>960183</v>
      </c>
      <c r="E10" s="14"/>
      <c r="F10" s="35" t="s">
        <v>64</v>
      </c>
      <c r="G10" s="21"/>
      <c r="H10" s="21"/>
      <c r="I10" s="2"/>
      <c r="J10" s="2"/>
      <c r="K10" s="2"/>
    </row>
    <row r="11" spans="1:11" x14ac:dyDescent="0.25">
      <c r="A11" s="14" t="s">
        <v>25</v>
      </c>
      <c r="B11" s="16">
        <v>910843</v>
      </c>
      <c r="C11" s="20">
        <v>2727420</v>
      </c>
      <c r="D11" s="20">
        <v>3174646</v>
      </c>
      <c r="E11" s="14"/>
      <c r="F11" s="21"/>
      <c r="G11" s="21"/>
      <c r="H11" s="21"/>
      <c r="I11" s="2"/>
      <c r="J11" s="2"/>
      <c r="K11" s="2"/>
    </row>
    <row r="12" spans="1:11" ht="13.5" thickBot="1" x14ac:dyDescent="0.35">
      <c r="A12" s="13" t="s">
        <v>26</v>
      </c>
      <c r="B12" s="22">
        <f>SUM(B8:B11)</f>
        <v>25974400</v>
      </c>
      <c r="C12" s="22">
        <f>SUM(C8:C11)</f>
        <v>33975712</v>
      </c>
      <c r="D12" s="22">
        <f>SUM(D8:D11)</f>
        <v>39280359</v>
      </c>
      <c r="E12" s="13"/>
      <c r="F12" s="21"/>
      <c r="G12" s="21"/>
      <c r="H12" s="21"/>
      <c r="I12" s="2"/>
      <c r="J12" s="2"/>
      <c r="K12" s="2"/>
    </row>
    <row r="13" spans="1:11" ht="13" x14ac:dyDescent="0.3">
      <c r="A13" s="13"/>
      <c r="B13" s="23"/>
      <c r="C13" s="23"/>
      <c r="D13" s="23"/>
      <c r="E13" s="13"/>
      <c r="F13" s="2"/>
      <c r="G13" s="2"/>
      <c r="H13" s="2"/>
      <c r="I13" s="2"/>
      <c r="J13" s="2"/>
      <c r="K13" s="2"/>
    </row>
    <row r="14" spans="1:11" ht="13" x14ac:dyDescent="0.3">
      <c r="A14" s="13" t="s">
        <v>27</v>
      </c>
      <c r="B14" s="14"/>
      <c r="C14" s="24"/>
      <c r="D14" s="24"/>
      <c r="E14" s="14"/>
      <c r="F14" s="14"/>
      <c r="G14" s="2"/>
      <c r="H14" s="2"/>
      <c r="I14" s="2"/>
      <c r="J14" s="2"/>
      <c r="K14" s="2"/>
    </row>
    <row r="15" spans="1:11" x14ac:dyDescent="0.25">
      <c r="A15" s="14" t="s">
        <v>28</v>
      </c>
      <c r="B15" s="14"/>
      <c r="C15" s="20"/>
      <c r="D15" s="20"/>
      <c r="E15" s="14"/>
      <c r="F15" s="14"/>
      <c r="G15" s="2"/>
      <c r="H15" s="2"/>
      <c r="I15" s="2"/>
      <c r="J15" s="2"/>
      <c r="K15" s="2"/>
    </row>
    <row r="16" spans="1:11" x14ac:dyDescent="0.25">
      <c r="A16" s="14" t="s">
        <v>29</v>
      </c>
      <c r="B16" s="16">
        <v>4681562</v>
      </c>
      <c r="C16" s="17">
        <v>4413561</v>
      </c>
      <c r="D16" s="17">
        <v>4429536</v>
      </c>
      <c r="E16" s="14"/>
      <c r="F16" s="25"/>
      <c r="G16" s="2"/>
      <c r="H16" s="26"/>
      <c r="I16" s="27"/>
      <c r="K16" s="2"/>
    </row>
    <row r="17" spans="1:11" x14ac:dyDescent="0.25">
      <c r="A17" s="14" t="s">
        <v>30</v>
      </c>
      <c r="B17" s="16">
        <v>562985</v>
      </c>
      <c r="C17" s="20">
        <v>674347</v>
      </c>
      <c r="D17" s="20">
        <v>656183</v>
      </c>
      <c r="E17" s="14"/>
      <c r="F17" s="14" t="s">
        <v>58</v>
      </c>
      <c r="G17" s="2"/>
      <c r="H17" s="26"/>
      <c r="I17" s="27"/>
      <c r="K17" s="2"/>
    </row>
    <row r="18" spans="1:11" x14ac:dyDescent="0.25">
      <c r="A18" s="14" t="s">
        <v>31</v>
      </c>
      <c r="B18" s="16">
        <v>481874</v>
      </c>
      <c r="C18" s="20">
        <v>843043</v>
      </c>
      <c r="D18" s="20">
        <v>1102196</v>
      </c>
      <c r="E18" s="14"/>
      <c r="F18" s="14"/>
      <c r="G18" s="2"/>
      <c r="H18" s="2"/>
      <c r="I18" s="2"/>
      <c r="J18" s="2"/>
      <c r="K18" s="2"/>
    </row>
    <row r="19" spans="1:11" x14ac:dyDescent="0.25">
      <c r="A19" s="14" t="s">
        <v>32</v>
      </c>
      <c r="B19" s="16">
        <v>760899</v>
      </c>
      <c r="C19" s="20">
        <v>924745</v>
      </c>
      <c r="D19" s="20">
        <v>1117992</v>
      </c>
      <c r="E19" s="14"/>
      <c r="F19" s="14"/>
      <c r="G19" s="2"/>
      <c r="H19" s="2"/>
      <c r="I19" s="2"/>
      <c r="J19" s="2"/>
      <c r="K19" s="2"/>
    </row>
    <row r="20" spans="1:11" x14ac:dyDescent="0.25">
      <c r="A20" s="14" t="s">
        <v>33</v>
      </c>
      <c r="B20" s="18">
        <v>0</v>
      </c>
      <c r="C20" s="18">
        <v>0</v>
      </c>
      <c r="D20" s="18">
        <v>499878</v>
      </c>
      <c r="E20" s="14"/>
      <c r="F20" s="14"/>
      <c r="G20" s="2"/>
      <c r="H20" s="2"/>
      <c r="I20" s="2"/>
      <c r="J20" s="2"/>
      <c r="K20" s="2"/>
    </row>
    <row r="21" spans="1:11" x14ac:dyDescent="0.25">
      <c r="A21" s="14" t="s">
        <v>34</v>
      </c>
      <c r="B21" s="19">
        <f>SUM(B16:B20)</f>
        <v>6487320</v>
      </c>
      <c r="C21" s="20">
        <f>SUM(C16:C20)</f>
        <v>6855696</v>
      </c>
      <c r="D21" s="20">
        <f>SUM(D16:D20)</f>
        <v>7805785</v>
      </c>
      <c r="E21" s="14"/>
      <c r="F21" s="2"/>
      <c r="G21" s="2"/>
      <c r="H21" s="2"/>
      <c r="I21" s="2"/>
      <c r="J21" s="2"/>
      <c r="K21" s="2"/>
    </row>
    <row r="22" spans="1:11" x14ac:dyDescent="0.25">
      <c r="A22" s="14" t="s">
        <v>35</v>
      </c>
      <c r="B22" s="16">
        <v>3759026</v>
      </c>
      <c r="C22" s="20">
        <v>3334323</v>
      </c>
      <c r="D22" s="20">
        <v>2618084</v>
      </c>
      <c r="E22" s="14"/>
      <c r="F22" s="14"/>
      <c r="G22" s="2"/>
      <c r="H22" s="2"/>
      <c r="I22" s="2"/>
      <c r="J22" s="2"/>
      <c r="K22" s="2"/>
    </row>
    <row r="23" spans="1:11" x14ac:dyDescent="0.25">
      <c r="A23" s="14" t="s">
        <v>36</v>
      </c>
      <c r="B23" s="16">
        <v>10360058</v>
      </c>
      <c r="C23" s="20">
        <v>14759260</v>
      </c>
      <c r="D23" s="20">
        <v>15809095</v>
      </c>
      <c r="E23" s="14"/>
      <c r="F23" s="14"/>
      <c r="G23" s="21"/>
      <c r="H23" s="2"/>
      <c r="I23" s="2"/>
      <c r="J23" s="2"/>
      <c r="K23" s="2"/>
    </row>
    <row r="24" spans="1:11" x14ac:dyDescent="0.25">
      <c r="A24" s="14" t="s">
        <v>37</v>
      </c>
      <c r="B24" s="16">
        <v>129231</v>
      </c>
      <c r="C24" s="18">
        <v>1444276</v>
      </c>
      <c r="D24" s="18">
        <v>1982155</v>
      </c>
      <c r="E24" s="14"/>
      <c r="F24" s="25"/>
      <c r="G24" s="25"/>
      <c r="H24" s="25"/>
      <c r="I24" s="2"/>
      <c r="J24" s="2"/>
      <c r="K24" s="2"/>
    </row>
    <row r="25" spans="1:11" ht="13" x14ac:dyDescent="0.3">
      <c r="A25" s="13" t="s">
        <v>38</v>
      </c>
      <c r="B25" s="19">
        <f>SUM(B21:B24)</f>
        <v>20735635</v>
      </c>
      <c r="C25" s="20">
        <f>SUM(C21:C24)</f>
        <v>26393555</v>
      </c>
      <c r="D25" s="20">
        <f>SUM(D21:D24)</f>
        <v>28215119</v>
      </c>
      <c r="E25" s="14"/>
      <c r="F25" s="2"/>
      <c r="G25" s="2"/>
      <c r="H25" s="2"/>
      <c r="I25" s="2"/>
      <c r="J25" s="2"/>
      <c r="K25" s="2"/>
    </row>
    <row r="26" spans="1:11" x14ac:dyDescent="0.25">
      <c r="A26" s="14" t="s">
        <v>39</v>
      </c>
      <c r="B26" s="14"/>
      <c r="C26" s="20"/>
      <c r="D26" s="20"/>
      <c r="E26" s="14"/>
      <c r="F26" s="14"/>
      <c r="G26" s="2"/>
      <c r="H26" s="2"/>
      <c r="I26" s="2"/>
      <c r="J26" s="2"/>
      <c r="K26" s="2"/>
    </row>
    <row r="27" spans="1:11" x14ac:dyDescent="0.25">
      <c r="A27" s="14" t="s">
        <v>40</v>
      </c>
      <c r="B27" s="20">
        <v>2315988</v>
      </c>
      <c r="C27" s="20">
        <v>2793929</v>
      </c>
      <c r="D27" s="20">
        <v>3447698</v>
      </c>
      <c r="E27" s="28"/>
      <c r="F27" s="2"/>
      <c r="G27" s="2"/>
      <c r="H27" s="2"/>
      <c r="I27" s="2"/>
      <c r="J27" s="2"/>
      <c r="K27" s="2"/>
    </row>
    <row r="28" spans="1:11" x14ac:dyDescent="0.25">
      <c r="A28" s="14" t="s">
        <v>41</v>
      </c>
      <c r="B28" s="28"/>
      <c r="C28" s="20">
        <v>0</v>
      </c>
      <c r="D28" s="20">
        <v>0</v>
      </c>
      <c r="E28" s="28"/>
      <c r="F28" s="2"/>
      <c r="G28" s="2"/>
      <c r="H28" s="2"/>
      <c r="I28" s="2"/>
      <c r="J28" s="2"/>
      <c r="K28" s="2"/>
    </row>
    <row r="29" spans="1:11" x14ac:dyDescent="0.25">
      <c r="A29" s="14" t="s">
        <v>42</v>
      </c>
      <c r="B29" s="20">
        <v>-19582</v>
      </c>
      <c r="C29" s="20">
        <v>-23521</v>
      </c>
      <c r="D29" s="20">
        <v>44398</v>
      </c>
      <c r="E29" s="14"/>
      <c r="F29" s="2"/>
      <c r="G29" s="2"/>
      <c r="H29" s="2"/>
      <c r="I29" s="2"/>
      <c r="J29" s="2"/>
      <c r="K29" s="2"/>
    </row>
    <row r="30" spans="1:11" x14ac:dyDescent="0.25">
      <c r="A30" s="14" t="s">
        <v>43</v>
      </c>
      <c r="B30" s="16">
        <v>2942359</v>
      </c>
      <c r="C30" s="18">
        <v>4811749</v>
      </c>
      <c r="D30" s="18">
        <v>7573144</v>
      </c>
      <c r="E30" s="14"/>
      <c r="F30" s="2"/>
      <c r="G30" s="21"/>
      <c r="H30" s="21"/>
      <c r="I30" s="2"/>
      <c r="J30" s="2"/>
      <c r="K30" s="2"/>
    </row>
    <row r="31" spans="1:11" ht="13" x14ac:dyDescent="0.3">
      <c r="A31" s="13" t="s">
        <v>44</v>
      </c>
      <c r="B31" s="29">
        <f>SUM(B27:B30)</f>
        <v>5238765</v>
      </c>
      <c r="C31" s="20">
        <f>SUM(C27:C30)</f>
        <v>7582157</v>
      </c>
      <c r="D31" s="20">
        <f>SUM(D27:D30)</f>
        <v>11065240</v>
      </c>
      <c r="E31" s="2"/>
      <c r="F31" s="2"/>
      <c r="G31" s="2"/>
      <c r="H31" s="2"/>
      <c r="I31" s="2"/>
      <c r="J31" s="2"/>
      <c r="K31" s="2"/>
    </row>
    <row r="32" spans="1:11" ht="13.5" thickBot="1" x14ac:dyDescent="0.35">
      <c r="A32" s="13" t="s">
        <v>45</v>
      </c>
      <c r="B32" s="22">
        <f>B25+B31</f>
        <v>25974400</v>
      </c>
      <c r="C32" s="22">
        <f>C25+C31</f>
        <v>33975712</v>
      </c>
      <c r="D32" s="22">
        <f>D25+D31</f>
        <v>39280359</v>
      </c>
      <c r="E32" s="2"/>
      <c r="F32" s="2"/>
      <c r="G32" s="2"/>
      <c r="H32" s="2"/>
      <c r="I32" s="2"/>
      <c r="J32" s="2"/>
      <c r="K32" s="2"/>
    </row>
    <row r="33" spans="1:1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1"/>
  <sheetViews>
    <sheetView zoomScale="64" zoomScaleNormal="70" workbookViewId="0">
      <pane ySplit="2" topLeftCell="A3" activePane="bottomLeft" state="frozen"/>
      <selection activeCell="B1" sqref="B1"/>
      <selection pane="bottomLeft" activeCell="B1" sqref="B1:H1"/>
    </sheetView>
  </sheetViews>
  <sheetFormatPr defaultRowHeight="14.5" x14ac:dyDescent="0.35"/>
  <cols>
    <col min="1" max="1" width="59.54296875" bestFit="1" customWidth="1"/>
    <col min="2" max="2" width="18.453125" customWidth="1"/>
    <col min="3" max="3" width="19.1796875" customWidth="1"/>
    <col min="4" max="4" width="19.90625" customWidth="1"/>
    <col min="5" max="5" width="19.1796875" customWidth="1"/>
    <col min="6" max="6" width="21.08984375" customWidth="1"/>
    <col min="7" max="7" width="19" customWidth="1"/>
    <col min="8" max="8" width="21.08984375" customWidth="1"/>
    <col min="9" max="9" width="27.54296875" customWidth="1"/>
    <col min="10" max="10" width="14" customWidth="1"/>
    <col min="11" max="11" width="15.54296875" customWidth="1"/>
    <col min="12" max="12" width="9.90625" customWidth="1"/>
  </cols>
  <sheetData>
    <row r="1" spans="1:20" ht="29" x14ac:dyDescent="0.35">
      <c r="A1" s="88" t="s">
        <v>46</v>
      </c>
      <c r="B1" s="87" t="s">
        <v>2</v>
      </c>
      <c r="C1" s="87" t="s">
        <v>3</v>
      </c>
      <c r="D1" s="87" t="s">
        <v>4</v>
      </c>
      <c r="E1" s="87" t="s">
        <v>137</v>
      </c>
      <c r="F1" s="87" t="s">
        <v>138</v>
      </c>
      <c r="G1" s="87" t="s">
        <v>139</v>
      </c>
      <c r="H1" s="87" t="s">
        <v>140</v>
      </c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</row>
    <row r="2" spans="1:20" ht="23" x14ac:dyDescent="0.35">
      <c r="A2" s="68" t="s">
        <v>1</v>
      </c>
      <c r="B2" s="69" t="s">
        <v>2</v>
      </c>
      <c r="C2" s="69" t="s">
        <v>3</v>
      </c>
      <c r="D2" s="69" t="s">
        <v>4</v>
      </c>
      <c r="E2" s="69" t="s">
        <v>137</v>
      </c>
      <c r="F2" s="69" t="s">
        <v>138</v>
      </c>
      <c r="G2" s="69" t="s">
        <v>139</v>
      </c>
      <c r="H2" s="69" t="s">
        <v>140</v>
      </c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</row>
    <row r="3" spans="1:20" x14ac:dyDescent="0.35">
      <c r="A3" s="31" t="s">
        <v>47</v>
      </c>
      <c r="B3" s="70">
        <f>B10+B17+B24+B31</f>
        <v>15428752</v>
      </c>
      <c r="C3" s="70">
        <f t="shared" ref="C3:H3" si="0">C10+C17+C24+C31</f>
        <v>19859230</v>
      </c>
      <c r="D3" s="70">
        <f t="shared" si="0"/>
        <v>24756675</v>
      </c>
      <c r="E3" s="70">
        <f t="shared" si="0"/>
        <v>28450601.211875249</v>
      </c>
      <c r="F3" s="70">
        <f t="shared" si="0"/>
        <v>33480660.387858223</v>
      </c>
      <c r="G3" s="70">
        <f t="shared" si="0"/>
        <v>38274192.462814137</v>
      </c>
      <c r="H3" s="70">
        <f t="shared" si="0"/>
        <v>42927069.736801565</v>
      </c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</row>
    <row r="4" spans="1:20" x14ac:dyDescent="0.35">
      <c r="A4" s="31" t="s">
        <v>48</v>
      </c>
      <c r="B4" s="71">
        <v>365589</v>
      </c>
      <c r="C4" s="71">
        <v>297217</v>
      </c>
      <c r="D4" s="71">
        <v>239381</v>
      </c>
      <c r="E4" s="71">
        <f>D4*(1+E5)</f>
        <v>193705.83812687785</v>
      </c>
      <c r="F4" s="71">
        <f t="shared" ref="F4:H4" si="1">E4*(1+F5)</f>
        <v>156379.00173325167</v>
      </c>
      <c r="G4" s="71">
        <f t="shared" si="1"/>
        <v>126393.02674674911</v>
      </c>
      <c r="H4" s="71">
        <f t="shared" si="1"/>
        <v>102097.09627329883</v>
      </c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</row>
    <row r="5" spans="1:20" x14ac:dyDescent="0.35">
      <c r="A5" s="72" t="s">
        <v>49</v>
      </c>
      <c r="B5" s="31"/>
      <c r="C5" s="73">
        <f>C4/B4-1</f>
        <v>-0.18701875603478224</v>
      </c>
      <c r="D5" s="73">
        <f>D4/C4-1</f>
        <v>-0.19459183021159621</v>
      </c>
      <c r="E5" s="73">
        <f>AVERAGE(C5:D5)</f>
        <v>-0.19080529312318922</v>
      </c>
      <c r="F5" s="73">
        <f t="shared" ref="F5:H5" si="2">AVERAGE(D5:E5)</f>
        <v>-0.19269856166739271</v>
      </c>
      <c r="G5" s="73">
        <f t="shared" si="2"/>
        <v>-0.19175192739529096</v>
      </c>
      <c r="H5" s="73">
        <f t="shared" si="2"/>
        <v>-0.19222524453134182</v>
      </c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</row>
    <row r="6" spans="1:20" x14ac:dyDescent="0.35">
      <c r="A6" s="32" t="s">
        <v>50</v>
      </c>
      <c r="B6" s="74">
        <f>B3+B4</f>
        <v>15794341</v>
      </c>
      <c r="C6" s="74">
        <f t="shared" ref="C6:H6" si="3">C3+C4</f>
        <v>20156447</v>
      </c>
      <c r="D6" s="74">
        <f t="shared" si="3"/>
        <v>24996056</v>
      </c>
      <c r="E6" s="74">
        <f t="shared" si="3"/>
        <v>28644307.050002128</v>
      </c>
      <c r="F6" s="74">
        <f t="shared" si="3"/>
        <v>33637039.389591478</v>
      </c>
      <c r="G6" s="74">
        <f t="shared" si="3"/>
        <v>38400585.489560887</v>
      </c>
      <c r="H6" s="74">
        <f t="shared" si="3"/>
        <v>43029166.83307486</v>
      </c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</row>
    <row r="7" spans="1:20" x14ac:dyDescent="0.35">
      <c r="A7" s="31"/>
      <c r="B7" s="31"/>
      <c r="C7" s="31"/>
      <c r="D7" s="31"/>
      <c r="E7" s="31"/>
      <c r="F7" s="31"/>
      <c r="G7" s="31"/>
      <c r="H7" s="31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0" x14ac:dyDescent="0.35">
      <c r="A8" s="31"/>
      <c r="B8" s="31"/>
      <c r="C8" s="31"/>
      <c r="D8" s="31"/>
      <c r="E8" s="31"/>
      <c r="F8" s="31"/>
      <c r="G8" s="31"/>
      <c r="H8" s="31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</row>
    <row r="9" spans="1:20" ht="15.5" x14ac:dyDescent="0.35">
      <c r="A9" s="30" t="s">
        <v>51</v>
      </c>
      <c r="B9" s="31"/>
      <c r="C9" s="31"/>
      <c r="D9" s="31"/>
      <c r="E9" s="31"/>
      <c r="F9" s="31"/>
      <c r="G9" s="31"/>
      <c r="H9" s="31"/>
      <c r="I9" s="79" t="s">
        <v>57</v>
      </c>
      <c r="J9" s="79" t="s">
        <v>145</v>
      </c>
      <c r="K9" s="79" t="s">
        <v>146</v>
      </c>
      <c r="L9" t="s">
        <v>147</v>
      </c>
      <c r="M9" s="42"/>
      <c r="N9" s="42"/>
      <c r="O9" s="42"/>
      <c r="P9" s="42"/>
      <c r="Q9" s="42"/>
      <c r="R9" s="42"/>
      <c r="S9" s="42"/>
      <c r="T9" s="42"/>
    </row>
    <row r="10" spans="1:20" x14ac:dyDescent="0.35">
      <c r="A10" s="31" t="s">
        <v>5</v>
      </c>
      <c r="B10" s="70">
        <v>8281532</v>
      </c>
      <c r="C10" s="70">
        <v>10051208</v>
      </c>
      <c r="D10" s="70">
        <v>11455396</v>
      </c>
      <c r="E10" s="70">
        <f>E11*E12</f>
        <v>11434119.486583754</v>
      </c>
      <c r="F10" s="70">
        <f t="shared" ref="F10:H10" si="4">F11*F12</f>
        <v>12309278.929338679</v>
      </c>
      <c r="G10" s="70">
        <f t="shared" si="4"/>
        <v>13251422.458725005</v>
      </c>
      <c r="H10" s="70">
        <f t="shared" si="4"/>
        <v>14265676.989499792</v>
      </c>
      <c r="I10" s="32">
        <v>2018</v>
      </c>
      <c r="J10" s="32">
        <v>2019</v>
      </c>
      <c r="K10" s="32">
        <v>2020</v>
      </c>
      <c r="M10" s="42"/>
      <c r="N10" s="42"/>
      <c r="O10" s="42"/>
      <c r="P10" s="42"/>
      <c r="Q10" s="42"/>
      <c r="R10" s="42"/>
      <c r="S10" s="42"/>
      <c r="T10" s="42"/>
    </row>
    <row r="11" spans="1:20" x14ac:dyDescent="0.35">
      <c r="A11" s="31" t="s">
        <v>52</v>
      </c>
      <c r="B11" s="75">
        <f>I11*12</f>
        <v>133.92000000000002</v>
      </c>
      <c r="C11" s="75">
        <f>J11*12</f>
        <v>150.84</v>
      </c>
      <c r="D11" s="75">
        <f t="shared" ref="D11" si="5">K11*12</f>
        <v>159.84</v>
      </c>
      <c r="E11" s="75">
        <f>AVERAGE($B$11:$D$11)</f>
        <v>148.20000000000002</v>
      </c>
      <c r="F11" s="75">
        <f t="shared" ref="F11:H11" si="6">AVERAGE($B$11:$D$11)</f>
        <v>148.20000000000002</v>
      </c>
      <c r="G11" s="75">
        <f t="shared" si="6"/>
        <v>148.20000000000002</v>
      </c>
      <c r="H11" s="75">
        <f t="shared" si="6"/>
        <v>148.20000000000002</v>
      </c>
      <c r="I11" s="75">
        <v>11.16</v>
      </c>
      <c r="J11" s="75">
        <v>12.57</v>
      </c>
      <c r="K11" s="75">
        <v>13.32</v>
      </c>
      <c r="M11" s="42"/>
      <c r="N11" s="42"/>
      <c r="O11" s="42"/>
      <c r="P11" s="42"/>
      <c r="Q11" s="42"/>
      <c r="R11" s="42"/>
      <c r="S11" s="42"/>
      <c r="T11" s="42"/>
    </row>
    <row r="12" spans="1:20" x14ac:dyDescent="0.35">
      <c r="A12" s="31" t="s">
        <v>53</v>
      </c>
      <c r="B12" s="70">
        <f>B10/B11</f>
        <v>61839.396654719225</v>
      </c>
      <c r="C12" s="70">
        <f t="shared" ref="C12:D12" si="7">C10/C11</f>
        <v>66634.897905064965</v>
      </c>
      <c r="D12" s="70">
        <f t="shared" si="7"/>
        <v>71667.892892892894</v>
      </c>
      <c r="E12" s="70">
        <f>D12*(1+E13)</f>
        <v>77153.302878432878</v>
      </c>
      <c r="F12" s="70">
        <f t="shared" ref="F12:H12" si="8">E12*(1+F13)</f>
        <v>83058.56227623939</v>
      </c>
      <c r="G12" s="70">
        <f t="shared" si="8"/>
        <v>89415.806064271281</v>
      </c>
      <c r="H12" s="70">
        <f t="shared" si="8"/>
        <v>96259.628809040427</v>
      </c>
      <c r="I12" s="31"/>
      <c r="J12" s="31"/>
      <c r="K12" s="31"/>
      <c r="M12" s="42"/>
      <c r="N12" s="42"/>
      <c r="O12" s="42"/>
      <c r="P12" s="42"/>
      <c r="Q12" s="42"/>
      <c r="R12" s="42"/>
      <c r="S12" s="42"/>
      <c r="T12" s="42"/>
    </row>
    <row r="13" spans="1:20" x14ac:dyDescent="0.35">
      <c r="A13" s="72" t="s">
        <v>49</v>
      </c>
      <c r="B13" s="31"/>
      <c r="C13" s="73">
        <f>C12/B12-1</f>
        <v>7.7547672030525483E-2</v>
      </c>
      <c r="D13" s="73">
        <f>D12/C12-1</f>
        <v>7.5530917673175768E-2</v>
      </c>
      <c r="E13" s="73">
        <f>AVERAGE($C$13:$D$13)</f>
        <v>7.6539294851850626E-2</v>
      </c>
      <c r="F13" s="73">
        <f t="shared" ref="F13:H13" si="9">AVERAGE($C$13:$D$13)</f>
        <v>7.6539294851850626E-2</v>
      </c>
      <c r="G13" s="73">
        <f t="shared" si="9"/>
        <v>7.6539294851850626E-2</v>
      </c>
      <c r="H13" s="73">
        <f t="shared" si="9"/>
        <v>7.6539294851850626E-2</v>
      </c>
      <c r="I13" s="31"/>
      <c r="J13" s="31"/>
      <c r="K13" s="31"/>
      <c r="M13" s="42"/>
      <c r="N13" s="42"/>
      <c r="O13" s="42"/>
      <c r="P13" s="42"/>
      <c r="Q13" s="42"/>
      <c r="R13" s="42"/>
      <c r="S13" s="42"/>
      <c r="T13" s="42"/>
    </row>
    <row r="14" spans="1:20" x14ac:dyDescent="0.35">
      <c r="A14" s="76"/>
      <c r="B14" s="31"/>
      <c r="C14" s="31"/>
      <c r="D14" s="31"/>
      <c r="E14" s="31"/>
      <c r="F14" s="31"/>
      <c r="G14" s="31"/>
      <c r="H14" s="31"/>
      <c r="I14" s="80"/>
      <c r="J14" s="80"/>
      <c r="K14" s="80"/>
      <c r="M14" s="42"/>
      <c r="N14" s="42"/>
      <c r="O14" s="42"/>
      <c r="P14" s="42"/>
      <c r="Q14" s="42"/>
      <c r="R14" s="42"/>
      <c r="S14" s="42"/>
      <c r="T14" s="42"/>
    </row>
    <row r="15" spans="1:20" x14ac:dyDescent="0.3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M15" s="42"/>
      <c r="N15" s="42"/>
      <c r="O15" s="42"/>
      <c r="P15" s="42"/>
      <c r="Q15" s="42"/>
      <c r="R15" s="42"/>
      <c r="S15" s="42"/>
      <c r="T15" s="42"/>
    </row>
    <row r="16" spans="1:20" ht="15.5" x14ac:dyDescent="0.35">
      <c r="A16" s="30" t="s">
        <v>54</v>
      </c>
      <c r="B16" s="31"/>
      <c r="C16" s="31"/>
      <c r="D16" s="31"/>
      <c r="E16" s="31"/>
      <c r="F16" s="31"/>
      <c r="G16" s="31"/>
      <c r="H16" s="31"/>
      <c r="I16" s="79" t="s">
        <v>57</v>
      </c>
      <c r="J16" s="79"/>
      <c r="K16" s="79"/>
      <c r="M16" s="42"/>
      <c r="N16" s="42"/>
      <c r="O16" s="42"/>
      <c r="P16" s="42"/>
      <c r="Q16" s="42"/>
      <c r="R16" s="42"/>
      <c r="S16" s="42"/>
      <c r="T16" s="42"/>
    </row>
    <row r="17" spans="1:20" x14ac:dyDescent="0.35">
      <c r="A17" s="31" t="s">
        <v>5</v>
      </c>
      <c r="B17" s="70">
        <v>3963707</v>
      </c>
      <c r="C17" s="70">
        <v>5543067</v>
      </c>
      <c r="D17" s="70">
        <v>7772252</v>
      </c>
      <c r="E17" s="70">
        <f>E18*E19</f>
        <v>9981422.5905182417</v>
      </c>
      <c r="F17" s="70">
        <f t="shared" ref="F17:H17" si="10">F18*F19</f>
        <v>12108148.919534639</v>
      </c>
      <c r="G17" s="70">
        <f t="shared" si="10"/>
        <v>13533521.889882047</v>
      </c>
      <c r="H17" s="70">
        <f t="shared" si="10"/>
        <v>14701389.443470517</v>
      </c>
      <c r="I17" s="32">
        <v>2018</v>
      </c>
      <c r="J17" s="32">
        <v>2019</v>
      </c>
      <c r="K17" s="32">
        <v>2020</v>
      </c>
      <c r="M17" s="42"/>
      <c r="N17" s="42"/>
      <c r="O17" s="42"/>
      <c r="P17" s="42"/>
      <c r="Q17" s="42"/>
      <c r="R17" s="42"/>
      <c r="S17" s="42"/>
      <c r="T17" s="42"/>
    </row>
    <row r="18" spans="1:20" x14ac:dyDescent="0.35">
      <c r="A18" s="31" t="s">
        <v>52</v>
      </c>
      <c r="B18" s="75">
        <f>I18*12</f>
        <v>125.39999999999999</v>
      </c>
      <c r="C18" s="75">
        <f>J18*12</f>
        <v>123.96000000000001</v>
      </c>
      <c r="D18" s="75">
        <f t="shared" ref="D18" si="11">K18*12</f>
        <v>128.64000000000001</v>
      </c>
      <c r="E18" s="75">
        <f>AVERAGE(B18:D18)</f>
        <v>126</v>
      </c>
      <c r="F18" s="75">
        <f t="shared" ref="F18:H18" si="12">AVERAGE(C18:E18)</f>
        <v>126.2</v>
      </c>
      <c r="G18" s="75">
        <f t="shared" si="12"/>
        <v>126.94666666666667</v>
      </c>
      <c r="H18" s="75">
        <f t="shared" si="12"/>
        <v>126.38222222222221</v>
      </c>
      <c r="I18" s="75">
        <v>10.45</v>
      </c>
      <c r="J18" s="75">
        <v>10.33</v>
      </c>
      <c r="K18" s="75">
        <v>10.72</v>
      </c>
      <c r="M18" s="42"/>
      <c r="N18" s="42"/>
      <c r="O18" s="42"/>
      <c r="P18" s="42"/>
      <c r="Q18" s="42"/>
      <c r="R18" s="42"/>
      <c r="S18" s="42"/>
      <c r="T18" s="42"/>
    </row>
    <row r="19" spans="1:20" x14ac:dyDescent="0.35">
      <c r="A19" s="31" t="s">
        <v>53</v>
      </c>
      <c r="B19" s="70">
        <f>B17/B18</f>
        <v>31608.508771929828</v>
      </c>
      <c r="C19" s="70">
        <f t="shared" ref="C19:D19" si="13">C17/C18</f>
        <v>44716.577928363986</v>
      </c>
      <c r="D19" s="70">
        <f t="shared" si="13"/>
        <v>60418.62562189054</v>
      </c>
      <c r="E19" s="70">
        <f>D19*(1+E20)</f>
        <v>79217.639607287638</v>
      </c>
      <c r="F19" s="70">
        <f t="shared" ref="F19:H19" si="14">E19*(1+F20)</f>
        <v>95944.127730068445</v>
      </c>
      <c r="G19" s="70">
        <f t="shared" si="14"/>
        <v>106607.93422341702</v>
      </c>
      <c r="H19" s="70">
        <f t="shared" si="14"/>
        <v>116324.8215213415</v>
      </c>
      <c r="I19" s="31"/>
      <c r="J19" s="31"/>
      <c r="K19" s="31"/>
      <c r="M19" s="42"/>
      <c r="N19" s="42"/>
      <c r="O19" s="42"/>
      <c r="P19" s="42"/>
      <c r="Q19" s="42"/>
      <c r="R19" s="42"/>
      <c r="S19" s="42"/>
      <c r="T19" s="42"/>
    </row>
    <row r="20" spans="1:20" x14ac:dyDescent="0.35">
      <c r="A20" s="72" t="s">
        <v>49</v>
      </c>
      <c r="B20" s="31"/>
      <c r="C20" s="73">
        <f>C19/B19-1</f>
        <v>0.41470065073347828</v>
      </c>
      <c r="D20" s="73">
        <f>D19/C19-1</f>
        <v>0.35114600492643366</v>
      </c>
      <c r="E20" s="77">
        <f>D20-4%</f>
        <v>0.31114600492643368</v>
      </c>
      <c r="F20" s="77">
        <f>E20-10%</f>
        <v>0.21114600492643368</v>
      </c>
      <c r="G20" s="77">
        <f>F20-10%</f>
        <v>0.11114600492643367</v>
      </c>
      <c r="H20" s="77">
        <f>G20-2%</f>
        <v>9.1146004926433669E-2</v>
      </c>
      <c r="I20" s="31"/>
      <c r="J20" s="31"/>
      <c r="K20" s="31"/>
      <c r="M20" s="42"/>
      <c r="N20" s="42"/>
      <c r="O20" s="42"/>
      <c r="P20" s="42"/>
      <c r="Q20" s="42"/>
      <c r="R20" s="42"/>
      <c r="S20" s="42"/>
      <c r="T20" s="42"/>
    </row>
    <row r="21" spans="1:20" x14ac:dyDescent="0.3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M21" s="42"/>
      <c r="N21" s="42"/>
      <c r="O21" s="42"/>
      <c r="P21" s="42"/>
      <c r="Q21" s="42"/>
      <c r="R21" s="42"/>
      <c r="S21" s="42"/>
      <c r="T21" s="42"/>
    </row>
    <row r="22" spans="1:20" x14ac:dyDescent="0.35">
      <c r="A22" s="31"/>
      <c r="B22" s="31"/>
      <c r="C22" s="31"/>
      <c r="D22" s="31"/>
      <c r="E22" s="31"/>
      <c r="F22" s="31"/>
      <c r="G22" s="31"/>
      <c r="H22" s="31"/>
      <c r="I22" s="81"/>
      <c r="J22" s="82"/>
      <c r="K22" s="82"/>
      <c r="M22" s="42"/>
      <c r="N22" s="42"/>
      <c r="O22" s="42"/>
      <c r="P22" s="42"/>
      <c r="Q22" s="42"/>
      <c r="R22" s="42"/>
      <c r="S22" s="42"/>
      <c r="T22" s="42"/>
    </row>
    <row r="23" spans="1:20" ht="15.5" x14ac:dyDescent="0.35">
      <c r="A23" s="30" t="s">
        <v>55</v>
      </c>
      <c r="B23" s="31"/>
      <c r="C23" s="31"/>
      <c r="D23" s="31"/>
      <c r="E23" s="31"/>
      <c r="F23" s="31"/>
      <c r="G23" s="31"/>
      <c r="H23" s="31"/>
      <c r="I23" s="79" t="s">
        <v>57</v>
      </c>
      <c r="J23" s="79"/>
      <c r="K23" s="79"/>
      <c r="M23" s="42"/>
      <c r="N23" s="42"/>
      <c r="O23" s="42"/>
      <c r="P23" s="42"/>
      <c r="Q23" s="42"/>
      <c r="R23" s="42"/>
      <c r="S23" s="42"/>
      <c r="T23" s="42"/>
    </row>
    <row r="24" spans="1:20" x14ac:dyDescent="0.35">
      <c r="A24" s="31" t="s">
        <v>5</v>
      </c>
      <c r="B24" s="71">
        <v>2237697</v>
      </c>
      <c r="C24" s="70">
        <v>2795434</v>
      </c>
      <c r="D24" s="70">
        <v>3156727</v>
      </c>
      <c r="E24" s="70">
        <f>E25*E26</f>
        <v>3842573.7972810525</v>
      </c>
      <c r="F24" s="70">
        <f t="shared" ref="F24" si="15">F25*F26</f>
        <v>4429558.4850562159</v>
      </c>
      <c r="G24" s="70">
        <f t="shared" ref="G24" si="16">G25*G26</f>
        <v>4995470.9397932496</v>
      </c>
      <c r="H24" s="70">
        <f t="shared" ref="H24" si="17">H25*H26</f>
        <v>5508796.582195675</v>
      </c>
      <c r="I24" s="32">
        <v>2018</v>
      </c>
      <c r="J24" s="32">
        <v>2019</v>
      </c>
      <c r="K24" s="32">
        <v>2020</v>
      </c>
      <c r="M24" s="42"/>
      <c r="N24" s="42"/>
      <c r="O24" s="42"/>
      <c r="P24" s="42"/>
      <c r="Q24" s="42"/>
      <c r="R24" s="42"/>
      <c r="S24" s="42"/>
      <c r="T24" s="42"/>
    </row>
    <row r="25" spans="1:20" x14ac:dyDescent="0.35">
      <c r="A25" s="31" t="s">
        <v>52</v>
      </c>
      <c r="B25" s="75">
        <f>I25*12</f>
        <v>111.96000000000001</v>
      </c>
      <c r="C25" s="75">
        <f>J25*12</f>
        <v>110.88</v>
      </c>
      <c r="D25" s="75">
        <f t="shared" ref="D25" si="18">K25*12</f>
        <v>109.44</v>
      </c>
      <c r="E25" s="75">
        <f>AVERAGE(B25:D25)</f>
        <v>110.75999999999999</v>
      </c>
      <c r="F25" s="75">
        <f>AVERAGE(B25:D25)</f>
        <v>110.75999999999999</v>
      </c>
      <c r="G25" s="75">
        <f>AVERAGE(B25:D25)</f>
        <v>110.75999999999999</v>
      </c>
      <c r="H25" s="75">
        <f t="shared" ref="H25" si="19">AVERAGE(E25:G25)</f>
        <v>110.75999999999999</v>
      </c>
      <c r="I25" s="75">
        <v>9.33</v>
      </c>
      <c r="J25" s="75">
        <v>9.24</v>
      </c>
      <c r="K25" s="75">
        <v>9.1199999999999992</v>
      </c>
      <c r="M25" s="42"/>
      <c r="N25" s="42"/>
      <c r="O25" s="42"/>
      <c r="P25" s="42"/>
      <c r="Q25" s="42"/>
      <c r="R25" s="42"/>
      <c r="S25" s="42"/>
      <c r="T25" s="42"/>
    </row>
    <row r="26" spans="1:20" x14ac:dyDescent="0.35">
      <c r="A26" s="31" t="s">
        <v>53</v>
      </c>
      <c r="B26" s="70">
        <f>B24/B25</f>
        <v>19986.575562700964</v>
      </c>
      <c r="C26" s="70">
        <f t="shared" ref="C26:D26" si="20">C24/C25</f>
        <v>25211.345598845601</v>
      </c>
      <c r="D26" s="70">
        <f t="shared" si="20"/>
        <v>28844.362207602338</v>
      </c>
      <c r="E26" s="70">
        <f>D26*(1+E27)</f>
        <v>34692.793402681949</v>
      </c>
      <c r="F26" s="70">
        <f t="shared" ref="F26" si="21">E26*(1+F27)</f>
        <v>39992.40235695392</v>
      </c>
      <c r="G26" s="70">
        <f t="shared" ref="G26" si="22">F26*(1+G27)</f>
        <v>45101.760019801826</v>
      </c>
      <c r="H26" s="70">
        <f t="shared" ref="H26" si="23">G26*(1+H27)</f>
        <v>49736.336061716102</v>
      </c>
      <c r="I26" s="31"/>
      <c r="J26" s="31"/>
      <c r="K26" s="31"/>
      <c r="M26" s="42"/>
      <c r="N26" s="42"/>
      <c r="O26" s="42"/>
      <c r="P26" s="42"/>
      <c r="Q26" s="42"/>
      <c r="R26" s="42"/>
      <c r="S26" s="42"/>
      <c r="T26" s="42"/>
    </row>
    <row r="27" spans="1:20" x14ac:dyDescent="0.35">
      <c r="A27" s="72" t="s">
        <v>49</v>
      </c>
      <c r="B27" s="31"/>
      <c r="C27" s="73">
        <f>C26/B26-1</f>
        <v>0.26141396857874577</v>
      </c>
      <c r="D27" s="73">
        <f>D26/C26-1</f>
        <v>0.14410244762671809</v>
      </c>
      <c r="E27" s="78">
        <f>AVERAGE(C27:D27)</f>
        <v>0.20275820810273193</v>
      </c>
      <c r="F27" s="78">
        <f>E27-5%</f>
        <v>0.15275820810273194</v>
      </c>
      <c r="G27" s="78">
        <f>F27-2.5%</f>
        <v>0.12775820810273195</v>
      </c>
      <c r="H27" s="78">
        <f>G27-2.5%</f>
        <v>0.10275820810273195</v>
      </c>
      <c r="I27" s="31"/>
      <c r="J27" s="31"/>
      <c r="K27" s="31"/>
      <c r="M27" s="42"/>
      <c r="N27" s="42"/>
      <c r="O27" s="42"/>
      <c r="P27" s="42"/>
      <c r="Q27" s="42"/>
      <c r="R27" s="42"/>
      <c r="S27" s="42"/>
      <c r="T27" s="42"/>
    </row>
    <row r="28" spans="1:20" x14ac:dyDescent="0.3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M28" s="42"/>
      <c r="N28" s="42"/>
      <c r="O28" s="42"/>
      <c r="P28" s="42"/>
      <c r="Q28" s="42"/>
      <c r="R28" s="42"/>
      <c r="S28" s="42"/>
      <c r="T28" s="42"/>
    </row>
    <row r="29" spans="1:20" x14ac:dyDescent="0.3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M29" s="42"/>
      <c r="N29" s="42"/>
      <c r="O29" s="42"/>
      <c r="P29" s="42"/>
      <c r="Q29" s="42"/>
      <c r="R29" s="42"/>
      <c r="S29" s="42"/>
      <c r="T29" s="42"/>
    </row>
    <row r="30" spans="1:20" ht="15.5" x14ac:dyDescent="0.35">
      <c r="A30" s="30" t="s">
        <v>56</v>
      </c>
      <c r="B30" s="31"/>
      <c r="C30" s="31"/>
      <c r="D30" s="31"/>
      <c r="E30" s="31"/>
      <c r="F30" s="31"/>
      <c r="G30" s="31"/>
      <c r="H30" s="31"/>
      <c r="I30" s="79" t="s">
        <v>57</v>
      </c>
      <c r="J30" s="79"/>
      <c r="K30" s="79"/>
      <c r="M30" s="42"/>
      <c r="N30" s="42"/>
      <c r="O30" s="42"/>
      <c r="P30" s="42"/>
      <c r="Q30" s="42"/>
      <c r="R30" s="42"/>
      <c r="S30" s="42"/>
      <c r="T30" s="42"/>
    </row>
    <row r="31" spans="1:20" x14ac:dyDescent="0.35">
      <c r="A31" s="31" t="s">
        <v>5</v>
      </c>
      <c r="B31" s="71">
        <v>945816</v>
      </c>
      <c r="C31" s="70">
        <v>1469521</v>
      </c>
      <c r="D31" s="70">
        <v>2372300</v>
      </c>
      <c r="E31" s="70">
        <f>E32*E33</f>
        <v>3192485.3374921991</v>
      </c>
      <c r="F31" s="70">
        <f t="shared" ref="F31" si="24">F32*F33</f>
        <v>4633674.0539286928</v>
      </c>
      <c r="G31" s="70">
        <f t="shared" ref="G31" si="25">G32*G33</f>
        <v>6493777.1744138356</v>
      </c>
      <c r="H31" s="70">
        <f t="shared" ref="H31" si="26">H32*H33</f>
        <v>8451206.7216355838</v>
      </c>
      <c r="I31" s="32">
        <v>2018</v>
      </c>
      <c r="J31" s="32">
        <v>2019</v>
      </c>
      <c r="K31" s="32">
        <v>2020</v>
      </c>
      <c r="M31" s="42"/>
      <c r="N31" s="42"/>
      <c r="O31" s="42"/>
      <c r="P31" s="42"/>
      <c r="Q31" s="42"/>
      <c r="R31" s="42"/>
      <c r="S31" s="42"/>
      <c r="T31" s="42"/>
    </row>
    <row r="32" spans="1:20" x14ac:dyDescent="0.35">
      <c r="A32" s="31" t="s">
        <v>52</v>
      </c>
      <c r="B32" s="75">
        <f>I32*12</f>
        <v>133.92000000000002</v>
      </c>
      <c r="C32" s="75">
        <f>J32*12</f>
        <v>150.84</v>
      </c>
      <c r="D32" s="75">
        <f t="shared" ref="D32" si="27">K32*12</f>
        <v>159.84</v>
      </c>
      <c r="E32" s="75">
        <f>AVERAGE(B32:D32)</f>
        <v>148.20000000000002</v>
      </c>
      <c r="F32" s="75">
        <f>AVERAGE(B32:D32)</f>
        <v>148.20000000000002</v>
      </c>
      <c r="G32" s="75">
        <f>AVERAGE(B32:D32)</f>
        <v>148.20000000000002</v>
      </c>
      <c r="H32" s="75">
        <f t="shared" ref="H32" si="28">AVERAGE(E32:G32)</f>
        <v>148.20000000000002</v>
      </c>
      <c r="I32" s="75">
        <v>11.16</v>
      </c>
      <c r="J32" s="75">
        <v>12.57</v>
      </c>
      <c r="K32" s="75">
        <v>13.32</v>
      </c>
      <c r="M32" s="42"/>
      <c r="N32" s="42"/>
      <c r="O32" s="42"/>
      <c r="P32" s="42"/>
      <c r="Q32" s="42"/>
      <c r="R32" s="42"/>
      <c r="S32" s="42"/>
      <c r="T32" s="42"/>
    </row>
    <row r="33" spans="1:20" x14ac:dyDescent="0.35">
      <c r="A33" s="31" t="s">
        <v>53</v>
      </c>
      <c r="B33" s="70">
        <f>B31/B32</f>
        <v>7062.5448028673827</v>
      </c>
      <c r="C33" s="70">
        <f t="shared" ref="C33:D33" si="29">C31/C32</f>
        <v>9742.2500662954117</v>
      </c>
      <c r="D33" s="70">
        <f t="shared" si="29"/>
        <v>14841.716716716717</v>
      </c>
      <c r="E33" s="70">
        <f>D33*(1+E34)</f>
        <v>21541.736420325229</v>
      </c>
      <c r="F33" s="70">
        <f t="shared" ref="F33" si="30">E33*(1+F34)</f>
        <v>31266.356639194953</v>
      </c>
      <c r="G33" s="70">
        <f t="shared" ref="G33" si="31">F33*(1+G34)</f>
        <v>43817.659746382153</v>
      </c>
      <c r="H33" s="70">
        <f t="shared" ref="H33" si="32">G33*(1+H34)</f>
        <v>57025.686380806896</v>
      </c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</row>
    <row r="34" spans="1:20" x14ac:dyDescent="0.35">
      <c r="A34" s="72" t="s">
        <v>49</v>
      </c>
      <c r="B34" s="31"/>
      <c r="C34" s="73">
        <f>C33/B33-1</f>
        <v>0.37942488695293974</v>
      </c>
      <c r="D34" s="73">
        <f>D33/C33-1</f>
        <v>0.52343828332466824</v>
      </c>
      <c r="E34" s="77">
        <f>AVERAGE(C34:D34)</f>
        <v>0.45143158513880399</v>
      </c>
      <c r="F34" s="77">
        <f>E34</f>
        <v>0.45143158513880399</v>
      </c>
      <c r="G34" s="77">
        <f>F34-5%</f>
        <v>0.401431585138804</v>
      </c>
      <c r="H34" s="77">
        <f>G34-10%</f>
        <v>0.30143158513880397</v>
      </c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</row>
    <row r="35" spans="1:20" x14ac:dyDescent="0.3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</row>
    <row r="36" spans="1:20" x14ac:dyDescent="0.35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 spans="1:20" x14ac:dyDescent="0.35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 spans="1:20" x14ac:dyDescent="0.35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</row>
    <row r="39" spans="1:20" x14ac:dyDescent="0.35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</row>
    <row r="40" spans="1:20" x14ac:dyDescent="0.35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</row>
    <row r="41" spans="1:20" x14ac:dyDescent="0.35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6"/>
  <sheetViews>
    <sheetView topLeftCell="A4" zoomScale="87" workbookViewId="0">
      <selection activeCell="J20" sqref="J20"/>
    </sheetView>
  </sheetViews>
  <sheetFormatPr defaultRowHeight="14.5" x14ac:dyDescent="0.35"/>
  <cols>
    <col min="1" max="1" width="33.1796875" bestFit="1" customWidth="1"/>
    <col min="2" max="2" width="15.08984375" customWidth="1"/>
    <col min="3" max="3" width="15.6328125" customWidth="1"/>
    <col min="4" max="4" width="14.90625" customWidth="1"/>
    <col min="5" max="5" width="14.453125" customWidth="1"/>
    <col min="6" max="6" width="14.08984375" customWidth="1"/>
    <col min="7" max="7" width="14.81640625" customWidth="1"/>
    <col min="8" max="8" width="15.81640625" customWidth="1"/>
  </cols>
  <sheetData>
    <row r="1" spans="1:8" ht="15.5" x14ac:dyDescent="0.35">
      <c r="A1" s="30" t="s">
        <v>58</v>
      </c>
    </row>
    <row r="2" spans="1:8" ht="15.5" x14ac:dyDescent="0.35">
      <c r="A2" s="30"/>
    </row>
    <row r="3" spans="1:8" ht="23" x14ac:dyDescent="0.35">
      <c r="A3" s="83" t="s">
        <v>1</v>
      </c>
      <c r="B3" s="84" t="s">
        <v>2</v>
      </c>
      <c r="C3" s="84" t="s">
        <v>3</v>
      </c>
      <c r="D3" s="84" t="s">
        <v>4</v>
      </c>
      <c r="E3" s="84" t="s">
        <v>137</v>
      </c>
      <c r="F3" s="84" t="s">
        <v>138</v>
      </c>
      <c r="G3" s="84" t="s">
        <v>139</v>
      </c>
      <c r="H3" s="84" t="s">
        <v>140</v>
      </c>
    </row>
    <row r="4" spans="1:8" x14ac:dyDescent="0.35">
      <c r="A4" t="s">
        <v>59</v>
      </c>
      <c r="B4" s="36">
        <f>'P&amp;L Input'!B4-Schedules!B6</f>
        <v>9884381</v>
      </c>
      <c r="C4" s="36">
        <f>'P&amp;L Input'!C4-Schedules!C6</f>
        <v>12336634</v>
      </c>
      <c r="D4" s="36">
        <f>'P&amp;L Input'!D4-Schedules!D6</f>
        <v>15160609</v>
      </c>
      <c r="E4" s="36">
        <f>'Revenue Modelling'!E6*'Other Items'!E5</f>
        <v>17610348.123559561</v>
      </c>
      <c r="F4" s="36">
        <f>'Revenue Modelling'!F6*'Other Items'!F5</f>
        <v>20556246.456574693</v>
      </c>
      <c r="G4" s="36">
        <f>'Revenue Modelling'!G6*'Other Items'!G5</f>
        <v>23455505.388991218</v>
      </c>
      <c r="H4" s="36">
        <f>'Revenue Modelling'!H6*'Other Items'!H5</f>
        <v>26344241.850713447</v>
      </c>
    </row>
    <row r="5" spans="1:8" x14ac:dyDescent="0.35">
      <c r="A5" s="33" t="s">
        <v>60</v>
      </c>
      <c r="B5" s="43">
        <f>B4/'Revenue Modelling'!B6</f>
        <v>0.6258178799609303</v>
      </c>
      <c r="C5" s="43">
        <f>C4/'Revenue Modelling'!C6</f>
        <v>0.61204407701416819</v>
      </c>
      <c r="D5" s="43">
        <f>D4/'Revenue Modelling'!D6</f>
        <v>0.60652004460223641</v>
      </c>
      <c r="E5" s="64">
        <f>AVERAGE(B5:D5)</f>
        <v>0.61479400052577826</v>
      </c>
      <c r="F5" s="64">
        <f t="shared" ref="F5:H5" si="0">AVERAGE(C5:E5)</f>
        <v>0.61111937404739436</v>
      </c>
      <c r="G5" s="64">
        <f t="shared" si="0"/>
        <v>0.61081113972513634</v>
      </c>
      <c r="H5" s="64">
        <f t="shared" si="0"/>
        <v>0.61224150476610306</v>
      </c>
    </row>
    <row r="6" spans="1:8" x14ac:dyDescent="0.35">
      <c r="B6" s="36"/>
      <c r="C6" s="36"/>
      <c r="D6" s="36"/>
      <c r="E6" s="36"/>
      <c r="F6" s="36"/>
      <c r="G6" s="36"/>
      <c r="H6" s="36"/>
    </row>
    <row r="7" spans="1:8" x14ac:dyDescent="0.35">
      <c r="A7" t="s">
        <v>7</v>
      </c>
      <c r="B7" s="36">
        <f>'P&amp;L Input'!B5</f>
        <v>2369469</v>
      </c>
      <c r="C7" s="36">
        <f>'P&amp;L Input'!C5</f>
        <v>2652462</v>
      </c>
      <c r="D7" s="36">
        <f>'P&amp;L Input'!D5</f>
        <v>2228362</v>
      </c>
      <c r="E7" s="36">
        <f>E8*'Revenue Modelling'!E6</f>
        <v>3540077.3062013234</v>
      </c>
      <c r="F7" s="36">
        <f>F8*'Revenue Modelling'!F6</f>
        <v>4157116.4414285929</v>
      </c>
      <c r="G7" s="36">
        <f>G8*'Revenue Modelling'!G6</f>
        <v>4745831.0301986597</v>
      </c>
      <c r="H7" s="36">
        <f>H8*'Revenue Modelling'!H6</f>
        <v>5317865.6668012384</v>
      </c>
    </row>
    <row r="8" spans="1:8" x14ac:dyDescent="0.35">
      <c r="A8" s="33" t="s">
        <v>60</v>
      </c>
      <c r="B8" s="43">
        <f>B7/'Revenue Modelling'!B6</f>
        <v>0.15002012429641731</v>
      </c>
      <c r="C8" s="43">
        <f>C7/'Revenue Modelling'!C6</f>
        <v>0.13159372780331771</v>
      </c>
      <c r="D8" s="43">
        <f>D7/'Revenue Modelling'!D6</f>
        <v>8.9148544074313163E-2</v>
      </c>
      <c r="E8" s="64">
        <f>AVERAGE($B$8:$D$8)</f>
        <v>0.12358746539134939</v>
      </c>
      <c r="F8" s="64">
        <f t="shared" ref="F8:H8" si="1">AVERAGE($B$8:$D$8)</f>
        <v>0.12358746539134939</v>
      </c>
      <c r="G8" s="64">
        <f t="shared" si="1"/>
        <v>0.12358746539134939</v>
      </c>
      <c r="H8" s="64">
        <f t="shared" si="1"/>
        <v>0.12358746539134939</v>
      </c>
    </row>
    <row r="9" spans="1:8" x14ac:dyDescent="0.35">
      <c r="B9" s="36"/>
      <c r="C9" s="36"/>
      <c r="D9" s="36"/>
      <c r="E9" s="36"/>
      <c r="F9" s="36"/>
      <c r="G9" s="36"/>
      <c r="H9" s="36"/>
    </row>
    <row r="10" spans="1:8" x14ac:dyDescent="0.35">
      <c r="A10" t="s">
        <v>61</v>
      </c>
      <c r="B10" s="36">
        <f>'P&amp;L Input'!B6</f>
        <v>1221814</v>
      </c>
      <c r="C10" s="36">
        <f>'P&amp;L Input'!C6</f>
        <v>1545149</v>
      </c>
      <c r="D10" s="36">
        <f>'P&amp;L Input'!D6</f>
        <v>1829600</v>
      </c>
      <c r="E10" s="36">
        <f>E11*'Revenue Modelling'!E6</f>
        <v>2169434.4552735938</v>
      </c>
      <c r="F10" s="36">
        <f>F11*'Revenue Modelling'!F6</f>
        <v>2547569.1242169319</v>
      </c>
      <c r="G10" s="36">
        <f>G11*'Revenue Modelling'!G6</f>
        <v>2908345.9103517188</v>
      </c>
      <c r="H10" s="36">
        <f>H11*'Revenue Modelling'!H6</f>
        <v>3258900.8680306482</v>
      </c>
    </row>
    <row r="11" spans="1:8" x14ac:dyDescent="0.35">
      <c r="A11" s="33" t="s">
        <v>60</v>
      </c>
      <c r="B11" s="43">
        <f>B10/'Revenue Modelling'!B6</f>
        <v>7.7357706788779595E-2</v>
      </c>
      <c r="C11" s="43">
        <f>C10/'Revenue Modelling'!C6</f>
        <v>7.6657805812701013E-2</v>
      </c>
      <c r="D11" s="43">
        <f>D10/'Revenue Modelling'!D6</f>
        <v>7.3195547329546709E-2</v>
      </c>
      <c r="E11" s="64">
        <f>AVERAGE($B$11:$D$11)</f>
        <v>7.5737019977009101E-2</v>
      </c>
      <c r="F11" s="64">
        <f t="shared" ref="F11:H11" si="2">AVERAGE($B$11:$D$11)</f>
        <v>7.5737019977009101E-2</v>
      </c>
      <c r="G11" s="64">
        <f t="shared" si="2"/>
        <v>7.5737019977009101E-2</v>
      </c>
      <c r="H11" s="64">
        <f t="shared" si="2"/>
        <v>7.5737019977009101E-2</v>
      </c>
    </row>
    <row r="12" spans="1:8" x14ac:dyDescent="0.35">
      <c r="B12" s="36"/>
      <c r="C12" s="36"/>
      <c r="D12" s="36"/>
      <c r="E12" s="36"/>
      <c r="F12" s="36"/>
      <c r="G12" s="36"/>
      <c r="H12" s="36"/>
    </row>
    <row r="13" spans="1:8" x14ac:dyDescent="0.35">
      <c r="A13" t="s">
        <v>62</v>
      </c>
      <c r="B13" s="36">
        <f>'P&amp;L Input'!B7</f>
        <v>630294</v>
      </c>
      <c r="C13" s="36">
        <f>'P&amp;L Input'!C7</f>
        <v>914369</v>
      </c>
      <c r="D13" s="36">
        <f>'P&amp;L Input'!D7</f>
        <v>1076486</v>
      </c>
      <c r="E13" s="36">
        <f>E14*'Revenue Modelling'!E6</f>
        <v>1225366.7194431941</v>
      </c>
      <c r="F13" s="36">
        <f>F14*'Revenue Modelling'!F6</f>
        <v>1438949.4057808653</v>
      </c>
      <c r="G13" s="36">
        <f>G14*'Revenue Modelling'!G6</f>
        <v>1642727.7987176043</v>
      </c>
      <c r="H13" s="36">
        <f>H14*'Revenue Modelling'!H6</f>
        <v>1840732.5724646889</v>
      </c>
    </row>
    <row r="14" spans="1:8" x14ac:dyDescent="0.35">
      <c r="A14" s="33" t="s">
        <v>60</v>
      </c>
      <c r="B14" s="43">
        <f>B13/'Revenue Modelling'!B6</f>
        <v>3.9906318345285824E-2</v>
      </c>
      <c r="C14" s="43">
        <f>C13/'Revenue Modelling'!C6</f>
        <v>4.5363600043202057E-2</v>
      </c>
      <c r="D14" s="43">
        <f>D13/'Revenue Modelling'!D6</f>
        <v>4.3066234129096208E-2</v>
      </c>
      <c r="E14" s="64">
        <f>AVERAGE($B$14:$D$14)</f>
        <v>4.2778717505861368E-2</v>
      </c>
      <c r="F14" s="64">
        <f t="shared" ref="F14:H14" si="3">AVERAGE($B$14:$D$14)</f>
        <v>4.2778717505861368E-2</v>
      </c>
      <c r="G14" s="64">
        <f t="shared" si="3"/>
        <v>4.2778717505861368E-2</v>
      </c>
      <c r="H14" s="64">
        <f t="shared" si="3"/>
        <v>4.2778717505861368E-2</v>
      </c>
    </row>
    <row r="15" spans="1:8" x14ac:dyDescent="0.35">
      <c r="B15" s="43"/>
      <c r="C15" s="43"/>
      <c r="D15" s="43"/>
      <c r="E15" s="43"/>
      <c r="F15" s="43"/>
      <c r="G15" s="43"/>
      <c r="H15" s="43"/>
    </row>
    <row r="16" spans="1:8" x14ac:dyDescent="0.35">
      <c r="A16" t="s">
        <v>65</v>
      </c>
      <c r="B16" s="36">
        <f>'Balance Sheet Input'!B7</f>
        <v>5899652</v>
      </c>
      <c r="C16" s="36">
        <f>'Balance Sheet Input'!C7</f>
        <v>1160067</v>
      </c>
      <c r="D16" s="36">
        <f>'Balance Sheet Input'!D7</f>
        <v>1556030</v>
      </c>
      <c r="E16" s="36">
        <f>E17*'Revenue Modelling'!E6</f>
        <v>1783137.351709198</v>
      </c>
      <c r="F16" s="36">
        <f>F17*'Revenue Modelling'!F6</f>
        <v>2093940.0360355261</v>
      </c>
      <c r="G16" s="36">
        <f>G17*'Revenue Modelling'!G6</f>
        <v>2390475.6430102983</v>
      </c>
      <c r="H16" s="36">
        <f>H17*'Revenue Modelling'!H6</f>
        <v>2678609.5561343548</v>
      </c>
    </row>
    <row r="17" spans="1:8" x14ac:dyDescent="0.35">
      <c r="A17" s="33" t="s">
        <v>60</v>
      </c>
      <c r="B17" s="43">
        <f>B16/'Revenue Modelling'!B6</f>
        <v>0.3735294812236864</v>
      </c>
      <c r="C17" s="43">
        <f>C16/'Revenue Modelling'!C6</f>
        <v>5.7553149123950265E-2</v>
      </c>
      <c r="D17" s="43">
        <f>D16/'Revenue Modelling'!D6</f>
        <v>6.2251020721028949E-2</v>
      </c>
      <c r="E17" s="64">
        <f>D17</f>
        <v>6.2251020721028949E-2</v>
      </c>
      <c r="F17" s="64">
        <f t="shared" ref="F17:G17" si="4">E17</f>
        <v>6.2251020721028949E-2</v>
      </c>
      <c r="G17" s="64">
        <f t="shared" si="4"/>
        <v>6.2251020721028949E-2</v>
      </c>
      <c r="H17" s="64">
        <f>G17</f>
        <v>6.2251020721028949E-2</v>
      </c>
    </row>
    <row r="18" spans="1:8" x14ac:dyDescent="0.35">
      <c r="B18" s="36"/>
      <c r="C18" s="36"/>
      <c r="D18" s="36"/>
      <c r="E18" s="36"/>
      <c r="F18" s="36"/>
      <c r="G18" s="36"/>
      <c r="H18" s="36"/>
    </row>
    <row r="19" spans="1:8" x14ac:dyDescent="0.35">
      <c r="A19" t="s">
        <v>66</v>
      </c>
      <c r="B19" s="36">
        <f>'Balance Sheet Input'!B17</f>
        <v>562985</v>
      </c>
      <c r="C19" s="36">
        <f>'Balance Sheet Input'!C17</f>
        <v>674347</v>
      </c>
      <c r="D19" s="36">
        <f>'Balance Sheet Input'!D17</f>
        <v>656183</v>
      </c>
      <c r="E19" s="36">
        <f>E20*E4/365</f>
        <v>762212.8545602411</v>
      </c>
      <c r="F19" s="36">
        <f t="shared" ref="F19:H19" si="5">F20*F4/365</f>
        <v>889717.52181027492</v>
      </c>
      <c r="G19" s="36">
        <f t="shared" si="5"/>
        <v>1015203.5378436593</v>
      </c>
      <c r="H19" s="36">
        <f t="shared" si="5"/>
        <v>1140234.1192445965</v>
      </c>
    </row>
    <row r="20" spans="1:8" x14ac:dyDescent="0.35">
      <c r="A20" t="s">
        <v>67</v>
      </c>
      <c r="B20" s="36">
        <f>(B19/B4)*365</f>
        <v>20.789316498423119</v>
      </c>
      <c r="C20" s="36">
        <f t="shared" ref="C20:D20" si="6">(C19/C4)*365</f>
        <v>19.951686578364892</v>
      </c>
      <c r="D20" s="36">
        <f t="shared" si="6"/>
        <v>15.797966625219342</v>
      </c>
      <c r="E20" s="36">
        <f>D20</f>
        <v>15.797966625219342</v>
      </c>
      <c r="F20" s="36">
        <f t="shared" ref="F20:H20" si="7">E20</f>
        <v>15.797966625219342</v>
      </c>
      <c r="G20" s="36">
        <f t="shared" si="7"/>
        <v>15.797966625219342</v>
      </c>
      <c r="H20" s="36">
        <f t="shared" si="7"/>
        <v>15.797966625219342</v>
      </c>
    </row>
    <row r="22" spans="1:8" x14ac:dyDescent="0.35">
      <c r="A22" t="s">
        <v>68</v>
      </c>
      <c r="B22" s="34">
        <f>'Balance Sheet Input'!B18</f>
        <v>481874</v>
      </c>
      <c r="C22" s="34">
        <f>'Balance Sheet Input'!C18</f>
        <v>843043</v>
      </c>
      <c r="D22" s="34">
        <f>'Balance Sheet Input'!D18</f>
        <v>1102196</v>
      </c>
      <c r="E22" s="36">
        <f>E23*'Revenue Modelling'!E6</f>
        <v>1111676.5673939134</v>
      </c>
      <c r="F22" s="36">
        <f>F23*'Revenue Modelling'!F6</f>
        <v>1398509.9526273431</v>
      </c>
      <c r="G22" s="36">
        <f>G23*'Revenue Modelling'!G6</f>
        <v>1593380.7129049948</v>
      </c>
      <c r="H22" s="36">
        <f>H23*'Revenue Modelling'!H6</f>
        <v>1748129.1876342348</v>
      </c>
    </row>
    <row r="23" spans="1:8" x14ac:dyDescent="0.35">
      <c r="A23" s="33" t="s">
        <v>60</v>
      </c>
      <c r="B23" s="43">
        <f>B22/'Revenue Modelling'!B6</f>
        <v>3.0509281773769478E-2</v>
      </c>
      <c r="C23" s="43">
        <f>C22/'Revenue Modelling'!C6</f>
        <v>4.182498036484307E-2</v>
      </c>
      <c r="D23" s="43">
        <f>D22/'Revenue Modelling'!D6</f>
        <v>4.4094796395079287E-2</v>
      </c>
      <c r="E23" s="39">
        <f>AVERAGE(B23:D23)</f>
        <v>3.8809686177897283E-2</v>
      </c>
      <c r="F23" s="39">
        <f t="shared" ref="F23:H23" si="8">AVERAGE(C23:E23)</f>
        <v>4.157648764593988E-2</v>
      </c>
      <c r="G23" s="39">
        <f t="shared" si="8"/>
        <v>4.1493656739638819E-2</v>
      </c>
      <c r="H23" s="39">
        <f t="shared" si="8"/>
        <v>4.0626610187825325E-2</v>
      </c>
    </row>
    <row r="25" spans="1:8" x14ac:dyDescent="0.35">
      <c r="A25" t="s">
        <v>69</v>
      </c>
      <c r="B25" s="34">
        <f>'Balance Sheet Input'!B19</f>
        <v>760899</v>
      </c>
      <c r="C25" s="34">
        <f>'Balance Sheet Input'!C19</f>
        <v>924745</v>
      </c>
      <c r="D25" s="34">
        <f>'Balance Sheet Input'!D19</f>
        <v>1117992</v>
      </c>
      <c r="E25" s="36">
        <f>E26*'Revenue Modelling'!E6</f>
        <v>1325090.692034519</v>
      </c>
      <c r="F25" s="36">
        <f>F26*'Revenue Modelling'!F6</f>
        <v>1534581.0011950082</v>
      </c>
      <c r="G25" s="36">
        <f>G26*'Revenue Modelling'!G6</f>
        <v>1748617.6906344162</v>
      </c>
      <c r="H25" s="36">
        <f>H26*'Revenue Modelling'!H6</f>
        <v>1970996.3514643973</v>
      </c>
    </row>
    <row r="26" spans="1:8" x14ac:dyDescent="0.35">
      <c r="A26" s="33" t="s">
        <v>60</v>
      </c>
      <c r="B26" s="43">
        <f>B25/'Revenue Modelling'!B6</f>
        <v>4.8175419284666579E-2</v>
      </c>
      <c r="C26" s="43">
        <f>C25/'Revenue Modelling'!C6</f>
        <v>4.5878373306565391E-2</v>
      </c>
      <c r="D26" s="43">
        <f>D25/'Revenue Modelling'!D6</f>
        <v>4.472673608988554E-2</v>
      </c>
      <c r="E26" s="39">
        <f>AVERAGE(B26:D26)</f>
        <v>4.6260176227039172E-2</v>
      </c>
      <c r="F26" s="39">
        <f t="shared" ref="F26:G26" si="9">AVERAGE(C26:E26)</f>
        <v>4.5621761874496701E-2</v>
      </c>
      <c r="G26" s="39">
        <f t="shared" si="9"/>
        <v>4.5536224730473807E-2</v>
      </c>
      <c r="H26" s="39">
        <f>AVERAGE(E26:G26)</f>
        <v>4.5806054277336562E-2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8"/>
  <sheetViews>
    <sheetView topLeftCell="A3" zoomScale="66" zoomScaleNormal="70" workbookViewId="0">
      <selection activeCell="C15" sqref="C15"/>
    </sheetView>
  </sheetViews>
  <sheetFormatPr defaultRowHeight="14.5" x14ac:dyDescent="0.35"/>
  <cols>
    <col min="1" max="1" width="31.1796875" bestFit="1" customWidth="1"/>
    <col min="2" max="2" width="17" customWidth="1"/>
    <col min="3" max="3" width="18.7265625" customWidth="1"/>
    <col min="4" max="4" width="18.36328125" customWidth="1"/>
    <col min="5" max="5" width="17.7265625" customWidth="1"/>
    <col min="6" max="7" width="17" customWidth="1"/>
    <col min="8" max="8" width="18.81640625" customWidth="1"/>
  </cols>
  <sheetData>
    <row r="1" spans="1:8" x14ac:dyDescent="0.35">
      <c r="A1" t="s">
        <v>70</v>
      </c>
    </row>
    <row r="3" spans="1:8" ht="23" x14ac:dyDescent="0.35">
      <c r="A3" s="85" t="s">
        <v>1</v>
      </c>
      <c r="B3" s="86" t="s">
        <v>2</v>
      </c>
      <c r="C3" s="86" t="s">
        <v>3</v>
      </c>
      <c r="D3" s="86" t="s">
        <v>4</v>
      </c>
      <c r="E3" s="86" t="s">
        <v>141</v>
      </c>
      <c r="F3" s="86" t="s">
        <v>142</v>
      </c>
      <c r="G3" s="86" t="s">
        <v>143</v>
      </c>
      <c r="H3" s="86" t="s">
        <v>144</v>
      </c>
    </row>
    <row r="4" spans="1:8" x14ac:dyDescent="0.35">
      <c r="A4" s="53" t="s">
        <v>71</v>
      </c>
      <c r="B4" s="53"/>
      <c r="C4" s="54">
        <f>B7</f>
        <v>418281</v>
      </c>
      <c r="D4" s="54">
        <f>C7</f>
        <v>565221</v>
      </c>
      <c r="E4" s="54">
        <f>D7</f>
        <v>960183</v>
      </c>
      <c r="F4" s="54">
        <f t="shared" ref="F4:H4" si="0">E7</f>
        <v>1284140.1319325478</v>
      </c>
      <c r="G4" s="54">
        <f t="shared" si="0"/>
        <v>1580571.3401268851</v>
      </c>
      <c r="H4" s="54">
        <f t="shared" si="0"/>
        <v>1855677.8705373763</v>
      </c>
    </row>
    <row r="5" spans="1:8" x14ac:dyDescent="0.35">
      <c r="A5" s="53" t="s">
        <v>72</v>
      </c>
      <c r="B5" s="53"/>
      <c r="C5" s="54">
        <f>C7+C6-C4</f>
        <v>250519</v>
      </c>
      <c r="D5" s="54">
        <f>D7+D6-D4</f>
        <v>510672</v>
      </c>
      <c r="E5" s="54">
        <f>D5</f>
        <v>510672</v>
      </c>
      <c r="F5" s="54">
        <f t="shared" ref="F5:H5" si="1">E5</f>
        <v>510672</v>
      </c>
      <c r="G5" s="54">
        <f t="shared" si="1"/>
        <v>510672</v>
      </c>
      <c r="H5" s="54">
        <f t="shared" si="1"/>
        <v>510672</v>
      </c>
    </row>
    <row r="6" spans="1:8" x14ac:dyDescent="0.35">
      <c r="A6" s="53" t="s">
        <v>73</v>
      </c>
      <c r="B6" s="55">
        <v>83157</v>
      </c>
      <c r="C6" s="55">
        <v>103579</v>
      </c>
      <c r="D6" s="55">
        <v>115710</v>
      </c>
      <c r="E6" s="54">
        <f>(E4+E5)/E9</f>
        <v>186714.86806745233</v>
      </c>
      <c r="F6" s="54">
        <f t="shared" ref="F6:H6" si="2">(F4+F5)/F9</f>
        <v>214240.79180566277</v>
      </c>
      <c r="G6" s="54">
        <f t="shared" si="2"/>
        <v>235565.4695895089</v>
      </c>
      <c r="H6" s="54">
        <f t="shared" si="2"/>
        <v>252342.11800147456</v>
      </c>
    </row>
    <row r="7" spans="1:8" x14ac:dyDescent="0.35">
      <c r="A7" s="53" t="s">
        <v>74</v>
      </c>
      <c r="B7" s="54">
        <f>'Balance Sheet Input'!B10</f>
        <v>418281</v>
      </c>
      <c r="C7" s="54">
        <f>'Balance Sheet Input'!C10</f>
        <v>565221</v>
      </c>
      <c r="D7" s="54">
        <f>'Balance Sheet Input'!D10</f>
        <v>960183</v>
      </c>
      <c r="E7" s="54">
        <f>E4+E5-E6</f>
        <v>1284140.1319325478</v>
      </c>
      <c r="F7" s="54">
        <f t="shared" ref="F7:H7" si="3">F4+F5-F6</f>
        <v>1580571.3401268851</v>
      </c>
      <c r="G7" s="54">
        <f t="shared" si="3"/>
        <v>1855677.8705373763</v>
      </c>
      <c r="H7" s="54">
        <f t="shared" si="3"/>
        <v>2114007.7525359015</v>
      </c>
    </row>
    <row r="8" spans="1:8" x14ac:dyDescent="0.35">
      <c r="A8" s="53"/>
      <c r="B8" s="53"/>
      <c r="C8" s="53"/>
      <c r="D8" s="53"/>
      <c r="E8" s="53"/>
      <c r="F8" s="53"/>
      <c r="G8" s="53"/>
      <c r="H8" s="53"/>
    </row>
    <row r="9" spans="1:8" x14ac:dyDescent="0.35">
      <c r="A9" s="56" t="s">
        <v>75</v>
      </c>
      <c r="B9" s="53"/>
      <c r="C9" s="57">
        <f>(C4+C5)/C6</f>
        <v>6.4569072881568657</v>
      </c>
      <c r="D9" s="57">
        <f>(D4+D5)/D6</f>
        <v>9.298185117967332</v>
      </c>
      <c r="E9" s="44">
        <f>AVERAGE(C9:D9)</f>
        <v>7.8775462030620993</v>
      </c>
      <c r="F9" s="44">
        <f>E9+0.5</f>
        <v>8.3775462030620993</v>
      </c>
      <c r="G9" s="44">
        <f t="shared" ref="G9:H9" si="4">F9+0.5</f>
        <v>8.8775462030620993</v>
      </c>
      <c r="H9" s="44">
        <f t="shared" si="4"/>
        <v>9.3775462030620993</v>
      </c>
    </row>
    <row r="10" spans="1:8" x14ac:dyDescent="0.35">
      <c r="A10" s="53"/>
      <c r="B10" s="53"/>
      <c r="C10" s="53"/>
      <c r="D10" s="53"/>
      <c r="E10" s="53"/>
      <c r="F10" s="53"/>
      <c r="G10" s="53"/>
      <c r="H10" s="53"/>
    </row>
    <row r="11" spans="1:8" x14ac:dyDescent="0.35">
      <c r="A11" s="53"/>
      <c r="B11" s="53"/>
      <c r="C11" s="53"/>
      <c r="D11" s="53"/>
      <c r="E11" s="53"/>
      <c r="F11" s="53"/>
      <c r="G11" s="53"/>
      <c r="H11" s="53"/>
    </row>
    <row r="12" spans="1:8" x14ac:dyDescent="0.35">
      <c r="A12" s="53" t="s">
        <v>76</v>
      </c>
      <c r="B12" s="53"/>
      <c r="C12" s="53"/>
      <c r="D12" s="53"/>
      <c r="E12" s="53"/>
      <c r="F12" s="53"/>
      <c r="G12" s="53"/>
      <c r="H12" s="53"/>
    </row>
    <row r="13" spans="1:8" ht="23" x14ac:dyDescent="0.35">
      <c r="A13" s="52" t="s">
        <v>1</v>
      </c>
      <c r="B13" s="58" t="s">
        <v>2</v>
      </c>
      <c r="C13" s="58" t="s">
        <v>3</v>
      </c>
      <c r="D13" s="58" t="s">
        <v>4</v>
      </c>
      <c r="E13" s="58" t="s">
        <v>141</v>
      </c>
      <c r="F13" s="58" t="s">
        <v>142</v>
      </c>
      <c r="G13" s="58" t="s">
        <v>143</v>
      </c>
      <c r="H13" s="58" t="s">
        <v>144</v>
      </c>
    </row>
    <row r="14" spans="1:8" x14ac:dyDescent="0.35">
      <c r="A14" s="53" t="s">
        <v>71</v>
      </c>
      <c r="B14" s="53"/>
      <c r="C14" s="54">
        <f>B17</f>
        <v>14951141</v>
      </c>
      <c r="D14" s="54">
        <f t="shared" ref="D14" si="5">C17</f>
        <v>24504567</v>
      </c>
      <c r="E14" s="59">
        <f>D17</f>
        <v>25383950</v>
      </c>
      <c r="F14" s="59">
        <f t="shared" ref="F14:H14" si="6">E17</f>
        <v>26490394.690509938</v>
      </c>
      <c r="G14" s="59">
        <f t="shared" si="6"/>
        <v>27281059.995118186</v>
      </c>
      <c r="H14" s="59">
        <f t="shared" si="6"/>
        <v>27846069.370890178</v>
      </c>
    </row>
    <row r="15" spans="1:8" x14ac:dyDescent="0.35">
      <c r="A15" s="53" t="s">
        <v>78</v>
      </c>
      <c r="B15" s="53"/>
      <c r="C15" s="54">
        <f>C17+C16-C14</f>
        <v>18769673</v>
      </c>
      <c r="D15" s="54">
        <f>D17+D16-D14</f>
        <v>11686295</v>
      </c>
      <c r="E15" s="59">
        <f>D15</f>
        <v>11686295</v>
      </c>
      <c r="F15" s="59">
        <f t="shared" ref="F15:H15" si="7">E15</f>
        <v>11686295</v>
      </c>
      <c r="G15" s="59">
        <f t="shared" si="7"/>
        <v>11686295</v>
      </c>
      <c r="H15" s="59">
        <f t="shared" si="7"/>
        <v>11686295</v>
      </c>
    </row>
    <row r="16" spans="1:8" x14ac:dyDescent="0.35">
      <c r="A16" s="53" t="s">
        <v>77</v>
      </c>
      <c r="B16" s="53"/>
      <c r="C16" s="54">
        <v>9216247</v>
      </c>
      <c r="D16" s="54">
        <v>10806912</v>
      </c>
      <c r="E16" s="54">
        <f>(E14+E15)/E19</f>
        <v>10579850.30949006</v>
      </c>
      <c r="F16" s="54">
        <f t="shared" ref="F16:H16" si="8">(F14+F15)/F19</f>
        <v>10895629.69539175</v>
      </c>
      <c r="G16" s="54">
        <f t="shared" si="8"/>
        <v>11121285.624228006</v>
      </c>
      <c r="H16" s="54">
        <f t="shared" si="8"/>
        <v>11282539.33644723</v>
      </c>
    </row>
    <row r="17" spans="1:9" x14ac:dyDescent="0.35">
      <c r="A17" s="53" t="s">
        <v>74</v>
      </c>
      <c r="B17" s="54">
        <f>'Balance Sheet Input'!B9</f>
        <v>14951141</v>
      </c>
      <c r="C17" s="54">
        <f>'Balance Sheet Input'!C9</f>
        <v>24504567</v>
      </c>
      <c r="D17" s="54">
        <f>'Balance Sheet Input'!D9</f>
        <v>25383950</v>
      </c>
      <c r="E17" s="54">
        <f>E14+E15-E16</f>
        <v>26490394.690509938</v>
      </c>
      <c r="F17" s="54">
        <f t="shared" ref="F17:H17" si="9">F14+F15-F16</f>
        <v>27281059.995118186</v>
      </c>
      <c r="G17" s="54">
        <f t="shared" si="9"/>
        <v>27846069.370890178</v>
      </c>
      <c r="H17" s="54">
        <f t="shared" si="9"/>
        <v>28249825.034442946</v>
      </c>
    </row>
    <row r="18" spans="1:9" x14ac:dyDescent="0.35">
      <c r="A18" s="53"/>
      <c r="B18" s="53"/>
      <c r="C18" s="53"/>
      <c r="D18" s="53"/>
      <c r="E18" s="53"/>
      <c r="F18" s="53"/>
      <c r="G18" s="53"/>
      <c r="H18" s="53"/>
    </row>
    <row r="19" spans="1:9" x14ac:dyDescent="0.35">
      <c r="A19" s="56" t="s">
        <v>79</v>
      </c>
      <c r="B19" s="53"/>
      <c r="C19" s="57">
        <f>(C14+C15)/C16</f>
        <v>3.6588444298422123</v>
      </c>
      <c r="D19" s="57">
        <f>(D14+D15)/D16</f>
        <v>3.3488624687607338</v>
      </c>
      <c r="E19" s="44">
        <f>AVERAGE($C$19:$D$19)</f>
        <v>3.5038534493014728</v>
      </c>
      <c r="F19" s="44">
        <f t="shared" ref="F19:H19" si="10">AVERAGE($C$19:$D$19)</f>
        <v>3.5038534493014728</v>
      </c>
      <c r="G19" s="44">
        <f t="shared" si="10"/>
        <v>3.5038534493014728</v>
      </c>
      <c r="H19" s="44">
        <f t="shared" si="10"/>
        <v>3.5038534493014728</v>
      </c>
    </row>
    <row r="20" spans="1:9" x14ac:dyDescent="0.35">
      <c r="A20" s="53"/>
      <c r="B20" s="53"/>
      <c r="C20" s="53"/>
      <c r="D20" s="53"/>
      <c r="E20" s="53"/>
      <c r="F20" s="53"/>
      <c r="G20" s="53"/>
      <c r="H20" s="53"/>
    </row>
    <row r="21" spans="1:9" x14ac:dyDescent="0.35">
      <c r="A21" s="53"/>
      <c r="B21" s="53"/>
      <c r="C21" s="53"/>
      <c r="D21" s="53"/>
      <c r="E21" s="53"/>
      <c r="F21" s="53"/>
      <c r="G21" s="53"/>
      <c r="H21" s="53"/>
    </row>
    <row r="22" spans="1:9" x14ac:dyDescent="0.35">
      <c r="A22" s="53" t="s">
        <v>80</v>
      </c>
      <c r="B22" s="60"/>
      <c r="C22" s="60"/>
      <c r="D22" s="60"/>
      <c r="E22" s="60"/>
      <c r="F22" s="60"/>
      <c r="G22" s="60"/>
      <c r="H22" s="60"/>
    </row>
    <row r="23" spans="1:9" x14ac:dyDescent="0.35">
      <c r="A23" s="53" t="s">
        <v>81</v>
      </c>
      <c r="B23" s="60"/>
      <c r="C23" s="60">
        <f>B25</f>
        <v>10360058</v>
      </c>
      <c r="D23" s="60">
        <f>C25</f>
        <v>14759260</v>
      </c>
      <c r="E23" s="60">
        <f>D25</f>
        <v>15809095</v>
      </c>
      <c r="F23" s="60">
        <f t="shared" ref="F23:H23" si="11">E25</f>
        <v>15309095</v>
      </c>
      <c r="G23" s="60">
        <f t="shared" si="11"/>
        <v>14609095</v>
      </c>
      <c r="H23" s="60">
        <f t="shared" si="11"/>
        <v>14609095</v>
      </c>
    </row>
    <row r="24" spans="1:9" x14ac:dyDescent="0.35">
      <c r="A24" s="53" t="s">
        <v>82</v>
      </c>
      <c r="B24" s="60"/>
      <c r="C24" s="60">
        <f>C25-C23</f>
        <v>4399202</v>
      </c>
      <c r="D24" s="60">
        <f>D25-D23</f>
        <v>1049835</v>
      </c>
      <c r="E24" s="60">
        <v>-500000</v>
      </c>
      <c r="F24" s="60">
        <v>-700000</v>
      </c>
      <c r="G24" s="61">
        <v>0</v>
      </c>
      <c r="H24" s="60">
        <v>-400000</v>
      </c>
    </row>
    <row r="25" spans="1:9" x14ac:dyDescent="0.35">
      <c r="A25" s="53" t="s">
        <v>74</v>
      </c>
      <c r="B25" s="60">
        <f>'Balance Sheet Input'!B23</f>
        <v>10360058</v>
      </c>
      <c r="C25" s="60">
        <f>'Balance Sheet Input'!C23</f>
        <v>14759260</v>
      </c>
      <c r="D25" s="60">
        <f>'Balance Sheet Input'!D23</f>
        <v>15809095</v>
      </c>
      <c r="E25" s="60">
        <f>E23+E24</f>
        <v>15309095</v>
      </c>
      <c r="F25" s="60">
        <f t="shared" ref="F25:H25" si="12">F23+F24</f>
        <v>14609095</v>
      </c>
      <c r="G25" s="60">
        <f>G23+G24</f>
        <v>14609095</v>
      </c>
      <c r="H25" s="60">
        <f t="shared" si="12"/>
        <v>14209095</v>
      </c>
    </row>
    <row r="26" spans="1:9" x14ac:dyDescent="0.35">
      <c r="A26" s="53"/>
      <c r="B26" s="60"/>
      <c r="C26" s="60"/>
      <c r="D26" s="60"/>
      <c r="E26" s="60"/>
      <c r="F26" s="60"/>
      <c r="G26" s="60"/>
      <c r="H26" s="60"/>
    </row>
    <row r="27" spans="1:9" x14ac:dyDescent="0.35">
      <c r="A27" s="53" t="s">
        <v>83</v>
      </c>
      <c r="B27" s="62">
        <f>'P&amp;L Input'!B10</f>
        <v>-420493</v>
      </c>
      <c r="C27" s="62">
        <f>'P&amp;L Input'!C10</f>
        <v>-626023</v>
      </c>
      <c r="D27" s="62">
        <f>'P&amp;L Input'!D10</f>
        <v>-767499</v>
      </c>
      <c r="E27" s="60">
        <f>E25*E28</f>
        <v>-688909.27500000002</v>
      </c>
      <c r="F27" s="60">
        <f t="shared" ref="F27:H27" si="13">F25*F28</f>
        <v>-657409.27500000002</v>
      </c>
      <c r="G27" s="60">
        <f t="shared" si="13"/>
        <v>-657409.27500000002</v>
      </c>
      <c r="H27" s="60">
        <f t="shared" si="13"/>
        <v>-639409.27500000002</v>
      </c>
      <c r="I27" s="36"/>
    </row>
    <row r="28" spans="1:9" x14ac:dyDescent="0.35">
      <c r="A28" s="53"/>
      <c r="B28" s="63">
        <f>B27/B25</f>
        <v>-4.0587900183570398E-2</v>
      </c>
      <c r="C28" s="63">
        <f t="shared" ref="C28:D28" si="14">C27/C25</f>
        <v>-4.2415608912641962E-2</v>
      </c>
      <c r="D28" s="63">
        <f t="shared" si="14"/>
        <v>-4.8547940283741729E-2</v>
      </c>
      <c r="E28" s="91">
        <v>-4.4999999999999998E-2</v>
      </c>
      <c r="F28" s="91">
        <v>-4.4999999999999998E-2</v>
      </c>
      <c r="G28" s="91">
        <v>-4.4999999999999998E-2</v>
      </c>
      <c r="H28" s="91">
        <v>-4.4999999999999998E-2</v>
      </c>
      <c r="I28" s="36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1"/>
  <sheetViews>
    <sheetView zoomScale="55" zoomScaleNormal="80" workbookViewId="0">
      <pane ySplit="3" topLeftCell="A4" activePane="bottomLeft" state="frozen"/>
      <selection pane="bottomLeft" activeCell="H28" sqref="H28"/>
    </sheetView>
  </sheetViews>
  <sheetFormatPr defaultRowHeight="14.5" x14ac:dyDescent="0.35"/>
  <cols>
    <col min="1" max="1" width="32.81640625" bestFit="1" customWidth="1"/>
    <col min="2" max="2" width="14.08984375" customWidth="1"/>
    <col min="3" max="3" width="13.36328125" customWidth="1"/>
    <col min="4" max="4" width="13" customWidth="1"/>
    <col min="5" max="6" width="15.81640625" customWidth="1"/>
    <col min="7" max="7" width="14.08984375" customWidth="1"/>
    <col min="8" max="8" width="14.7265625" customWidth="1"/>
  </cols>
  <sheetData>
    <row r="1" spans="1:8" x14ac:dyDescent="0.35">
      <c r="A1" t="s">
        <v>84</v>
      </c>
    </row>
    <row r="3" spans="1:8" ht="23.5" thickBot="1" x14ac:dyDescent="0.4">
      <c r="A3" s="67" t="s">
        <v>1</v>
      </c>
      <c r="B3" s="65" t="s">
        <v>2</v>
      </c>
      <c r="C3" s="65" t="s">
        <v>3</v>
      </c>
      <c r="D3" s="65" t="s">
        <v>4</v>
      </c>
      <c r="E3" s="65" t="s">
        <v>141</v>
      </c>
      <c r="F3" s="65" t="s">
        <v>142</v>
      </c>
      <c r="G3" s="65" t="s">
        <v>143</v>
      </c>
      <c r="H3" s="65" t="s">
        <v>144</v>
      </c>
    </row>
    <row r="4" spans="1:8" x14ac:dyDescent="0.35">
      <c r="A4" s="31" t="s">
        <v>47</v>
      </c>
      <c r="B4">
        <f>'Revenue Modelling'!B3</f>
        <v>15428752</v>
      </c>
      <c r="C4">
        <f>'Revenue Modelling'!C3</f>
        <v>19859230</v>
      </c>
      <c r="D4">
        <f>'Revenue Modelling'!D3</f>
        <v>24756675</v>
      </c>
      <c r="E4">
        <f>'Revenue Modelling'!E3</f>
        <v>28450601.211875249</v>
      </c>
      <c r="F4">
        <f>'Revenue Modelling'!F3</f>
        <v>33480660.387858223</v>
      </c>
      <c r="G4">
        <f>'Revenue Modelling'!G3</f>
        <v>38274192.462814137</v>
      </c>
      <c r="H4">
        <f>'Revenue Modelling'!H3</f>
        <v>42927069.736801565</v>
      </c>
    </row>
    <row r="5" spans="1:8" ht="15" thickBot="1" x14ac:dyDescent="0.4">
      <c r="A5" s="46" t="s">
        <v>48</v>
      </c>
      <c r="B5" s="49">
        <f>'Revenue Modelling'!B4</f>
        <v>365589</v>
      </c>
      <c r="C5" s="49">
        <f>'Revenue Modelling'!C4</f>
        <v>297217</v>
      </c>
      <c r="D5" s="49">
        <f>'Revenue Modelling'!D4</f>
        <v>239381</v>
      </c>
      <c r="E5" s="49">
        <f>'Revenue Modelling'!E4</f>
        <v>193705.83812687785</v>
      </c>
      <c r="F5" s="49">
        <f>'Revenue Modelling'!F4</f>
        <v>156379.00173325167</v>
      </c>
      <c r="G5" s="49">
        <f>'Revenue Modelling'!G4</f>
        <v>126393.02674674911</v>
      </c>
      <c r="H5" s="49">
        <f>'Revenue Modelling'!H4</f>
        <v>102097.09627329883</v>
      </c>
    </row>
    <row r="6" spans="1:8" x14ac:dyDescent="0.35">
      <c r="A6" s="37" t="s">
        <v>50</v>
      </c>
      <c r="B6">
        <f>B5+B4</f>
        <v>15794341</v>
      </c>
      <c r="C6">
        <f t="shared" ref="C6:H6" si="0">C5+C4</f>
        <v>20156447</v>
      </c>
      <c r="D6">
        <f t="shared" si="0"/>
        <v>24996056</v>
      </c>
      <c r="E6">
        <f t="shared" si="0"/>
        <v>28644307.050002128</v>
      </c>
      <c r="F6">
        <f t="shared" si="0"/>
        <v>33637039.389591478</v>
      </c>
      <c r="G6">
        <f t="shared" si="0"/>
        <v>38400585.489560887</v>
      </c>
      <c r="H6">
        <f t="shared" si="0"/>
        <v>43029166.83307486</v>
      </c>
    </row>
    <row r="7" spans="1:8" ht="15" thickBot="1" x14ac:dyDescent="0.4">
      <c r="A7" s="45" t="s">
        <v>59</v>
      </c>
      <c r="B7" s="45">
        <f>'Other Items'!B4</f>
        <v>9884381</v>
      </c>
      <c r="C7" s="45">
        <f>'Other Items'!C4</f>
        <v>12336634</v>
      </c>
      <c r="D7" s="45">
        <f>'Other Items'!D4</f>
        <v>15160609</v>
      </c>
      <c r="E7" s="45">
        <f>'Other Items'!E4</f>
        <v>17610348.123559561</v>
      </c>
      <c r="F7" s="45">
        <f>'Other Items'!F4</f>
        <v>20556246.456574693</v>
      </c>
      <c r="G7" s="45">
        <f>'Other Items'!G4</f>
        <v>23455505.388991218</v>
      </c>
      <c r="H7" s="45">
        <f>'Other Items'!H4</f>
        <v>26344241.850713447</v>
      </c>
    </row>
    <row r="8" spans="1:8" x14ac:dyDescent="0.35">
      <c r="A8" s="37" t="s">
        <v>86</v>
      </c>
      <c r="B8" s="36">
        <f>B6-B7</f>
        <v>5909960</v>
      </c>
      <c r="C8" s="36">
        <f t="shared" ref="C8:H8" si="1">C6-C7</f>
        <v>7819813</v>
      </c>
      <c r="D8" s="36">
        <f t="shared" si="1"/>
        <v>9835447</v>
      </c>
      <c r="E8" s="36">
        <f t="shared" si="1"/>
        <v>11033958.926442567</v>
      </c>
      <c r="F8" s="36">
        <f t="shared" si="1"/>
        <v>13080792.933016784</v>
      </c>
      <c r="G8" s="36">
        <f t="shared" si="1"/>
        <v>14945080.100569669</v>
      </c>
      <c r="H8" s="36">
        <f t="shared" si="1"/>
        <v>16684924.982361414</v>
      </c>
    </row>
    <row r="9" spans="1:8" x14ac:dyDescent="0.35">
      <c r="A9" t="s">
        <v>85</v>
      </c>
      <c r="B9" s="36"/>
      <c r="C9" s="36"/>
      <c r="D9" s="36"/>
      <c r="E9" s="36"/>
      <c r="F9" s="36"/>
      <c r="G9" s="36"/>
      <c r="H9" s="36"/>
    </row>
    <row r="10" spans="1:8" x14ac:dyDescent="0.35">
      <c r="A10" s="9" t="s">
        <v>7</v>
      </c>
      <c r="B10" s="36">
        <f>'Other Items'!B7</f>
        <v>2369469</v>
      </c>
      <c r="C10" s="36">
        <f>'Other Items'!C7</f>
        <v>2652462</v>
      </c>
      <c r="D10" s="36">
        <f>'Other Items'!D7</f>
        <v>2228362</v>
      </c>
      <c r="E10" s="36">
        <f>'Other Items'!E7</f>
        <v>3540077.3062013234</v>
      </c>
      <c r="F10" s="36">
        <f>'Other Items'!F7</f>
        <v>4157116.4414285929</v>
      </c>
      <c r="G10" s="36">
        <f>'Other Items'!G7</f>
        <v>4745831.0301986597</v>
      </c>
      <c r="H10" s="36">
        <f>'Other Items'!H7</f>
        <v>5317865.6668012384</v>
      </c>
    </row>
    <row r="11" spans="1:8" x14ac:dyDescent="0.35">
      <c r="A11" s="9" t="s">
        <v>8</v>
      </c>
      <c r="B11" s="36">
        <f>'Other Items'!B10</f>
        <v>1221814</v>
      </c>
      <c r="C11" s="36">
        <f>'Other Items'!C10</f>
        <v>1545149</v>
      </c>
      <c r="D11" s="36">
        <f>'Other Items'!D10</f>
        <v>1829600</v>
      </c>
      <c r="E11" s="36">
        <f>'Other Items'!E10</f>
        <v>2169434.4552735938</v>
      </c>
      <c r="F11" s="36">
        <f>'Other Items'!F10</f>
        <v>2547569.1242169319</v>
      </c>
      <c r="G11" s="36">
        <f>'Other Items'!G10</f>
        <v>2908345.9103517188</v>
      </c>
      <c r="H11" s="36">
        <f>'Other Items'!H10</f>
        <v>3258900.8680306482</v>
      </c>
    </row>
    <row r="12" spans="1:8" ht="15" thickBot="1" x14ac:dyDescent="0.4">
      <c r="A12" s="47" t="s">
        <v>9</v>
      </c>
      <c r="B12" s="50">
        <f>'Other Items'!B13</f>
        <v>630294</v>
      </c>
      <c r="C12" s="50">
        <f>'Other Items'!C13</f>
        <v>914369</v>
      </c>
      <c r="D12" s="50">
        <f>'Other Items'!D13</f>
        <v>1076486</v>
      </c>
      <c r="E12" s="50">
        <f>'Other Items'!E13</f>
        <v>1225366.7194431941</v>
      </c>
      <c r="F12" s="50">
        <f>'Other Items'!F13</f>
        <v>1438949.4057808653</v>
      </c>
      <c r="G12" s="50">
        <f>'Other Items'!G13</f>
        <v>1642727.7987176043</v>
      </c>
      <c r="H12" s="50">
        <f>'Other Items'!H13</f>
        <v>1840732.5724646889</v>
      </c>
    </row>
    <row r="13" spans="1:8" x14ac:dyDescent="0.35">
      <c r="A13" s="37" t="s">
        <v>87</v>
      </c>
      <c r="B13" s="36">
        <f>B8-B10-B11-B12</f>
        <v>1688383</v>
      </c>
      <c r="C13" s="36">
        <f t="shared" ref="C13:H13" si="2">C8-C10-C11-C12</f>
        <v>2707833</v>
      </c>
      <c r="D13" s="36">
        <f t="shared" si="2"/>
        <v>4700999</v>
      </c>
      <c r="E13" s="36">
        <f t="shared" si="2"/>
        <v>4099080.4455244555</v>
      </c>
      <c r="F13" s="36">
        <f t="shared" si="2"/>
        <v>4937157.9615903944</v>
      </c>
      <c r="G13" s="36">
        <f t="shared" si="2"/>
        <v>5648175.3613016866</v>
      </c>
      <c r="H13" s="36">
        <f t="shared" si="2"/>
        <v>6267425.8750648377</v>
      </c>
    </row>
    <row r="14" spans="1:8" ht="15" thickBot="1" x14ac:dyDescent="0.4">
      <c r="A14" s="47" t="s">
        <v>73</v>
      </c>
      <c r="B14" s="50">
        <f>Schedules!B6</f>
        <v>83157</v>
      </c>
      <c r="C14" s="50">
        <f>Schedules!C6</f>
        <v>103579</v>
      </c>
      <c r="D14" s="50">
        <f>Schedules!D6</f>
        <v>115710</v>
      </c>
      <c r="E14" s="50">
        <f>Schedules!E6</f>
        <v>186714.86806745233</v>
      </c>
      <c r="F14" s="50">
        <f>Schedules!F6</f>
        <v>214240.79180566277</v>
      </c>
      <c r="G14" s="50">
        <f>Schedules!G6</f>
        <v>235565.4695895089</v>
      </c>
      <c r="H14" s="50">
        <f>Schedules!H6</f>
        <v>252342.11800147456</v>
      </c>
    </row>
    <row r="15" spans="1:8" x14ac:dyDescent="0.35">
      <c r="A15" s="37" t="s">
        <v>88</v>
      </c>
      <c r="B15" s="36">
        <f>B13-B14</f>
        <v>1605226</v>
      </c>
      <c r="C15" s="36">
        <f t="shared" ref="C15:H15" si="3">C13-C14</f>
        <v>2604254</v>
      </c>
      <c r="D15" s="36">
        <f t="shared" si="3"/>
        <v>4585289</v>
      </c>
      <c r="E15" s="36">
        <f>E13-E14</f>
        <v>3912365.5774570033</v>
      </c>
      <c r="F15" s="36">
        <f t="shared" si="3"/>
        <v>4722917.1697847312</v>
      </c>
      <c r="G15" s="36">
        <f t="shared" si="3"/>
        <v>5412609.8917121775</v>
      </c>
      <c r="H15" s="36">
        <f t="shared" si="3"/>
        <v>6015083.7570633627</v>
      </c>
    </row>
    <row r="16" spans="1:8" x14ac:dyDescent="0.35">
      <c r="A16" s="11" t="s">
        <v>12</v>
      </c>
      <c r="B16" s="36">
        <f>Schedules!B27</f>
        <v>-420493</v>
      </c>
      <c r="C16" s="36">
        <f>Schedules!C27</f>
        <v>-626023</v>
      </c>
      <c r="D16" s="36">
        <f>Schedules!D27</f>
        <v>-767499</v>
      </c>
      <c r="E16" s="36">
        <f>Schedules!E27</f>
        <v>-688909.27500000002</v>
      </c>
      <c r="F16" s="36">
        <f>Schedules!F27</f>
        <v>-657409.27500000002</v>
      </c>
      <c r="G16" s="36">
        <f>Schedules!G27</f>
        <v>-657409.27500000002</v>
      </c>
      <c r="H16" s="36">
        <f>Schedules!H27</f>
        <v>-639409.27500000002</v>
      </c>
    </row>
    <row r="17" spans="1:8" ht="15" thickBot="1" x14ac:dyDescent="0.4">
      <c r="A17" s="48" t="s">
        <v>13</v>
      </c>
      <c r="B17" s="50">
        <f>'P&amp;L Input'!B11</f>
        <v>41725</v>
      </c>
      <c r="C17" s="50">
        <f>'P&amp;L Input'!C11</f>
        <v>84000</v>
      </c>
      <c r="D17" s="50">
        <f>'P&amp;L Input'!D11</f>
        <v>-618441</v>
      </c>
      <c r="E17" s="50">
        <v>0</v>
      </c>
      <c r="F17" s="50">
        <v>0</v>
      </c>
      <c r="G17" s="50">
        <v>0</v>
      </c>
      <c r="H17" s="50">
        <v>0</v>
      </c>
    </row>
    <row r="18" spans="1:8" x14ac:dyDescent="0.35">
      <c r="A18" s="37" t="s">
        <v>89</v>
      </c>
      <c r="B18" s="36">
        <f>SUM(B15:B17)</f>
        <v>1226458</v>
      </c>
      <c r="C18" s="36">
        <f t="shared" ref="C18:H18" si="4">SUM(C15:C17)</f>
        <v>2062231</v>
      </c>
      <c r="D18" s="36">
        <f t="shared" si="4"/>
        <v>3199349</v>
      </c>
      <c r="E18" s="36">
        <f t="shared" si="4"/>
        <v>3223456.3024570034</v>
      </c>
      <c r="F18" s="36">
        <f t="shared" si="4"/>
        <v>4065507.8947847313</v>
      </c>
      <c r="G18" s="36">
        <f t="shared" si="4"/>
        <v>4755200.6167121772</v>
      </c>
      <c r="H18" s="36">
        <f t="shared" si="4"/>
        <v>5375674.4820633624</v>
      </c>
    </row>
    <row r="19" spans="1:8" x14ac:dyDescent="0.35">
      <c r="A19" t="s">
        <v>90</v>
      </c>
      <c r="B19" s="36">
        <f>'P&amp;L Input'!B13</f>
        <v>-15216</v>
      </c>
      <c r="C19" s="36">
        <f>'P&amp;L Input'!C13</f>
        <v>-195315</v>
      </c>
      <c r="D19" s="36">
        <f>'P&amp;L Input'!D13</f>
        <v>-437954</v>
      </c>
      <c r="E19" s="36">
        <f>E20*E18</f>
        <v>-441254.01182748564</v>
      </c>
      <c r="F19" s="36">
        <f t="shared" ref="F19:H19" si="5">F20*F18</f>
        <v>-556521.16869792948</v>
      </c>
      <c r="G19" s="36">
        <f t="shared" si="5"/>
        <v>-650932.15241337055</v>
      </c>
      <c r="H19" s="36">
        <f t="shared" si="5"/>
        <v>-735867.8725320613</v>
      </c>
    </row>
    <row r="20" spans="1:8" x14ac:dyDescent="0.35">
      <c r="A20" s="38" t="s">
        <v>91</v>
      </c>
      <c r="B20" s="43">
        <f>B19/B18</f>
        <v>-1.2406458272521358E-2</v>
      </c>
      <c r="C20" s="43">
        <f t="shared" ref="C20:D20" si="6">C19/C18</f>
        <v>-9.471053436787634E-2</v>
      </c>
      <c r="D20" s="43">
        <f t="shared" si="6"/>
        <v>-0.13688847324877654</v>
      </c>
      <c r="E20" s="43">
        <f>D20</f>
        <v>-0.13688847324877654</v>
      </c>
      <c r="F20" s="43">
        <f t="shared" ref="F20:H20" si="7">E20</f>
        <v>-0.13688847324877654</v>
      </c>
      <c r="G20" s="43">
        <f t="shared" si="7"/>
        <v>-0.13688847324877654</v>
      </c>
      <c r="H20" s="43">
        <f t="shared" si="7"/>
        <v>-0.13688847324877654</v>
      </c>
    </row>
    <row r="21" spans="1:8" x14ac:dyDescent="0.35">
      <c r="A21" s="66" t="s">
        <v>92</v>
      </c>
      <c r="B21" s="51">
        <f>SUM(B18:B20)</f>
        <v>1211241.9875935416</v>
      </c>
      <c r="C21" s="51">
        <f t="shared" ref="C21:H21" si="8">SUM(C18:C20)</f>
        <v>1866915.9052894656</v>
      </c>
      <c r="D21" s="51">
        <f t="shared" si="8"/>
        <v>2761394.8631115267</v>
      </c>
      <c r="E21" s="51">
        <f t="shared" si="8"/>
        <v>2782202.1537410445</v>
      </c>
      <c r="F21" s="51">
        <f t="shared" si="8"/>
        <v>3508986.5891983286</v>
      </c>
      <c r="G21" s="51">
        <f t="shared" si="8"/>
        <v>4104268.3274103333</v>
      </c>
      <c r="H21" s="51">
        <f t="shared" si="8"/>
        <v>4639806.4726428278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5"/>
  <sheetViews>
    <sheetView topLeftCell="B1" zoomScale="59" zoomScaleNormal="67" workbookViewId="0">
      <pane ySplit="3" topLeftCell="A4" activePane="bottomLeft" state="frozen"/>
      <selection pane="bottomLeft" activeCell="M18" sqref="M18"/>
    </sheetView>
  </sheetViews>
  <sheetFormatPr defaultRowHeight="14.5" x14ac:dyDescent="0.35"/>
  <cols>
    <col min="1" max="1" width="42.81640625" bestFit="1" customWidth="1"/>
    <col min="2" max="2" width="14.6328125" customWidth="1"/>
    <col min="3" max="3" width="16.1796875" customWidth="1"/>
    <col min="4" max="4" width="14.90625" customWidth="1"/>
    <col min="5" max="5" width="18.6328125" customWidth="1"/>
    <col min="6" max="6" width="18.54296875" customWidth="1"/>
    <col min="7" max="7" width="16.453125" customWidth="1"/>
    <col min="8" max="8" width="16.1796875" customWidth="1"/>
  </cols>
  <sheetData>
    <row r="1" spans="1:8" ht="15.5" x14ac:dyDescent="0.35">
      <c r="A1" s="1" t="s">
        <v>17</v>
      </c>
      <c r="B1" s="5"/>
      <c r="C1" s="5"/>
      <c r="D1" s="5"/>
    </row>
    <row r="2" spans="1:8" x14ac:dyDescent="0.35">
      <c r="A2" s="5"/>
      <c r="B2" s="5"/>
      <c r="C2" s="5"/>
      <c r="D2" s="5"/>
    </row>
    <row r="3" spans="1:8" ht="29" x14ac:dyDescent="0.35">
      <c r="A3" s="90" t="s">
        <v>1</v>
      </c>
      <c r="B3" s="89" t="s">
        <v>2</v>
      </c>
      <c r="C3" s="89" t="s">
        <v>3</v>
      </c>
      <c r="D3" s="89" t="s">
        <v>4</v>
      </c>
      <c r="E3" s="101" t="s">
        <v>153</v>
      </c>
      <c r="F3" s="101" t="s">
        <v>154</v>
      </c>
      <c r="G3" s="101" t="s">
        <v>155</v>
      </c>
      <c r="H3" s="101" t="s">
        <v>156</v>
      </c>
    </row>
    <row r="4" spans="1:8" x14ac:dyDescent="0.35">
      <c r="A4" s="13" t="s">
        <v>18</v>
      </c>
      <c r="B4" s="2"/>
      <c r="C4" s="2"/>
      <c r="D4" s="2"/>
    </row>
    <row r="5" spans="1:8" x14ac:dyDescent="0.35">
      <c r="A5" s="14" t="s">
        <v>19</v>
      </c>
      <c r="B5" s="14"/>
      <c r="C5" s="15"/>
      <c r="D5" s="15"/>
    </row>
    <row r="6" spans="1:8" x14ac:dyDescent="0.35">
      <c r="A6" s="14" t="s">
        <v>20</v>
      </c>
      <c r="B6" s="92">
        <v>3794483</v>
      </c>
      <c r="C6" s="93">
        <v>5018437</v>
      </c>
      <c r="D6" s="93">
        <v>8205550</v>
      </c>
      <c r="E6" s="93">
        <f>D6+'Cashflow statements'!E26</f>
        <v>9152852.2304665055</v>
      </c>
      <c r="F6" s="93">
        <f>E6+'Cashflow statements'!F26</f>
        <v>11187768.121068345</v>
      </c>
      <c r="G6" s="93">
        <f>F6+'Cashflow statements'!G26</f>
        <v>14689778.537960339</v>
      </c>
      <c r="H6" s="93">
        <f>G6+'Cashflow statements'!H26</f>
        <v>18481523.405776445</v>
      </c>
    </row>
    <row r="7" spans="1:8" x14ac:dyDescent="0.35">
      <c r="A7" s="14" t="s">
        <v>21</v>
      </c>
      <c r="B7" s="92">
        <f>748466+5151186</f>
        <v>5899652</v>
      </c>
      <c r="C7" s="94">
        <v>1160067</v>
      </c>
      <c r="D7" s="94">
        <v>1556030</v>
      </c>
      <c r="E7" s="94">
        <f>'Other Items'!E16</f>
        <v>1783137.351709198</v>
      </c>
      <c r="F7" s="94">
        <f>'Other Items'!F16</f>
        <v>2093940.0360355261</v>
      </c>
      <c r="G7" s="94">
        <f>'Other Items'!G16</f>
        <v>2390475.6430102983</v>
      </c>
      <c r="H7" s="94">
        <f>'Other Items'!H16</f>
        <v>2678609.5561343548</v>
      </c>
    </row>
    <row r="8" spans="1:8" x14ac:dyDescent="0.35">
      <c r="A8" s="14" t="s">
        <v>22</v>
      </c>
      <c r="B8" s="95">
        <f>SUM(B6:B7)</f>
        <v>9694135</v>
      </c>
      <c r="C8" s="96">
        <f>SUM(C6:C7)</f>
        <v>6178504</v>
      </c>
      <c r="D8" s="96">
        <f>SUM(D6:D7)</f>
        <v>9761580</v>
      </c>
      <c r="E8" s="96">
        <f t="shared" ref="E8:H8" si="0">SUM(E6:E7)</f>
        <v>10935989.582175704</v>
      </c>
      <c r="F8" s="96">
        <f t="shared" si="0"/>
        <v>13281708.157103872</v>
      </c>
      <c r="G8" s="96">
        <f t="shared" si="0"/>
        <v>17080254.180970639</v>
      </c>
      <c r="H8" s="96">
        <f t="shared" si="0"/>
        <v>21160132.961910799</v>
      </c>
    </row>
    <row r="9" spans="1:8" x14ac:dyDescent="0.35">
      <c r="A9" s="14" t="s">
        <v>23</v>
      </c>
      <c r="B9" s="92">
        <v>14951141</v>
      </c>
      <c r="C9" s="96">
        <v>24504567</v>
      </c>
      <c r="D9" s="96">
        <v>25383950</v>
      </c>
      <c r="E9" s="96">
        <f>Schedules!E17</f>
        <v>26490394.690509938</v>
      </c>
      <c r="F9" s="96">
        <f>Schedules!F17</f>
        <v>27281059.995118186</v>
      </c>
      <c r="G9" s="96">
        <f>Schedules!G17</f>
        <v>27846069.370890178</v>
      </c>
      <c r="H9" s="96">
        <f>Schedules!H17</f>
        <v>28249825.034442946</v>
      </c>
    </row>
    <row r="10" spans="1:8" x14ac:dyDescent="0.35">
      <c r="A10" s="14" t="s">
        <v>24</v>
      </c>
      <c r="B10" s="92">
        <v>418281</v>
      </c>
      <c r="C10" s="96">
        <v>565221</v>
      </c>
      <c r="D10" s="96">
        <v>960183</v>
      </c>
      <c r="E10" s="96">
        <f>Schedules!E7</f>
        <v>1284140.1319325478</v>
      </c>
      <c r="F10" s="96">
        <f>Schedules!F7</f>
        <v>1580571.3401268851</v>
      </c>
      <c r="G10" s="96">
        <f>Schedules!G7</f>
        <v>1855677.8705373763</v>
      </c>
      <c r="H10" s="96">
        <f>Schedules!H7</f>
        <v>2114007.7525359015</v>
      </c>
    </row>
    <row r="11" spans="1:8" x14ac:dyDescent="0.35">
      <c r="A11" s="14" t="s">
        <v>25</v>
      </c>
      <c r="B11" s="92">
        <v>910843</v>
      </c>
      <c r="C11" s="96">
        <v>2727420</v>
      </c>
      <c r="D11" s="96">
        <v>3174646</v>
      </c>
      <c r="E11" s="96">
        <v>3174646</v>
      </c>
      <c r="F11" s="96">
        <v>3174646</v>
      </c>
      <c r="G11" s="96">
        <v>3174646</v>
      </c>
      <c r="H11" s="96">
        <v>3174646</v>
      </c>
    </row>
    <row r="12" spans="1:8" ht="15" thickBot="1" x14ac:dyDescent="0.4">
      <c r="A12" s="13" t="s">
        <v>26</v>
      </c>
      <c r="B12" s="97">
        <f>SUM(B8:B11)</f>
        <v>25974400</v>
      </c>
      <c r="C12" s="97">
        <f>SUM(C8:C11)</f>
        <v>33975712</v>
      </c>
      <c r="D12" s="97">
        <f>SUM(D8:D11)</f>
        <v>39280359</v>
      </c>
      <c r="E12" s="97">
        <f t="shared" ref="E12:H12" si="1">SUM(E8:E11)</f>
        <v>41885170.404618189</v>
      </c>
      <c r="F12" s="97">
        <f>SUM(F8:F11)</f>
        <v>45317985.492348947</v>
      </c>
      <c r="G12" s="97">
        <f t="shared" si="1"/>
        <v>49956647.422398195</v>
      </c>
      <c r="H12" s="97">
        <f t="shared" si="1"/>
        <v>54698611.748889647</v>
      </c>
    </row>
    <row r="13" spans="1:8" x14ac:dyDescent="0.35">
      <c r="A13" s="13"/>
      <c r="B13" s="96"/>
      <c r="C13" s="96"/>
      <c r="D13" s="96"/>
      <c r="E13" s="36"/>
      <c r="F13" s="36"/>
      <c r="G13" s="36"/>
      <c r="H13" s="36"/>
    </row>
    <row r="14" spans="1:8" x14ac:dyDescent="0.35">
      <c r="A14" s="13" t="s">
        <v>27</v>
      </c>
      <c r="B14" s="92"/>
      <c r="C14" s="96"/>
      <c r="D14" s="96"/>
      <c r="E14" s="36"/>
      <c r="F14" s="36"/>
      <c r="G14" s="36"/>
      <c r="H14" s="36"/>
    </row>
    <row r="15" spans="1:8" x14ac:dyDescent="0.35">
      <c r="A15" s="14" t="s">
        <v>28</v>
      </c>
      <c r="B15" s="92"/>
      <c r="C15" s="96"/>
      <c r="D15" s="96"/>
      <c r="E15" s="36"/>
      <c r="F15" s="36"/>
      <c r="G15" s="36"/>
      <c r="H15" s="36"/>
    </row>
    <row r="16" spans="1:8" x14ac:dyDescent="0.35">
      <c r="A16" s="14" t="s">
        <v>29</v>
      </c>
      <c r="B16" s="92">
        <v>4681562</v>
      </c>
      <c r="C16" s="93">
        <v>4413561</v>
      </c>
      <c r="D16" s="93">
        <v>4429536</v>
      </c>
      <c r="E16" s="93">
        <v>4429536</v>
      </c>
      <c r="F16" s="93">
        <v>4429536</v>
      </c>
      <c r="G16" s="93">
        <v>4429536</v>
      </c>
      <c r="H16" s="93">
        <v>4429536</v>
      </c>
    </row>
    <row r="17" spans="1:8" x14ac:dyDescent="0.35">
      <c r="A17" s="14" t="s">
        <v>30</v>
      </c>
      <c r="B17" s="92">
        <v>562985</v>
      </c>
      <c r="C17" s="96">
        <v>674347</v>
      </c>
      <c r="D17" s="96">
        <v>656183</v>
      </c>
      <c r="E17" s="96">
        <f>'Other Items'!E19</f>
        <v>762212.8545602411</v>
      </c>
      <c r="F17" s="96">
        <f>'Other Items'!F19</f>
        <v>889717.52181027492</v>
      </c>
      <c r="G17" s="96">
        <f>'Other Items'!G19</f>
        <v>1015203.5378436593</v>
      </c>
      <c r="H17" s="96">
        <f>'Other Items'!H19</f>
        <v>1140234.1192445965</v>
      </c>
    </row>
    <row r="18" spans="1:8" x14ac:dyDescent="0.35">
      <c r="A18" s="14" t="s">
        <v>31</v>
      </c>
      <c r="B18" s="92">
        <v>481874</v>
      </c>
      <c r="C18" s="96">
        <v>843043</v>
      </c>
      <c r="D18" s="96">
        <v>1102196</v>
      </c>
      <c r="E18" s="96">
        <f>'Other Items'!E22</f>
        <v>1111676.5673939134</v>
      </c>
      <c r="F18" s="96">
        <f>'Other Items'!F22</f>
        <v>1398509.9526273431</v>
      </c>
      <c r="G18" s="96">
        <f>'Other Items'!G22</f>
        <v>1593380.7129049948</v>
      </c>
      <c r="H18" s="96">
        <f>'Other Items'!H22</f>
        <v>1748129.1876342348</v>
      </c>
    </row>
    <row r="19" spans="1:8" x14ac:dyDescent="0.35">
      <c r="A19" s="14" t="s">
        <v>32</v>
      </c>
      <c r="B19" s="92">
        <v>760899</v>
      </c>
      <c r="C19" s="96">
        <v>924745</v>
      </c>
      <c r="D19" s="96">
        <v>1117992</v>
      </c>
      <c r="E19" s="96">
        <f>'Other Items'!E25</f>
        <v>1325090.692034519</v>
      </c>
      <c r="F19" s="96">
        <f>'Other Items'!F25</f>
        <v>1534581.0011950082</v>
      </c>
      <c r="G19" s="96">
        <f>'Other Items'!G25</f>
        <v>1748617.6906344162</v>
      </c>
      <c r="H19" s="96">
        <f>'Other Items'!H25</f>
        <v>1970996.3514643973</v>
      </c>
    </row>
    <row r="20" spans="1:8" x14ac:dyDescent="0.35">
      <c r="A20" s="14" t="s">
        <v>33</v>
      </c>
      <c r="B20" s="94">
        <v>0</v>
      </c>
      <c r="C20" s="94">
        <v>0</v>
      </c>
      <c r="D20" s="94">
        <v>499878</v>
      </c>
      <c r="E20" s="94">
        <v>499878</v>
      </c>
      <c r="F20" s="94">
        <v>499878</v>
      </c>
      <c r="G20" s="94">
        <v>499878</v>
      </c>
      <c r="H20" s="94">
        <v>499878</v>
      </c>
    </row>
    <row r="21" spans="1:8" x14ac:dyDescent="0.35">
      <c r="A21" s="14" t="s">
        <v>34</v>
      </c>
      <c r="B21" s="95">
        <f>SUM(B16:B20)</f>
        <v>6487320</v>
      </c>
      <c r="C21" s="96">
        <f>SUM(C16:C20)</f>
        <v>6855696</v>
      </c>
      <c r="D21" s="96">
        <f>SUM(D16:D20)</f>
        <v>7805785</v>
      </c>
      <c r="E21" s="96">
        <f t="shared" ref="E21:H21" si="2">SUM(E16:E20)</f>
        <v>8128394.1139886742</v>
      </c>
      <c r="F21" s="96">
        <f t="shared" si="2"/>
        <v>8752222.4756326266</v>
      </c>
      <c r="G21" s="96">
        <f t="shared" si="2"/>
        <v>9286615.9413830712</v>
      </c>
      <c r="H21" s="96">
        <f t="shared" si="2"/>
        <v>9788773.6583432294</v>
      </c>
    </row>
    <row r="22" spans="1:8" x14ac:dyDescent="0.35">
      <c r="A22" s="14" t="s">
        <v>35</v>
      </c>
      <c r="B22" s="92">
        <v>3759026</v>
      </c>
      <c r="C22" s="96">
        <v>3334323</v>
      </c>
      <c r="D22" s="96">
        <v>2618084</v>
      </c>
      <c r="E22" s="96">
        <v>2618084</v>
      </c>
      <c r="F22" s="96">
        <v>2618084</v>
      </c>
      <c r="G22" s="96">
        <v>2618084</v>
      </c>
      <c r="H22" s="96">
        <v>2618084</v>
      </c>
    </row>
    <row r="23" spans="1:8" x14ac:dyDescent="0.35">
      <c r="A23" s="14" t="s">
        <v>36</v>
      </c>
      <c r="B23" s="92">
        <v>10360058</v>
      </c>
      <c r="C23" s="96">
        <v>14759260</v>
      </c>
      <c r="D23" s="96">
        <v>15809095</v>
      </c>
      <c r="E23" s="96">
        <f>Schedules!E25</f>
        <v>15309095</v>
      </c>
      <c r="F23" s="96">
        <f>Schedules!F25</f>
        <v>14609095</v>
      </c>
      <c r="G23" s="96">
        <f>Schedules!G25</f>
        <v>14609095</v>
      </c>
      <c r="H23" s="96">
        <f>Schedules!H25</f>
        <v>14209095</v>
      </c>
    </row>
    <row r="24" spans="1:8" x14ac:dyDescent="0.35">
      <c r="A24" s="14" t="s">
        <v>37</v>
      </c>
      <c r="B24" s="92">
        <v>129231</v>
      </c>
      <c r="C24" s="94">
        <v>1444276</v>
      </c>
      <c r="D24" s="94">
        <v>1982155</v>
      </c>
      <c r="E24" s="94">
        <v>1982155</v>
      </c>
      <c r="F24" s="94">
        <v>1982155</v>
      </c>
      <c r="G24" s="94">
        <v>1982155</v>
      </c>
      <c r="H24" s="94">
        <v>1982155</v>
      </c>
    </row>
    <row r="25" spans="1:8" ht="15" thickBot="1" x14ac:dyDescent="0.4">
      <c r="A25" s="13" t="s">
        <v>38</v>
      </c>
      <c r="B25" s="95">
        <f>SUM(B21:B24)</f>
        <v>20735635</v>
      </c>
      <c r="C25" s="96">
        <f>SUM(C21:C24)</f>
        <v>26393555</v>
      </c>
      <c r="D25" s="96">
        <f>SUM(D21:D24)</f>
        <v>28215119</v>
      </c>
      <c r="E25" s="98">
        <f t="shared" ref="E25:H25" si="3">SUM(E21:E24)</f>
        <v>28037728.113988675</v>
      </c>
      <c r="F25" s="98">
        <f t="shared" si="3"/>
        <v>27961556.475632627</v>
      </c>
      <c r="G25" s="98">
        <f t="shared" si="3"/>
        <v>28495949.941383071</v>
      </c>
      <c r="H25" s="98">
        <f t="shared" si="3"/>
        <v>28598107.658343229</v>
      </c>
    </row>
    <row r="26" spans="1:8" x14ac:dyDescent="0.35">
      <c r="A26" s="14" t="s">
        <v>39</v>
      </c>
      <c r="B26" s="92"/>
      <c r="C26" s="96"/>
      <c r="D26" s="96"/>
      <c r="E26" s="36"/>
      <c r="F26" s="36"/>
      <c r="G26" s="36"/>
      <c r="H26" s="36"/>
    </row>
    <row r="27" spans="1:8" x14ac:dyDescent="0.35">
      <c r="A27" s="14" t="s">
        <v>40</v>
      </c>
      <c r="B27" s="96">
        <v>2315988</v>
      </c>
      <c r="C27" s="96">
        <v>2793929</v>
      </c>
      <c r="D27" s="96">
        <v>3447698</v>
      </c>
      <c r="E27" s="96">
        <v>3447698</v>
      </c>
      <c r="F27" s="96">
        <v>3447698</v>
      </c>
      <c r="G27" s="96">
        <v>3447698</v>
      </c>
      <c r="H27" s="96">
        <v>3447698</v>
      </c>
    </row>
    <row r="28" spans="1:8" x14ac:dyDescent="0.35">
      <c r="A28" s="14" t="s">
        <v>41</v>
      </c>
      <c r="B28" s="99"/>
      <c r="C28" s="96">
        <v>0</v>
      </c>
      <c r="D28" s="96">
        <v>0</v>
      </c>
      <c r="E28" s="36"/>
      <c r="F28" s="36"/>
      <c r="G28" s="36"/>
      <c r="H28" s="36"/>
    </row>
    <row r="29" spans="1:8" x14ac:dyDescent="0.35">
      <c r="A29" s="14" t="s">
        <v>42</v>
      </c>
      <c r="B29" s="96">
        <v>-19582</v>
      </c>
      <c r="C29" s="96">
        <v>-23521</v>
      </c>
      <c r="D29" s="96">
        <v>44398</v>
      </c>
      <c r="E29" s="96">
        <v>44398</v>
      </c>
      <c r="F29" s="96">
        <v>44398</v>
      </c>
      <c r="G29" s="96">
        <v>44398</v>
      </c>
      <c r="H29" s="96">
        <v>44398</v>
      </c>
    </row>
    <row r="30" spans="1:8" x14ac:dyDescent="0.35">
      <c r="A30" s="14" t="s">
        <v>43</v>
      </c>
      <c r="B30" s="92">
        <v>2942359</v>
      </c>
      <c r="C30" s="94">
        <v>4811749</v>
      </c>
      <c r="D30" s="94">
        <v>7573144</v>
      </c>
      <c r="E30" s="94">
        <f>D30+'P&amp;L'!E21</f>
        <v>10355346.153741045</v>
      </c>
      <c r="F30" s="94">
        <f>E30+'P&amp;L'!F21</f>
        <v>13864332.742939373</v>
      </c>
      <c r="G30" s="94">
        <f>F30+'P&amp;L'!G21</f>
        <v>17968601.070349708</v>
      </c>
      <c r="H30" s="94">
        <f>G30+'P&amp;L'!H21</f>
        <v>22608407.542992536</v>
      </c>
    </row>
    <row r="31" spans="1:8" x14ac:dyDescent="0.35">
      <c r="A31" s="13" t="s">
        <v>44</v>
      </c>
      <c r="B31" s="100">
        <f>SUM(B27:B30)</f>
        <v>5238765</v>
      </c>
      <c r="C31" s="96">
        <f>SUM(C27:C30)</f>
        <v>7582157</v>
      </c>
      <c r="D31" s="96">
        <f>SUM(D27:D30)</f>
        <v>11065240</v>
      </c>
      <c r="E31" s="96">
        <f t="shared" ref="E31:H31" si="4">SUM(E27:E30)</f>
        <v>13847442.153741045</v>
      </c>
      <c r="F31" s="96">
        <f t="shared" si="4"/>
        <v>17356428.742939375</v>
      </c>
      <c r="G31" s="96">
        <f t="shared" si="4"/>
        <v>21460697.070349708</v>
      </c>
      <c r="H31" s="96">
        <f t="shared" si="4"/>
        <v>26100503.542992536</v>
      </c>
    </row>
    <row r="32" spans="1:8" ht="15" thickBot="1" x14ac:dyDescent="0.4">
      <c r="A32" s="13" t="s">
        <v>45</v>
      </c>
      <c r="B32" s="97">
        <f>B25+B31</f>
        <v>25974400</v>
      </c>
      <c r="C32" s="97">
        <f>C25+C31</f>
        <v>33975712</v>
      </c>
      <c r="D32" s="97">
        <f>D25+D31</f>
        <v>39280359</v>
      </c>
      <c r="E32" s="97">
        <f t="shared" ref="E32:H32" si="5">E25+E31</f>
        <v>41885170.267729722</v>
      </c>
      <c r="F32" s="97">
        <f t="shared" si="5"/>
        <v>45317985.218572006</v>
      </c>
      <c r="G32" s="97">
        <f t="shared" si="5"/>
        <v>49956647.011732779</v>
      </c>
      <c r="H32" s="97">
        <f t="shared" si="5"/>
        <v>54698611.201335765</v>
      </c>
    </row>
    <row r="35" spans="1:8" x14ac:dyDescent="0.35">
      <c r="A35" t="s">
        <v>113</v>
      </c>
      <c r="B35" t="b">
        <f t="shared" ref="B35:D35" si="6">ROUND(B32,0)=ROUND(B12,0)</f>
        <v>1</v>
      </c>
      <c r="C35" t="b">
        <f t="shared" si="6"/>
        <v>1</v>
      </c>
      <c r="D35" t="b">
        <f t="shared" si="6"/>
        <v>1</v>
      </c>
      <c r="E35" t="b">
        <f>ROUND(E32,0)=ROUND(E12,0)</f>
        <v>1</v>
      </c>
      <c r="F35" t="b">
        <f t="shared" ref="F35:H35" si="7">ROUND(F32,0)=ROUND(F12,0)</f>
        <v>1</v>
      </c>
      <c r="G35" t="b">
        <f t="shared" si="7"/>
        <v>1</v>
      </c>
      <c r="H35" t="b">
        <f t="shared" si="7"/>
        <v>0</v>
      </c>
    </row>
  </sheetData>
  <phoneticPr fontId="24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7DD11-B176-47FB-A40F-EC3450E4E814}">
  <dimension ref="A1:H30"/>
  <sheetViews>
    <sheetView topLeftCell="A4" zoomScale="55" zoomScaleNormal="50" workbookViewId="0">
      <selection activeCell="E4" sqref="E4:H4"/>
    </sheetView>
  </sheetViews>
  <sheetFormatPr defaultRowHeight="18.5" x14ac:dyDescent="0.45"/>
  <cols>
    <col min="1" max="1" width="44.08984375" style="103" customWidth="1"/>
    <col min="2" max="2" width="12.1796875" style="103" customWidth="1"/>
    <col min="3" max="3" width="11.36328125" style="103" customWidth="1"/>
    <col min="4" max="4" width="10.7265625" style="103" customWidth="1"/>
    <col min="5" max="5" width="19.1796875" style="103" customWidth="1"/>
    <col min="6" max="6" width="18.1796875" style="103" customWidth="1"/>
    <col min="7" max="7" width="17.7265625" style="103" customWidth="1"/>
    <col min="8" max="8" width="18.54296875" style="103" customWidth="1"/>
    <col min="9" max="16384" width="8.7265625" style="103"/>
  </cols>
  <sheetData>
    <row r="1" spans="1:8" x14ac:dyDescent="0.45">
      <c r="A1" s="102" t="s">
        <v>145</v>
      </c>
      <c r="B1" s="103" t="s">
        <v>146</v>
      </c>
      <c r="C1" s="103" t="s">
        <v>147</v>
      </c>
      <c r="D1" s="103" t="s">
        <v>148</v>
      </c>
      <c r="E1" s="103" t="s">
        <v>149</v>
      </c>
      <c r="F1" s="103" t="s">
        <v>150</v>
      </c>
      <c r="G1" s="103" t="s">
        <v>151</v>
      </c>
      <c r="H1" s="103" t="s">
        <v>152</v>
      </c>
    </row>
    <row r="2" spans="1:8" x14ac:dyDescent="0.45">
      <c r="A2" s="102" t="s">
        <v>93</v>
      </c>
    </row>
    <row r="3" spans="1:8" x14ac:dyDescent="0.45">
      <c r="A3" s="104"/>
    </row>
    <row r="4" spans="1:8" ht="37" x14ac:dyDescent="0.45">
      <c r="A4" s="105" t="s">
        <v>1</v>
      </c>
      <c r="B4" s="106" t="s">
        <v>2</v>
      </c>
      <c r="C4" s="106" t="s">
        <v>3</v>
      </c>
      <c r="D4" s="106" t="s">
        <v>4</v>
      </c>
      <c r="E4" s="106" t="s">
        <v>153</v>
      </c>
      <c r="F4" s="106" t="s">
        <v>154</v>
      </c>
      <c r="G4" s="106" t="s">
        <v>155</v>
      </c>
      <c r="H4" s="107" t="s">
        <v>156</v>
      </c>
    </row>
    <row r="5" spans="1:8" x14ac:dyDescent="0.45">
      <c r="A5" s="104" t="s">
        <v>94</v>
      </c>
      <c r="B5" s="108"/>
      <c r="C5" s="108"/>
      <c r="D5" s="108"/>
      <c r="E5" s="109">
        <f>'P&amp;L'!E15</f>
        <v>3912365.5774570033</v>
      </c>
      <c r="F5" s="109">
        <f>'P&amp;L'!F15</f>
        <v>4722917.1697847312</v>
      </c>
      <c r="G5" s="109">
        <f>'P&amp;L'!G15</f>
        <v>5412609.8917121775</v>
      </c>
      <c r="H5" s="109">
        <f>'P&amp;L'!H15</f>
        <v>6015083.7570633627</v>
      </c>
    </row>
    <row r="6" spans="1:8" x14ac:dyDescent="0.45">
      <c r="A6" s="104" t="s">
        <v>95</v>
      </c>
      <c r="B6" s="108"/>
      <c r="C6" s="108"/>
      <c r="D6" s="108"/>
      <c r="E6" s="109">
        <f>E5*E7</f>
        <v>-535557.75068915717</v>
      </c>
      <c r="F6" s="109">
        <f t="shared" ref="F6:H6" si="0">F5*F7</f>
        <v>-646512.92065226461</v>
      </c>
      <c r="G6" s="109">
        <f t="shared" si="0"/>
        <v>-740923.90436770569</v>
      </c>
      <c r="H6" s="109">
        <f t="shared" si="0"/>
        <v>-823395.63196791837</v>
      </c>
    </row>
    <row r="7" spans="1:8" x14ac:dyDescent="0.45">
      <c r="A7" s="112" t="s">
        <v>96</v>
      </c>
      <c r="B7" s="108"/>
      <c r="C7" s="108"/>
      <c r="D7" s="108"/>
      <c r="E7" s="109">
        <f>'P&amp;L'!E20</f>
        <v>-0.13688847324877654</v>
      </c>
      <c r="F7" s="109">
        <f>'P&amp;L'!F20</f>
        <v>-0.13688847324877654</v>
      </c>
      <c r="G7" s="109">
        <f>'P&amp;L'!G20</f>
        <v>-0.13688847324877654</v>
      </c>
      <c r="H7" s="109">
        <f>'P&amp;L'!H20</f>
        <v>-0.13688847324877654</v>
      </c>
    </row>
    <row r="8" spans="1:8" x14ac:dyDescent="0.45">
      <c r="A8" s="113" t="s">
        <v>97</v>
      </c>
      <c r="B8" s="108"/>
      <c r="C8" s="108"/>
      <c r="D8" s="108"/>
      <c r="E8" s="109">
        <f>E5+E6</f>
        <v>3376807.826767846</v>
      </c>
      <c r="F8" s="109">
        <f t="shared" ref="F8:H8" si="1">F5+F6</f>
        <v>4076404.2491324665</v>
      </c>
      <c r="G8" s="109">
        <f t="shared" si="1"/>
        <v>4671685.9873444717</v>
      </c>
      <c r="H8" s="109">
        <f t="shared" si="1"/>
        <v>5191688.1250954447</v>
      </c>
    </row>
    <row r="9" spans="1:8" x14ac:dyDescent="0.45">
      <c r="A9" s="104" t="s">
        <v>98</v>
      </c>
      <c r="B9" s="108"/>
      <c r="C9" s="108"/>
      <c r="D9" s="108"/>
      <c r="E9" s="109">
        <f>Schedules!E16</f>
        <v>10579850.30949006</v>
      </c>
      <c r="F9" s="109">
        <f>Schedules!F16</f>
        <v>10895629.69539175</v>
      </c>
      <c r="G9" s="109">
        <f>Schedules!G16</f>
        <v>11121285.624228006</v>
      </c>
      <c r="H9" s="109">
        <f>Schedules!H16</f>
        <v>11282539.33644723</v>
      </c>
    </row>
    <row r="10" spans="1:8" x14ac:dyDescent="0.45">
      <c r="A10" s="110" t="s">
        <v>99</v>
      </c>
      <c r="B10" s="108"/>
      <c r="C10" s="108"/>
      <c r="D10" s="108"/>
      <c r="E10" s="109">
        <f>Schedules!E6</f>
        <v>186714.86806745233</v>
      </c>
      <c r="F10" s="109">
        <f>Schedules!F6</f>
        <v>214240.79180566277</v>
      </c>
      <c r="G10" s="109">
        <f>Schedules!G6</f>
        <v>235565.4695895089</v>
      </c>
      <c r="H10" s="109">
        <f>Schedules!H6</f>
        <v>252342.11800147456</v>
      </c>
    </row>
    <row r="11" spans="1:8" x14ac:dyDescent="0.45">
      <c r="A11" s="113" t="s">
        <v>100</v>
      </c>
      <c r="B11" s="108"/>
      <c r="C11" s="108"/>
      <c r="D11" s="108"/>
      <c r="E11" s="109">
        <f>E8+E9+E10</f>
        <v>14143373.004325358</v>
      </c>
      <c r="F11" s="109">
        <f t="shared" ref="F11:H11" si="2">F8+F9+F10</f>
        <v>15186274.73632988</v>
      </c>
      <c r="G11" s="109">
        <f t="shared" si="2"/>
        <v>16028537.081161987</v>
      </c>
      <c r="H11" s="109">
        <f t="shared" si="2"/>
        <v>16726569.579544147</v>
      </c>
    </row>
    <row r="12" spans="1:8" x14ac:dyDescent="0.45">
      <c r="A12" s="104" t="s">
        <v>101</v>
      </c>
      <c r="B12" s="108"/>
      <c r="C12" s="108"/>
      <c r="D12" s="108"/>
      <c r="E12" s="109">
        <f>'Other Items'!E19-'Other Items'!D19</f>
        <v>106029.8545602411</v>
      </c>
      <c r="F12" s="109">
        <f>'Other Items'!F19-'Other Items'!E19</f>
        <v>127504.66725003382</v>
      </c>
      <c r="G12" s="109">
        <f>'Other Items'!G19-'Other Items'!F19</f>
        <v>125486.01603338437</v>
      </c>
      <c r="H12" s="109">
        <f>'Other Items'!H19-'Other Items'!G19</f>
        <v>125030.58140093717</v>
      </c>
    </row>
    <row r="13" spans="1:8" x14ac:dyDescent="0.45">
      <c r="A13" s="104" t="s">
        <v>69</v>
      </c>
      <c r="B13" s="108"/>
      <c r="C13" s="108"/>
      <c r="D13" s="108"/>
      <c r="E13" s="109">
        <f>'Other Items'!E25-'Other Items'!D25</f>
        <v>207098.69203451904</v>
      </c>
      <c r="F13" s="109">
        <f>'Other Items'!F25-'Other Items'!E25</f>
        <v>209490.30916048912</v>
      </c>
      <c r="G13" s="109">
        <f>'Other Items'!G25-'Other Items'!F25</f>
        <v>214036.68943940802</v>
      </c>
      <c r="H13" s="109">
        <f>'Other Items'!H25-'Other Items'!G25</f>
        <v>222378.66082998109</v>
      </c>
    </row>
    <row r="14" spans="1:8" x14ac:dyDescent="0.45">
      <c r="A14" s="104" t="s">
        <v>102</v>
      </c>
      <c r="B14" s="108"/>
      <c r="C14" s="108"/>
      <c r="D14" s="108"/>
      <c r="E14" s="109"/>
    </row>
    <row r="15" spans="1:8" x14ac:dyDescent="0.45">
      <c r="A15" s="114" t="s">
        <v>103</v>
      </c>
      <c r="B15" s="108"/>
      <c r="C15" s="108"/>
      <c r="D15" s="108"/>
      <c r="E15" s="109">
        <f>'Other Items'!E22-'Other Items'!D22</f>
        <v>9480.5673939133994</v>
      </c>
      <c r="F15" s="109">
        <f>'Other Items'!F22-'Other Items'!E22</f>
        <v>286833.38523342973</v>
      </c>
      <c r="G15" s="109">
        <f>'Other Items'!G22-'Other Items'!F22</f>
        <v>194870.76027765172</v>
      </c>
      <c r="H15" s="109">
        <f>'Other Items'!H22-'Other Items'!G22</f>
        <v>154748.47472923994</v>
      </c>
    </row>
    <row r="16" spans="1:8" x14ac:dyDescent="0.45">
      <c r="A16" s="110" t="s">
        <v>104</v>
      </c>
      <c r="B16" s="108"/>
      <c r="C16" s="108"/>
      <c r="D16" s="108"/>
      <c r="E16" s="109">
        <f>-('Other Items'!E16-'Other Items'!D16)</f>
        <v>-227107.35170919797</v>
      </c>
      <c r="F16" s="109">
        <f>-('Other Items'!F16-'Other Items'!E16)</f>
        <v>-310802.6843263281</v>
      </c>
      <c r="G16" s="109">
        <f>-('Other Items'!G16-'Other Items'!F16)</f>
        <v>-296535.60697477218</v>
      </c>
      <c r="H16" s="109">
        <f>-('Other Items'!H16-'Other Items'!G16)</f>
        <v>-288133.91312405653</v>
      </c>
    </row>
    <row r="17" spans="1:8" x14ac:dyDescent="0.45">
      <c r="A17" s="113" t="s">
        <v>105</v>
      </c>
      <c r="B17" s="108"/>
      <c r="C17" s="108"/>
      <c r="D17" s="108"/>
      <c r="E17" s="109">
        <f>SUM(E12:E16)</f>
        <v>95501.762279475573</v>
      </c>
      <c r="F17" s="109">
        <f t="shared" ref="F17:H17" si="3">SUM(F12:F16)</f>
        <v>313025.67731762456</v>
      </c>
      <c r="G17" s="109">
        <f t="shared" si="3"/>
        <v>237857.85877567192</v>
      </c>
      <c r="H17" s="109">
        <f t="shared" si="3"/>
        <v>214023.80383610167</v>
      </c>
    </row>
    <row r="18" spans="1:8" x14ac:dyDescent="0.45">
      <c r="A18" s="104" t="s">
        <v>76</v>
      </c>
      <c r="B18" s="108"/>
      <c r="C18" s="108"/>
      <c r="D18" s="108"/>
      <c r="E18" s="109">
        <f>Schedules!E15</f>
        <v>11686295</v>
      </c>
      <c r="F18" s="109">
        <f>Schedules!F15</f>
        <v>11686295</v>
      </c>
      <c r="G18" s="109">
        <f>Schedules!G15</f>
        <v>11686295</v>
      </c>
      <c r="H18" s="109">
        <f>Schedules!H15</f>
        <v>11686295</v>
      </c>
    </row>
    <row r="19" spans="1:8" x14ac:dyDescent="0.45">
      <c r="A19" s="110" t="s">
        <v>70</v>
      </c>
      <c r="B19" s="108"/>
      <c r="C19" s="108"/>
      <c r="D19" s="108"/>
      <c r="E19" s="109">
        <f>Schedules!E5</f>
        <v>510672</v>
      </c>
      <c r="F19" s="109">
        <f>Schedules!F5</f>
        <v>510672</v>
      </c>
      <c r="G19" s="109">
        <f>Schedules!G5</f>
        <v>510672</v>
      </c>
      <c r="H19" s="109">
        <f>Schedules!H5</f>
        <v>510672</v>
      </c>
    </row>
    <row r="20" spans="1:8" x14ac:dyDescent="0.45">
      <c r="A20" s="113" t="s">
        <v>106</v>
      </c>
      <c r="B20" s="108"/>
      <c r="C20" s="108"/>
      <c r="D20" s="108"/>
      <c r="E20" s="109">
        <f>-(E18+E19)</f>
        <v>-12196967</v>
      </c>
      <c r="F20" s="109">
        <f t="shared" ref="F20:H20" si="4">-(F18+F19)</f>
        <v>-12196967</v>
      </c>
      <c r="G20" s="109">
        <f t="shared" si="4"/>
        <v>-12196967</v>
      </c>
      <c r="H20" s="109">
        <f t="shared" si="4"/>
        <v>-12196967</v>
      </c>
    </row>
    <row r="21" spans="1:8" x14ac:dyDescent="0.45">
      <c r="A21" s="115" t="s">
        <v>107</v>
      </c>
      <c r="B21" s="108"/>
      <c r="C21" s="108"/>
      <c r="D21" s="108"/>
      <c r="E21" s="109"/>
    </row>
    <row r="22" spans="1:8" x14ac:dyDescent="0.45">
      <c r="A22" s="116" t="s">
        <v>108</v>
      </c>
      <c r="B22" s="108"/>
      <c r="C22" s="108"/>
      <c r="D22" s="108"/>
      <c r="E22" s="111">
        <f>E20+E17+E11</f>
        <v>2041907.7666048333</v>
      </c>
      <c r="F22" s="111">
        <f t="shared" ref="F22:H22" si="5">F20+F17+F11</f>
        <v>3302333.4136475045</v>
      </c>
      <c r="G22" s="111">
        <f t="shared" si="5"/>
        <v>4069427.9399376586</v>
      </c>
      <c r="H22" s="111">
        <f t="shared" si="5"/>
        <v>4743626.3833802491</v>
      </c>
    </row>
    <row r="23" spans="1:8" x14ac:dyDescent="0.45">
      <c r="A23" s="117" t="s">
        <v>109</v>
      </c>
      <c r="B23" s="108"/>
      <c r="C23" s="108"/>
      <c r="D23" s="108"/>
      <c r="E23" s="109">
        <f>Schedules!E24</f>
        <v>-500000</v>
      </c>
      <c r="F23" s="109">
        <f>Schedules!F24</f>
        <v>-700000</v>
      </c>
      <c r="G23" s="109">
        <f>Schedules!G24</f>
        <v>0</v>
      </c>
      <c r="H23" s="109">
        <f>Schedules!H24</f>
        <v>-400000</v>
      </c>
    </row>
    <row r="24" spans="1:8" x14ac:dyDescent="0.45">
      <c r="A24" s="118" t="s">
        <v>83</v>
      </c>
      <c r="B24" s="108"/>
      <c r="C24" s="108"/>
      <c r="D24" s="108"/>
      <c r="E24" s="109">
        <f>Schedules!E27</f>
        <v>-688909.27500000002</v>
      </c>
      <c r="F24" s="109">
        <f>Schedules!F27</f>
        <v>-657409.27500000002</v>
      </c>
      <c r="G24" s="109">
        <f>Schedules!G27</f>
        <v>-657409.27500000002</v>
      </c>
      <c r="H24" s="109">
        <f>Schedules!H27</f>
        <v>-639409.27500000002</v>
      </c>
    </row>
    <row r="25" spans="1:8" x14ac:dyDescent="0.45">
      <c r="A25" s="118" t="s">
        <v>110</v>
      </c>
      <c r="B25" s="108"/>
      <c r="C25" s="108"/>
      <c r="D25" s="108"/>
      <c r="E25" s="109">
        <f>'P&amp;L'!E19 - E6</f>
        <v>94303.738861671533</v>
      </c>
      <c r="F25" s="109">
        <f>'P&amp;L'!F19 - F6</f>
        <v>89991.751954335137</v>
      </c>
      <c r="G25" s="109">
        <f>'P&amp;L'!G19 - G6</f>
        <v>89991.751954335137</v>
      </c>
      <c r="H25" s="109">
        <f>'P&amp;L'!H19 - H6</f>
        <v>87527.759435857064</v>
      </c>
    </row>
    <row r="26" spans="1:8" x14ac:dyDescent="0.45">
      <c r="A26" s="119" t="s">
        <v>111</v>
      </c>
      <c r="B26" s="108"/>
      <c r="C26" s="108"/>
      <c r="D26" s="108"/>
      <c r="E26" s="109">
        <f>E22+E23+E24+E25</f>
        <v>947302.23046650481</v>
      </c>
      <c r="F26" s="109">
        <f t="shared" ref="F26:H26" si="6">F22+F23+F24+F25</f>
        <v>2034915.8906018399</v>
      </c>
      <c r="G26" s="109">
        <f t="shared" si="6"/>
        <v>3502010.416891994</v>
      </c>
      <c r="H26" s="109">
        <f t="shared" si="6"/>
        <v>3791744.8678161064</v>
      </c>
    </row>
    <row r="27" spans="1:8" x14ac:dyDescent="0.45">
      <c r="A27" s="120"/>
      <c r="B27" s="108"/>
      <c r="C27" s="108"/>
      <c r="D27" s="108"/>
      <c r="E27" s="109"/>
    </row>
    <row r="28" spans="1:8" x14ac:dyDescent="0.45">
      <c r="A28" s="118"/>
      <c r="B28" s="108"/>
      <c r="C28" s="108"/>
      <c r="D28" s="108"/>
      <c r="E28" s="109"/>
    </row>
    <row r="29" spans="1:8" x14ac:dyDescent="0.45">
      <c r="A29" s="104" t="s">
        <v>112</v>
      </c>
      <c r="B29" s="108"/>
      <c r="C29" s="108"/>
      <c r="D29" s="108"/>
      <c r="E29" s="109"/>
    </row>
    <row r="30" spans="1:8" x14ac:dyDescent="0.45">
      <c r="A30" s="104" t="s">
        <v>114</v>
      </c>
      <c r="B30" s="108"/>
      <c r="C30" s="108"/>
      <c r="D30" s="108"/>
      <c r="E30" s="109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8"/>
  <sheetViews>
    <sheetView zoomScale="80" zoomScaleNormal="55" workbookViewId="0">
      <selection activeCell="S19" sqref="S19"/>
    </sheetView>
  </sheetViews>
  <sheetFormatPr defaultRowHeight="14.5" x14ac:dyDescent="0.35"/>
  <cols>
    <col min="1" max="1" width="18.6328125" bestFit="1" customWidth="1"/>
    <col min="2" max="2" width="14.453125" bestFit="1" customWidth="1"/>
  </cols>
  <sheetData>
    <row r="1" spans="1:2" x14ac:dyDescent="0.35">
      <c r="A1" t="s">
        <v>145</v>
      </c>
      <c r="B1" t="s">
        <v>146</v>
      </c>
    </row>
    <row r="2" spans="1:2" x14ac:dyDescent="0.35">
      <c r="A2" s="36" t="s">
        <v>115</v>
      </c>
      <c r="B2" s="36"/>
    </row>
    <row r="3" spans="1:2" x14ac:dyDescent="0.35">
      <c r="A3" s="36"/>
      <c r="B3" s="36"/>
    </row>
    <row r="4" spans="1:2" x14ac:dyDescent="0.35">
      <c r="A4" s="36" t="s">
        <v>116</v>
      </c>
      <c r="B4" s="36">
        <v>1.67E-2</v>
      </c>
    </row>
    <row r="5" spans="1:2" x14ac:dyDescent="0.35">
      <c r="A5" s="36" t="s">
        <v>117</v>
      </c>
      <c r="B5" s="36">
        <v>5.5E-2</v>
      </c>
    </row>
    <row r="6" spans="1:2" x14ac:dyDescent="0.35">
      <c r="A6" s="36" t="s">
        <v>118</v>
      </c>
      <c r="B6" s="36">
        <v>1.0580000000000001</v>
      </c>
    </row>
    <row r="7" spans="1:2" x14ac:dyDescent="0.35">
      <c r="A7" s="36"/>
      <c r="B7" s="36"/>
    </row>
    <row r="8" spans="1:2" x14ac:dyDescent="0.35">
      <c r="A8" s="122" t="s">
        <v>1</v>
      </c>
      <c r="B8" s="36" t="s">
        <v>119</v>
      </c>
    </row>
    <row r="9" spans="1:2" x14ac:dyDescent="0.35">
      <c r="A9" s="36"/>
      <c r="B9" s="36"/>
    </row>
    <row r="10" spans="1:2" x14ac:dyDescent="0.35">
      <c r="A10" s="36" t="s">
        <v>120</v>
      </c>
      <c r="B10" s="43">
        <f>B4*B6+B5</f>
        <v>7.26686E-2</v>
      </c>
    </row>
    <row r="11" spans="1:2" x14ac:dyDescent="0.35">
      <c r="A11" s="36" t="s">
        <v>122</v>
      </c>
      <c r="B11" s="43">
        <v>4.8750000000000002E-2</v>
      </c>
    </row>
    <row r="12" spans="1:2" x14ac:dyDescent="0.35">
      <c r="A12" s="36"/>
      <c r="B12" s="36"/>
    </row>
    <row r="13" spans="1:2" x14ac:dyDescent="0.35">
      <c r="A13" s="36" t="s">
        <v>123</v>
      </c>
      <c r="B13" s="36">
        <f>'Balance Sheet'!H31</f>
        <v>26100503.542992536</v>
      </c>
    </row>
    <row r="14" spans="1:2" x14ac:dyDescent="0.35">
      <c r="A14" s="36" t="s">
        <v>124</v>
      </c>
      <c r="B14" s="36">
        <f>'Balance Sheet'!H23</f>
        <v>14209095</v>
      </c>
    </row>
    <row r="15" spans="1:2" x14ac:dyDescent="0.35">
      <c r="A15" s="36"/>
      <c r="B15" s="36"/>
    </row>
    <row r="16" spans="1:2" x14ac:dyDescent="0.35">
      <c r="A16" s="36" t="s">
        <v>125</v>
      </c>
      <c r="B16" s="40">
        <f>B13/(B13+B14)</f>
        <v>0.64750095477023495</v>
      </c>
    </row>
    <row r="17" spans="1:6" x14ac:dyDescent="0.35">
      <c r="A17" s="36" t="s">
        <v>126</v>
      </c>
      <c r="B17" s="40">
        <f>B14/(B14+B13)</f>
        <v>0.35249904522976516</v>
      </c>
    </row>
    <row r="18" spans="1:6" x14ac:dyDescent="0.35">
      <c r="A18" s="36"/>
      <c r="B18" s="43"/>
    </row>
    <row r="19" spans="1:6" x14ac:dyDescent="0.35">
      <c r="A19" s="36" t="s">
        <v>115</v>
      </c>
      <c r="B19" s="40">
        <f>B10*B16+B11*B17</f>
        <v>6.4237316336767353E-2</v>
      </c>
    </row>
    <row r="28" spans="1:6" x14ac:dyDescent="0.35">
      <c r="F28" t="s">
        <v>121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P&amp;L Input</vt:lpstr>
      <vt:lpstr>Balance Sheet Input</vt:lpstr>
      <vt:lpstr>Revenue Modelling</vt:lpstr>
      <vt:lpstr>Other Items</vt:lpstr>
      <vt:lpstr>Schedules</vt:lpstr>
      <vt:lpstr>P&amp;L</vt:lpstr>
      <vt:lpstr>Balance Sheet</vt:lpstr>
      <vt:lpstr>Cashflow statements</vt:lpstr>
      <vt:lpstr>WACC</vt:lpstr>
      <vt:lpstr>DCF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Chauhan</dc:creator>
  <cp:lastModifiedBy>Advait Iyer</cp:lastModifiedBy>
  <dcterms:created xsi:type="dcterms:W3CDTF">2021-11-01T12:20:11Z</dcterms:created>
  <dcterms:modified xsi:type="dcterms:W3CDTF">2024-08-20T16:02:47Z</dcterms:modified>
</cp:coreProperties>
</file>