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E221824-B16F-41CE-A64A-A4F8B26C1D1B}" xr6:coauthVersionLast="47" xr6:coauthVersionMax="47" xr10:uidLastSave="{00000000-0000-0000-0000-000000000000}"/>
  <bookViews>
    <workbookView xWindow="-120" yWindow="-120" windowWidth="29040" windowHeight="15720" tabRatio="541" firstSheet="1" activeTab="2" xr2:uid="{00000000-000D-0000-FFFF-FFFF00000000}"/>
  </bookViews>
  <sheets>
    <sheet name="23년 12월 급여 시뮬레이션" sheetId="11" state="hidden" r:id="rId1"/>
    <sheet name="2408" sheetId="12" r:id="rId2"/>
    <sheet name="2409" sheetId="9" r:id="rId3"/>
  </sheets>
  <definedNames>
    <definedName name="_xlnm._FilterDatabase" localSheetId="0" hidden="1">'23년 12월 급여 시뮬레이션'!$A$7:$DR$48</definedName>
    <definedName name="_xlnm._FilterDatabase" localSheetId="1" hidden="1">'2408'!$A$6:$DP$8</definedName>
    <definedName name="_xlnm._FilterDatabase" localSheetId="2" hidden="1">'2409'!$A$6:$DP$8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8" i="9" l="1"/>
  <c r="CN8" i="9"/>
  <c r="T8" i="9"/>
  <c r="S8" i="9"/>
  <c r="DN8" i="12" l="1"/>
  <c r="DF8" i="12"/>
  <c r="CR8" i="12"/>
  <c r="DB8" i="12" s="1"/>
  <c r="CP8" i="12"/>
  <c r="BQ8" i="12"/>
  <c r="BP8" i="12"/>
  <c r="AJ8" i="12"/>
  <c r="CG8" i="12" s="1"/>
  <c r="AH8" i="12"/>
  <c r="AS8" i="12" s="1"/>
  <c r="AG8" i="12"/>
  <c r="AB8" i="12"/>
  <c r="AE8" i="12" s="1"/>
  <c r="AA8" i="12"/>
  <c r="S8" i="12"/>
  <c r="J8" i="12"/>
  <c r="J8" i="9"/>
  <c r="AI8" i="12" l="1"/>
  <c r="AX8" i="12"/>
  <c r="BD8" i="12"/>
  <c r="BB8" i="12"/>
  <c r="AZ8" i="12"/>
  <c r="BF8" i="12"/>
  <c r="AV8" i="12"/>
  <c r="CS8" i="12"/>
  <c r="BH8" i="12"/>
  <c r="CT8" i="12"/>
  <c r="BJ8" i="12"/>
  <c r="CU8" i="12"/>
  <c r="BL8" i="12"/>
  <c r="CV8" i="12"/>
  <c r="BN8" i="12"/>
  <c r="CW8" i="12"/>
  <c r="BU8" i="12"/>
  <c r="AK8" i="12"/>
  <c r="AL8" i="12" s="1"/>
  <c r="AM8" i="12" s="1"/>
  <c r="BX8" i="12"/>
  <c r="CA8" i="12"/>
  <c r="CD8" i="12"/>
  <c r="AO8" i="12"/>
  <c r="CJ8" i="12"/>
  <c r="CM8" i="12"/>
  <c r="CX8" i="12"/>
  <c r="BQ8" i="9"/>
  <c r="BR8" i="12" l="1"/>
  <c r="CY8" i="12"/>
  <c r="AT8" i="12"/>
  <c r="CZ8" i="12"/>
  <c r="CO8" i="12"/>
  <c r="CQ8" i="12" s="1"/>
  <c r="DE8" i="12" s="1"/>
  <c r="K8" i="9"/>
  <c r="AT7" i="12" l="1"/>
  <c r="DC8" i="12"/>
  <c r="BP8" i="9"/>
  <c r="DC7" i="12" l="1"/>
  <c r="DG8" i="12"/>
  <c r="DH8" i="12" s="1"/>
  <c r="DI8" i="12" s="1"/>
  <c r="DP8" i="12" s="1"/>
  <c r="CU8" i="9" l="1"/>
  <c r="DB8" i="9"/>
  <c r="AE7" i="11" l="1"/>
  <c r="DL48" i="11"/>
  <c r="CQ48" i="11"/>
  <c r="CU48" i="11" s="1"/>
  <c r="CM48" i="11"/>
  <c r="BP48" i="11"/>
  <c r="BO48" i="11"/>
  <c r="AI48" i="11"/>
  <c r="CC48" i="11" s="1"/>
  <c r="AG48" i="11"/>
  <c r="AR48" i="11" s="1"/>
  <c r="AF48" i="11"/>
  <c r="AD48" i="11"/>
  <c r="AA48" i="11"/>
  <c r="BG48" i="11" s="1"/>
  <c r="L48" i="11"/>
  <c r="AM48" i="11" s="1"/>
  <c r="DL47" i="11"/>
  <c r="CQ47" i="11"/>
  <c r="CM47" i="11"/>
  <c r="BP47" i="11"/>
  <c r="BO47" i="11"/>
  <c r="AI47" i="11"/>
  <c r="AG47" i="11"/>
  <c r="AF47" i="11"/>
  <c r="AD47" i="11"/>
  <c r="AA47" i="11"/>
  <c r="L47" i="11"/>
  <c r="AM47" i="11" s="1"/>
  <c r="DL46" i="11"/>
  <c r="CQ46" i="11"/>
  <c r="CW46" i="11" s="1"/>
  <c r="CM46" i="11"/>
  <c r="BP46" i="11"/>
  <c r="AI46" i="11"/>
  <c r="AG46" i="11"/>
  <c r="BO46" i="11" s="1"/>
  <c r="AF46" i="11"/>
  <c r="AD46" i="11"/>
  <c r="AA46" i="11"/>
  <c r="BG46" i="11" s="1"/>
  <c r="L46" i="11"/>
  <c r="AM46" i="11" s="1"/>
  <c r="DL45" i="11"/>
  <c r="CQ45" i="11"/>
  <c r="CU45" i="11" s="1"/>
  <c r="CM45" i="11"/>
  <c r="BP45" i="11"/>
  <c r="AI45" i="11"/>
  <c r="AG45" i="11"/>
  <c r="AJ45" i="11" s="1"/>
  <c r="AK45" i="11" s="1"/>
  <c r="AL45" i="11" s="1"/>
  <c r="AF45" i="11"/>
  <c r="AD45" i="11"/>
  <c r="AA45" i="11"/>
  <c r="BG45" i="11" s="1"/>
  <c r="L45" i="11"/>
  <c r="AM45" i="11" s="1"/>
  <c r="J45" i="11"/>
  <c r="DL44" i="11"/>
  <c r="CQ44" i="11"/>
  <c r="CU44" i="11" s="1"/>
  <c r="CM44" i="11"/>
  <c r="BP44" i="11"/>
  <c r="AI44" i="11"/>
  <c r="CC44" i="11" s="1"/>
  <c r="AG44" i="11"/>
  <c r="AJ44" i="11" s="1"/>
  <c r="AK44" i="11" s="1"/>
  <c r="AL44" i="11" s="1"/>
  <c r="AF44" i="11"/>
  <c r="AD44" i="11"/>
  <c r="AA44" i="11"/>
  <c r="L44" i="11"/>
  <c r="AM44" i="11" s="1"/>
  <c r="J44" i="11"/>
  <c r="DL43" i="11"/>
  <c r="CQ43" i="11"/>
  <c r="CU43" i="11" s="1"/>
  <c r="CM43" i="11"/>
  <c r="BP43" i="11"/>
  <c r="AI43" i="11"/>
  <c r="CC43" i="11" s="1"/>
  <c r="AG43" i="11"/>
  <c r="AF43" i="11"/>
  <c r="AD43" i="11"/>
  <c r="AA43" i="11"/>
  <c r="L43" i="11"/>
  <c r="AM43" i="11" s="1"/>
  <c r="J43" i="11"/>
  <c r="DL42" i="11"/>
  <c r="CQ42" i="11"/>
  <c r="CU42" i="11" s="1"/>
  <c r="CM42" i="11"/>
  <c r="BP42" i="11"/>
  <c r="AI42" i="11"/>
  <c r="CL42" i="11" s="1"/>
  <c r="AG42" i="11"/>
  <c r="AF42" i="11"/>
  <c r="AD42" i="11"/>
  <c r="AA42" i="11"/>
  <c r="L42" i="11"/>
  <c r="AM42" i="11" s="1"/>
  <c r="J42" i="11"/>
  <c r="DL41" i="11"/>
  <c r="CQ41" i="11"/>
  <c r="CU41" i="11" s="1"/>
  <c r="CM41" i="11"/>
  <c r="BP41" i="11"/>
  <c r="AI41" i="11"/>
  <c r="CC41" i="11" s="1"/>
  <c r="AG41" i="11"/>
  <c r="BO41" i="11" s="1"/>
  <c r="AF41" i="11"/>
  <c r="AD41" i="11"/>
  <c r="AA41" i="11"/>
  <c r="L41" i="11"/>
  <c r="AM41" i="11" s="1"/>
  <c r="J41" i="11"/>
  <c r="DL40" i="11"/>
  <c r="CQ40" i="11"/>
  <c r="CU40" i="11" s="1"/>
  <c r="CM40" i="11"/>
  <c r="BP40" i="11"/>
  <c r="AI40" i="11"/>
  <c r="AG40" i="11"/>
  <c r="BO40" i="11" s="1"/>
  <c r="AF40" i="11"/>
  <c r="AD40" i="11"/>
  <c r="AA40" i="11"/>
  <c r="BG40" i="11" s="1"/>
  <c r="L40" i="11"/>
  <c r="AM40" i="11" s="1"/>
  <c r="J40" i="11"/>
  <c r="DL39" i="11"/>
  <c r="CQ39" i="11"/>
  <c r="CM39" i="11"/>
  <c r="BP39" i="11"/>
  <c r="AI39" i="11"/>
  <c r="AG39" i="11"/>
  <c r="AF39" i="11"/>
  <c r="AD39" i="11"/>
  <c r="AA39" i="11"/>
  <c r="BG39" i="11" s="1"/>
  <c r="L39" i="11"/>
  <c r="AM39" i="11" s="1"/>
  <c r="J39" i="11"/>
  <c r="DL38" i="11"/>
  <c r="CQ38" i="11"/>
  <c r="CU38" i="11" s="1"/>
  <c r="CM38" i="11"/>
  <c r="BP38" i="11"/>
  <c r="AI38" i="11"/>
  <c r="BT38" i="11" s="1"/>
  <c r="AG38" i="11"/>
  <c r="BO38" i="11" s="1"/>
  <c r="AF38" i="11"/>
  <c r="AD38" i="11"/>
  <c r="AA38" i="11"/>
  <c r="BG38" i="11" s="1"/>
  <c r="L38" i="11"/>
  <c r="AM38" i="11" s="1"/>
  <c r="J38" i="11"/>
  <c r="DL37" i="11"/>
  <c r="CQ37" i="11"/>
  <c r="CM37" i="11"/>
  <c r="BP37" i="11"/>
  <c r="AI37" i="11"/>
  <c r="AG37" i="11"/>
  <c r="BO37" i="11" s="1"/>
  <c r="AF37" i="11"/>
  <c r="AD37" i="11"/>
  <c r="AA37" i="11"/>
  <c r="L37" i="11"/>
  <c r="AM37" i="11" s="1"/>
  <c r="DL36" i="11"/>
  <c r="CQ36" i="11"/>
  <c r="CM36" i="11"/>
  <c r="BP36" i="11"/>
  <c r="BO36" i="11"/>
  <c r="AI36" i="11"/>
  <c r="BZ36" i="11" s="1"/>
  <c r="AG36" i="11"/>
  <c r="AR36" i="11" s="1"/>
  <c r="AF36" i="11"/>
  <c r="AD36" i="11"/>
  <c r="AA36" i="11"/>
  <c r="BG36" i="11" s="1"/>
  <c r="L36" i="11"/>
  <c r="AM36" i="11" s="1"/>
  <c r="DL35" i="11"/>
  <c r="CQ35" i="11"/>
  <c r="DA35" i="11" s="1"/>
  <c r="CM35" i="11"/>
  <c r="BP35" i="11"/>
  <c r="AI35" i="11"/>
  <c r="CI35" i="11" s="1"/>
  <c r="AG35" i="11"/>
  <c r="AR35" i="11" s="1"/>
  <c r="AF35" i="11"/>
  <c r="AD35" i="11"/>
  <c r="AA35" i="11"/>
  <c r="L35" i="11"/>
  <c r="AM35" i="11" s="1"/>
  <c r="DL34" i="11"/>
  <c r="CQ34" i="11"/>
  <c r="CM34" i="11"/>
  <c r="BP34" i="11"/>
  <c r="AI34" i="11"/>
  <c r="CO34" i="11" s="1"/>
  <c r="AG34" i="11"/>
  <c r="BO34" i="11" s="1"/>
  <c r="AF34" i="11"/>
  <c r="AD34" i="11"/>
  <c r="AA34" i="11"/>
  <c r="L34" i="11"/>
  <c r="AM34" i="11" s="1"/>
  <c r="DL33" i="11"/>
  <c r="CQ33" i="11"/>
  <c r="CU33" i="11" s="1"/>
  <c r="CM33" i="11"/>
  <c r="BP33" i="11"/>
  <c r="BO33" i="11"/>
  <c r="AI33" i="11"/>
  <c r="CC33" i="11" s="1"/>
  <c r="AG33" i="11"/>
  <c r="AJ33" i="11" s="1"/>
  <c r="AK33" i="11" s="1"/>
  <c r="AL33" i="11" s="1"/>
  <c r="AF33" i="11"/>
  <c r="AD33" i="11"/>
  <c r="AA33" i="11"/>
  <c r="BG33" i="11" s="1"/>
  <c r="L33" i="11"/>
  <c r="AM33" i="11" s="1"/>
  <c r="DL32" i="11"/>
  <c r="CQ32" i="11"/>
  <c r="CU32" i="11" s="1"/>
  <c r="CM32" i="11"/>
  <c r="BP32" i="11"/>
  <c r="AI32" i="11"/>
  <c r="CC32" i="11" s="1"/>
  <c r="AG32" i="11"/>
  <c r="AF32" i="11"/>
  <c r="AD32" i="11"/>
  <c r="AA32" i="11"/>
  <c r="BG32" i="11" s="1"/>
  <c r="L32" i="11"/>
  <c r="AM32" i="11" s="1"/>
  <c r="DL31" i="11"/>
  <c r="CQ31" i="11"/>
  <c r="CM31" i="11"/>
  <c r="BP31" i="11"/>
  <c r="AI31" i="11"/>
  <c r="CC31" i="11" s="1"/>
  <c r="AG31" i="11"/>
  <c r="BO31" i="11" s="1"/>
  <c r="AF31" i="11"/>
  <c r="AD31" i="11"/>
  <c r="AA31" i="11"/>
  <c r="L31" i="11"/>
  <c r="AM31" i="11" s="1"/>
  <c r="DL30" i="11"/>
  <c r="CQ30" i="11"/>
  <c r="CM30" i="11"/>
  <c r="BP30" i="11"/>
  <c r="AI30" i="11"/>
  <c r="CO30" i="11" s="1"/>
  <c r="AG30" i="11"/>
  <c r="BO30" i="11" s="1"/>
  <c r="AF30" i="11"/>
  <c r="AD30" i="11"/>
  <c r="AA30" i="11"/>
  <c r="BG30" i="11" s="1"/>
  <c r="L30" i="11"/>
  <c r="AM30" i="11" s="1"/>
  <c r="DL29" i="11"/>
  <c r="CQ29" i="11"/>
  <c r="CV29" i="11" s="1"/>
  <c r="CM29" i="11"/>
  <c r="BP29" i="11"/>
  <c r="BO29" i="11"/>
  <c r="AI29" i="11"/>
  <c r="CC29" i="11" s="1"/>
  <c r="AG29" i="11"/>
  <c r="AF29" i="11"/>
  <c r="AD29" i="11"/>
  <c r="AA29" i="11"/>
  <c r="L29" i="11"/>
  <c r="AM29" i="11" s="1"/>
  <c r="DL28" i="11"/>
  <c r="CQ28" i="11"/>
  <c r="CU28" i="11" s="1"/>
  <c r="CM28" i="11"/>
  <c r="BP28" i="11"/>
  <c r="AI28" i="11"/>
  <c r="CC28" i="11" s="1"/>
  <c r="AG28" i="11"/>
  <c r="BO28" i="11" s="1"/>
  <c r="AF28" i="11"/>
  <c r="AD28" i="11"/>
  <c r="AA28" i="11"/>
  <c r="BG28" i="11" s="1"/>
  <c r="L28" i="11"/>
  <c r="AM28" i="11" s="1"/>
  <c r="DL27" i="11"/>
  <c r="CQ27" i="11"/>
  <c r="CV27" i="11" s="1"/>
  <c r="CM27" i="11"/>
  <c r="BP27" i="11"/>
  <c r="AI27" i="11"/>
  <c r="BT27" i="11" s="1"/>
  <c r="AG27" i="11"/>
  <c r="BO27" i="11" s="1"/>
  <c r="AF27" i="11"/>
  <c r="AD27" i="11"/>
  <c r="AA27" i="11"/>
  <c r="L27" i="11"/>
  <c r="AM27" i="11" s="1"/>
  <c r="DL26" i="11"/>
  <c r="CQ26" i="11"/>
  <c r="CU26" i="11" s="1"/>
  <c r="CM26" i="11"/>
  <c r="BP26" i="11"/>
  <c r="BO26" i="11"/>
  <c r="AI26" i="11"/>
  <c r="AG26" i="11"/>
  <c r="AR26" i="11" s="1"/>
  <c r="AF26" i="11"/>
  <c r="AD26" i="11"/>
  <c r="AA26" i="11"/>
  <c r="BG26" i="11" s="1"/>
  <c r="L26" i="11"/>
  <c r="AM26" i="11" s="1"/>
  <c r="DL25" i="11"/>
  <c r="CQ25" i="11"/>
  <c r="CU25" i="11" s="1"/>
  <c r="CM25" i="11"/>
  <c r="BP25" i="11"/>
  <c r="AI25" i="11"/>
  <c r="AG25" i="11"/>
  <c r="AJ25" i="11" s="1"/>
  <c r="AK25" i="11" s="1"/>
  <c r="AL25" i="11" s="1"/>
  <c r="AF25" i="11"/>
  <c r="AD25" i="11"/>
  <c r="AA25" i="11"/>
  <c r="L25" i="11"/>
  <c r="AM25" i="11" s="1"/>
  <c r="J25" i="11"/>
  <c r="DL24" i="11"/>
  <c r="CQ24" i="11"/>
  <c r="CU24" i="11" s="1"/>
  <c r="CM24" i="11"/>
  <c r="BP24" i="11"/>
  <c r="BO24" i="11"/>
  <c r="AI24" i="11"/>
  <c r="CC24" i="11" s="1"/>
  <c r="AG24" i="11"/>
  <c r="AJ24" i="11" s="1"/>
  <c r="AK24" i="11" s="1"/>
  <c r="AL24" i="11" s="1"/>
  <c r="AF24" i="11"/>
  <c r="AD24" i="11"/>
  <c r="AA24" i="11"/>
  <c r="N24" i="11"/>
  <c r="O24" i="11" s="1"/>
  <c r="L24" i="11"/>
  <c r="AM24" i="11" s="1"/>
  <c r="J24" i="11"/>
  <c r="DL23" i="11"/>
  <c r="CQ23" i="11"/>
  <c r="CV23" i="11" s="1"/>
  <c r="CM23" i="11"/>
  <c r="BP23" i="11"/>
  <c r="BO23" i="11"/>
  <c r="AI23" i="11"/>
  <c r="CC23" i="11" s="1"/>
  <c r="AG23" i="11"/>
  <c r="AF23" i="11"/>
  <c r="AD23" i="11"/>
  <c r="AA23" i="11"/>
  <c r="BG23" i="11" s="1"/>
  <c r="L23" i="11"/>
  <c r="AM23" i="11" s="1"/>
  <c r="J23" i="11"/>
  <c r="DL22" i="11"/>
  <c r="CQ22" i="11"/>
  <c r="CU22" i="11" s="1"/>
  <c r="CM22" i="11"/>
  <c r="BP22" i="11"/>
  <c r="AI22" i="11"/>
  <c r="CC22" i="11" s="1"/>
  <c r="AG22" i="11"/>
  <c r="BO22" i="11" s="1"/>
  <c r="AF22" i="11"/>
  <c r="AD22" i="11"/>
  <c r="AA22" i="11"/>
  <c r="BG22" i="11" s="1"/>
  <c r="L22" i="11"/>
  <c r="AM22" i="11" s="1"/>
  <c r="J22" i="11"/>
  <c r="DL21" i="11"/>
  <c r="CQ21" i="11"/>
  <c r="CU21" i="11" s="1"/>
  <c r="CM21" i="11"/>
  <c r="BP21" i="11"/>
  <c r="AI21" i="11"/>
  <c r="CF21" i="11" s="1"/>
  <c r="AG21" i="11"/>
  <c r="BO21" i="11" s="1"/>
  <c r="AF21" i="11"/>
  <c r="AD21" i="11"/>
  <c r="AA21" i="11"/>
  <c r="BG21" i="11" s="1"/>
  <c r="L21" i="11"/>
  <c r="AM21" i="11" s="1"/>
  <c r="J21" i="11"/>
  <c r="DL20" i="11"/>
  <c r="CQ20" i="11"/>
  <c r="CU20" i="11" s="1"/>
  <c r="CM20" i="11"/>
  <c r="BP20" i="11"/>
  <c r="BO20" i="11"/>
  <c r="AI20" i="11"/>
  <c r="CC20" i="11" s="1"/>
  <c r="AG20" i="11"/>
  <c r="AR20" i="11" s="1"/>
  <c r="AF20" i="11"/>
  <c r="AD20" i="11"/>
  <c r="AA20" i="11"/>
  <c r="L20" i="11"/>
  <c r="AM20" i="11" s="1"/>
  <c r="DL19" i="11"/>
  <c r="CQ19" i="11"/>
  <c r="CM19" i="11"/>
  <c r="BP19" i="11"/>
  <c r="AI19" i="11"/>
  <c r="AG19" i="11"/>
  <c r="BO19" i="11" s="1"/>
  <c r="AF19" i="11"/>
  <c r="AD19" i="11"/>
  <c r="AA19" i="11"/>
  <c r="BG19" i="11" s="1"/>
  <c r="L19" i="11"/>
  <c r="AM19" i="11" s="1"/>
  <c r="DL18" i="11"/>
  <c r="CQ18" i="11"/>
  <c r="CW18" i="11" s="1"/>
  <c r="CM18" i="11"/>
  <c r="BP18" i="11"/>
  <c r="AI18" i="11"/>
  <c r="BZ18" i="11" s="1"/>
  <c r="AG18" i="11"/>
  <c r="BO18" i="11" s="1"/>
  <c r="AF18" i="11"/>
  <c r="AD18" i="11"/>
  <c r="AA18" i="11"/>
  <c r="BG18" i="11" s="1"/>
  <c r="L18" i="11"/>
  <c r="AM18" i="11" s="1"/>
  <c r="DL17" i="11"/>
  <c r="CQ17" i="11"/>
  <c r="DA17" i="11" s="1"/>
  <c r="CM17" i="11"/>
  <c r="BP17" i="11"/>
  <c r="BO17" i="11"/>
  <c r="AI17" i="11"/>
  <c r="CF17" i="11" s="1"/>
  <c r="AG17" i="11"/>
  <c r="AJ17" i="11" s="1"/>
  <c r="AK17" i="11" s="1"/>
  <c r="AL17" i="11" s="1"/>
  <c r="AF17" i="11"/>
  <c r="AD17" i="11"/>
  <c r="AA17" i="11"/>
  <c r="BG17" i="11" s="1"/>
  <c r="L17" i="11"/>
  <c r="AM17" i="11" s="1"/>
  <c r="J17" i="11"/>
  <c r="DL16" i="11"/>
  <c r="CQ16" i="11"/>
  <c r="DA16" i="11" s="1"/>
  <c r="CM16" i="11"/>
  <c r="BP16" i="11"/>
  <c r="BO16" i="11"/>
  <c r="AI16" i="11"/>
  <c r="CF16" i="11" s="1"/>
  <c r="AG16" i="11"/>
  <c r="AJ16" i="11" s="1"/>
  <c r="AK16" i="11" s="1"/>
  <c r="AL16" i="11" s="1"/>
  <c r="AF16" i="11"/>
  <c r="AD16" i="11"/>
  <c r="AA16" i="11"/>
  <c r="L16" i="11"/>
  <c r="AM16" i="11" s="1"/>
  <c r="J16" i="11"/>
  <c r="DL15" i="11"/>
  <c r="CQ15" i="11"/>
  <c r="DA15" i="11" s="1"/>
  <c r="CM15" i="11"/>
  <c r="BP15" i="11"/>
  <c r="BO15" i="11"/>
  <c r="AI15" i="11"/>
  <c r="CF15" i="11" s="1"/>
  <c r="AG15" i="11"/>
  <c r="AJ15" i="11" s="1"/>
  <c r="AK15" i="11" s="1"/>
  <c r="AL15" i="11" s="1"/>
  <c r="AF15" i="11"/>
  <c r="AD15" i="11"/>
  <c r="AA15" i="11"/>
  <c r="BG15" i="11" s="1"/>
  <c r="O15" i="11"/>
  <c r="L15" i="11"/>
  <c r="AM15" i="11" s="1"/>
  <c r="J15" i="11"/>
  <c r="DL14" i="11"/>
  <c r="CQ14" i="11"/>
  <c r="CU14" i="11" s="1"/>
  <c r="CM14" i="11"/>
  <c r="BP14" i="11"/>
  <c r="AI14" i="11"/>
  <c r="AG14" i="11"/>
  <c r="BO14" i="11" s="1"/>
  <c r="AF14" i="11"/>
  <c r="AD14" i="11"/>
  <c r="AA14" i="11"/>
  <c r="BG14" i="11" s="1"/>
  <c r="L14" i="11"/>
  <c r="AM14" i="11" s="1"/>
  <c r="J14" i="11"/>
  <c r="DL13" i="11"/>
  <c r="CQ13" i="11"/>
  <c r="CM13" i="11"/>
  <c r="BP13" i="11"/>
  <c r="AI13" i="11"/>
  <c r="CL13" i="11" s="1"/>
  <c r="AG13" i="11"/>
  <c r="BO13" i="11" s="1"/>
  <c r="AF13" i="11"/>
  <c r="AD13" i="11"/>
  <c r="AA13" i="11"/>
  <c r="BG13" i="11" s="1"/>
  <c r="L13" i="11"/>
  <c r="AM13" i="11" s="1"/>
  <c r="J13" i="11"/>
  <c r="DL12" i="11"/>
  <c r="CQ12" i="11"/>
  <c r="CU12" i="11" s="1"/>
  <c r="CM12" i="11"/>
  <c r="BP12" i="11"/>
  <c r="BO12" i="11"/>
  <c r="AI12" i="11"/>
  <c r="CO12" i="11" s="1"/>
  <c r="AG12" i="11"/>
  <c r="AJ12" i="11" s="1"/>
  <c r="AK12" i="11" s="1"/>
  <c r="AL12" i="11" s="1"/>
  <c r="AF12" i="11"/>
  <c r="AD12" i="11"/>
  <c r="AA12" i="11"/>
  <c r="L12" i="11"/>
  <c r="AM12" i="11" s="1"/>
  <c r="J12" i="11"/>
  <c r="DL11" i="11"/>
  <c r="CQ11" i="11"/>
  <c r="DA11" i="11" s="1"/>
  <c r="CM11" i="11"/>
  <c r="BP11" i="11"/>
  <c r="AI11" i="11"/>
  <c r="CF11" i="11" s="1"/>
  <c r="AG11" i="11"/>
  <c r="AJ11" i="11" s="1"/>
  <c r="AK11" i="11" s="1"/>
  <c r="AL11" i="11" s="1"/>
  <c r="AF11" i="11"/>
  <c r="AD11" i="11"/>
  <c r="AA11" i="11"/>
  <c r="L11" i="11"/>
  <c r="AM11" i="11" s="1"/>
  <c r="J11" i="11"/>
  <c r="DL10" i="11"/>
  <c r="CQ10" i="11"/>
  <c r="DA10" i="11" s="1"/>
  <c r="CM10" i="11"/>
  <c r="BP10" i="11"/>
  <c r="AI10" i="11"/>
  <c r="CF10" i="11" s="1"/>
  <c r="AG10" i="11"/>
  <c r="AJ10" i="11" s="1"/>
  <c r="AK10" i="11" s="1"/>
  <c r="AL10" i="11" s="1"/>
  <c r="AF10" i="11"/>
  <c r="AD10" i="11"/>
  <c r="AA10" i="11"/>
  <c r="L10" i="11"/>
  <c r="AM10" i="11" s="1"/>
  <c r="J10" i="11"/>
  <c r="DL9" i="11"/>
  <c r="CQ9" i="11"/>
  <c r="DA9" i="11" s="1"/>
  <c r="CM9" i="11"/>
  <c r="BP9" i="11"/>
  <c r="BO9" i="11"/>
  <c r="AI9" i="11"/>
  <c r="CF9" i="11" s="1"/>
  <c r="AG9" i="11"/>
  <c r="AJ9" i="11" s="1"/>
  <c r="AK9" i="11" s="1"/>
  <c r="AL9" i="11" s="1"/>
  <c r="AF9" i="11"/>
  <c r="AD9" i="11"/>
  <c r="AA9" i="11"/>
  <c r="L9" i="11"/>
  <c r="AM9" i="11" s="1"/>
  <c r="J9" i="11"/>
  <c r="DL8" i="11"/>
  <c r="CQ8" i="11"/>
  <c r="DA8" i="11" s="1"/>
  <c r="CM8" i="11"/>
  <c r="BP8" i="11"/>
  <c r="BO8" i="11"/>
  <c r="AI8" i="11"/>
  <c r="CF8" i="11" s="1"/>
  <c r="AG8" i="11"/>
  <c r="AJ8" i="11" s="1"/>
  <c r="AK8" i="11" s="1"/>
  <c r="AL8" i="11" s="1"/>
  <c r="AF8" i="11"/>
  <c r="AD8" i="11"/>
  <c r="AA8" i="11"/>
  <c r="L8" i="11"/>
  <c r="AM8" i="11" s="1"/>
  <c r="J8" i="11"/>
  <c r="AN15" i="11" l="1"/>
  <c r="CW24" i="11"/>
  <c r="CW25" i="11"/>
  <c r="CS28" i="11"/>
  <c r="AY29" i="11"/>
  <c r="DA43" i="11"/>
  <c r="AH32" i="11"/>
  <c r="CW16" i="11"/>
  <c r="AN19" i="11"/>
  <c r="BP7" i="11"/>
  <c r="CT16" i="11"/>
  <c r="CS24" i="11"/>
  <c r="BI30" i="11"/>
  <c r="AY32" i="11"/>
  <c r="AH43" i="11"/>
  <c r="DA33" i="11"/>
  <c r="BM41" i="11"/>
  <c r="CO43" i="11"/>
  <c r="AN44" i="11"/>
  <c r="AN13" i="11"/>
  <c r="AN47" i="11"/>
  <c r="CS11" i="11"/>
  <c r="CL11" i="11"/>
  <c r="CT11" i="11"/>
  <c r="BI12" i="11"/>
  <c r="BA16" i="11"/>
  <c r="CS16" i="11"/>
  <c r="AR33" i="11"/>
  <c r="AN36" i="11"/>
  <c r="CT43" i="11"/>
  <c r="BM32" i="11"/>
  <c r="AN18" i="11"/>
  <c r="AN27" i="11"/>
  <c r="AN30" i="11"/>
  <c r="AN32" i="11"/>
  <c r="DA32" i="11"/>
  <c r="BK39" i="11"/>
  <c r="CS8" i="11"/>
  <c r="AN10" i="11"/>
  <c r="AN14" i="11"/>
  <c r="CT21" i="11"/>
  <c r="AN23" i="11"/>
  <c r="BO25" i="11"/>
  <c r="CR25" i="11"/>
  <c r="AN26" i="11"/>
  <c r="AN29" i="11"/>
  <c r="CI32" i="11"/>
  <c r="CT35" i="11"/>
  <c r="AH39" i="11"/>
  <c r="AN40" i="11"/>
  <c r="AN42" i="11"/>
  <c r="CS44" i="11"/>
  <c r="CR45" i="11"/>
  <c r="CT46" i="11"/>
  <c r="BC47" i="11"/>
  <c r="AN17" i="11"/>
  <c r="CO33" i="11"/>
  <c r="CR44" i="11"/>
  <c r="CT8" i="11"/>
  <c r="BI9" i="11"/>
  <c r="BI10" i="11"/>
  <c r="BA17" i="11"/>
  <c r="CS17" i="11"/>
  <c r="AY20" i="11"/>
  <c r="DA21" i="11"/>
  <c r="CR22" i="11"/>
  <c r="AN24" i="11"/>
  <c r="CR24" i="11"/>
  <c r="CS25" i="11"/>
  <c r="BM29" i="11"/>
  <c r="CT33" i="11"/>
  <c r="CW35" i="11"/>
  <c r="AN39" i="11"/>
  <c r="AJ41" i="11"/>
  <c r="AK41" i="11" s="1"/>
  <c r="AL41" i="11" s="1"/>
  <c r="BK43" i="11"/>
  <c r="CS43" i="11"/>
  <c r="CW45" i="11"/>
  <c r="BM21" i="11"/>
  <c r="BW22" i="11"/>
  <c r="BZ24" i="11"/>
  <c r="BW28" i="11"/>
  <c r="CW41" i="11"/>
  <c r="AN8" i="11"/>
  <c r="BG9" i="11"/>
  <c r="CI9" i="11"/>
  <c r="CW9" i="11"/>
  <c r="CT10" i="11"/>
  <c r="AN11" i="11"/>
  <c r="BM12" i="11"/>
  <c r="BG12" i="11"/>
  <c r="BZ12" i="11"/>
  <c r="AJ13" i="11"/>
  <c r="AK13" i="11" s="1"/>
  <c r="AL13" i="11" s="1"/>
  <c r="AY15" i="11"/>
  <c r="AN16" i="11"/>
  <c r="BW17" i="11"/>
  <c r="CT17" i="11"/>
  <c r="BK21" i="11"/>
  <c r="AW21" i="11"/>
  <c r="AJ22" i="11"/>
  <c r="AK22" i="11" s="1"/>
  <c r="AL22" i="11" s="1"/>
  <c r="CL22" i="11"/>
  <c r="CW22" i="11"/>
  <c r="AN25" i="11"/>
  <c r="AJ28" i="11"/>
  <c r="AK28" i="11" s="1"/>
  <c r="AL28" i="11" s="1"/>
  <c r="CV28" i="11"/>
  <c r="CF29" i="11"/>
  <c r="AN38" i="11"/>
  <c r="CR41" i="11"/>
  <c r="DA41" i="11"/>
  <c r="CR42" i="11"/>
  <c r="AN43" i="11"/>
  <c r="BZ43" i="11"/>
  <c r="CW44" i="11"/>
  <c r="AN45" i="11"/>
  <c r="AN46" i="11"/>
  <c r="CR48" i="11"/>
  <c r="BZ9" i="11"/>
  <c r="BW12" i="11"/>
  <c r="BT29" i="11"/>
  <c r="CO29" i="11"/>
  <c r="BZ44" i="11"/>
  <c r="BI8" i="11"/>
  <c r="CW10" i="11"/>
  <c r="BI11" i="11"/>
  <c r="CI12" i="11"/>
  <c r="CW15" i="11"/>
  <c r="AY16" i="11"/>
  <c r="CW17" i="11"/>
  <c r="BM20" i="11"/>
  <c r="CF20" i="11"/>
  <c r="AH21" i="11"/>
  <c r="AY21" i="11"/>
  <c r="BZ21" i="11"/>
  <c r="CS21" i="11"/>
  <c r="DA24" i="11"/>
  <c r="DA25" i="11"/>
  <c r="CO28" i="11"/>
  <c r="CI29" i="11"/>
  <c r="AN31" i="11"/>
  <c r="BE32" i="11"/>
  <c r="AW32" i="11"/>
  <c r="CF32" i="11"/>
  <c r="CR32" i="11"/>
  <c r="CF33" i="11"/>
  <c r="CS33" i="11"/>
  <c r="BZ34" i="11"/>
  <c r="AN35" i="11"/>
  <c r="AN37" i="11"/>
  <c r="AJ40" i="11"/>
  <c r="AK40" i="11" s="1"/>
  <c r="AL40" i="11" s="1"/>
  <c r="BZ41" i="11"/>
  <c r="CS41" i="11"/>
  <c r="CW42" i="11"/>
  <c r="BM43" i="11"/>
  <c r="CF43" i="11"/>
  <c r="BO44" i="11"/>
  <c r="DA44" i="11"/>
  <c r="AU47" i="11"/>
  <c r="AJ48" i="11"/>
  <c r="AK48" i="11" s="1"/>
  <c r="AL48" i="11" s="1"/>
  <c r="BT48" i="11"/>
  <c r="CO9" i="11"/>
  <c r="CT41" i="11"/>
  <c r="AW43" i="11"/>
  <c r="CL8" i="11"/>
  <c r="BW10" i="11"/>
  <c r="CO15" i="11"/>
  <c r="BA25" i="11"/>
  <c r="AY25" i="11"/>
  <c r="BG27" i="11"/>
  <c r="AU27" i="11"/>
  <c r="BG31" i="11"/>
  <c r="BC31" i="11"/>
  <c r="BG35" i="11"/>
  <c r="AU35" i="11"/>
  <c r="BM42" i="11"/>
  <c r="AY42" i="11"/>
  <c r="BG42" i="11"/>
  <c r="CC45" i="11"/>
  <c r="CI45" i="11"/>
  <c r="BT45" i="11"/>
  <c r="CO45" i="11"/>
  <c r="CF45" i="11"/>
  <c r="BZ45" i="11"/>
  <c r="CL45" i="11"/>
  <c r="BM10" i="11"/>
  <c r="CO10" i="11"/>
  <c r="CI15" i="11"/>
  <c r="CO16" i="11"/>
  <c r="CO17" i="11"/>
  <c r="BK28" i="11"/>
  <c r="BE28" i="11"/>
  <c r="AY28" i="11"/>
  <c r="BM28" i="11"/>
  <c r="AW28" i="11"/>
  <c r="CW30" i="11"/>
  <c r="CT30" i="11"/>
  <c r="BO32" i="11"/>
  <c r="AJ32" i="11"/>
  <c r="AK32" i="11" s="1"/>
  <c r="AL32" i="11" s="1"/>
  <c r="CW34" i="11"/>
  <c r="CT34" i="11"/>
  <c r="BG37" i="11"/>
  <c r="BM37" i="11"/>
  <c r="BK38" i="11"/>
  <c r="BE42" i="11"/>
  <c r="BG8" i="11"/>
  <c r="BZ8" i="11"/>
  <c r="CO8" i="11"/>
  <c r="CW8" i="11"/>
  <c r="CL9" i="11"/>
  <c r="CS9" i="11"/>
  <c r="BG10" i="11"/>
  <c r="CI10" i="11"/>
  <c r="BM11" i="11"/>
  <c r="AY11" i="11"/>
  <c r="BZ11" i="11"/>
  <c r="CO11" i="11"/>
  <c r="CW11" i="11"/>
  <c r="CL12" i="11"/>
  <c r="AJ14" i="11"/>
  <c r="AK14" i="11" s="1"/>
  <c r="AL14" i="11" s="1"/>
  <c r="CL15" i="11"/>
  <c r="CS15" i="11"/>
  <c r="CI16" i="11"/>
  <c r="BM17" i="11"/>
  <c r="CI17" i="11"/>
  <c r="CT18" i="11"/>
  <c r="AJ19" i="11"/>
  <c r="AK19" i="11" s="1"/>
  <c r="AL19" i="11" s="1"/>
  <c r="BK20" i="11"/>
  <c r="AJ20" i="11"/>
  <c r="AK20" i="11" s="1"/>
  <c r="AL20" i="11" s="1"/>
  <c r="BG20" i="11"/>
  <c r="BT20" i="11"/>
  <c r="CS20" i="11"/>
  <c r="DA20" i="11"/>
  <c r="BI21" i="11"/>
  <c r="CC21" i="11"/>
  <c r="CI21" i="11"/>
  <c r="BT21" i="11"/>
  <c r="BE21" i="11"/>
  <c r="BW21" i="11"/>
  <c r="CO21" i="11"/>
  <c r="BI22" i="11"/>
  <c r="AR23" i="11"/>
  <c r="AJ23" i="11"/>
  <c r="AK23" i="11" s="1"/>
  <c r="AL23" i="11" s="1"/>
  <c r="BK41" i="11"/>
  <c r="BE41" i="11"/>
  <c r="BA41" i="11"/>
  <c r="BI15" i="11"/>
  <c r="BZ15" i="11"/>
  <c r="BW16" i="11"/>
  <c r="CV20" i="11"/>
  <c r="CC25" i="11"/>
  <c r="CL25" i="11"/>
  <c r="BW25" i="11"/>
  <c r="CI25" i="11"/>
  <c r="BT25" i="11"/>
  <c r="CO25" i="11"/>
  <c r="CF25" i="11"/>
  <c r="BK33" i="11"/>
  <c r="AY33" i="11"/>
  <c r="CC42" i="11"/>
  <c r="CI42" i="11"/>
  <c r="BT42" i="11"/>
  <c r="CO42" i="11"/>
  <c r="CF42" i="11"/>
  <c r="BZ42" i="11"/>
  <c r="BM45" i="11"/>
  <c r="AY45" i="11"/>
  <c r="BM8" i="11"/>
  <c r="AY8" i="11"/>
  <c r="BW8" i="11"/>
  <c r="AN9" i="11"/>
  <c r="AY10" i="11"/>
  <c r="BZ10" i="11"/>
  <c r="BW11" i="11"/>
  <c r="AN12" i="11"/>
  <c r="BZ16" i="11"/>
  <c r="BI17" i="11"/>
  <c r="BZ17" i="11"/>
  <c r="BE20" i="11"/>
  <c r="CI20" i="11"/>
  <c r="CR20" i="11"/>
  <c r="CW20" i="11"/>
  <c r="BK27" i="11"/>
  <c r="CU29" i="11"/>
  <c r="CT29" i="11"/>
  <c r="DA29" i="11"/>
  <c r="CS29" i="11"/>
  <c r="CW29" i="11"/>
  <c r="CR29" i="11"/>
  <c r="BC35" i="11"/>
  <c r="CF37" i="11"/>
  <c r="CC37" i="11"/>
  <c r="AU38" i="11"/>
  <c r="BC40" i="11"/>
  <c r="AU40" i="11"/>
  <c r="AR47" i="11"/>
  <c r="AJ47" i="11"/>
  <c r="AK47" i="11" s="1"/>
  <c r="AL47" i="11" s="1"/>
  <c r="CI8" i="11"/>
  <c r="BM9" i="11"/>
  <c r="AY9" i="11"/>
  <c r="BW9" i="11"/>
  <c r="CT9" i="11"/>
  <c r="CL10" i="11"/>
  <c r="CS10" i="11"/>
  <c r="BG11" i="11"/>
  <c r="CI11" i="11"/>
  <c r="AY12" i="11"/>
  <c r="BW15" i="11"/>
  <c r="CT15" i="11"/>
  <c r="CL16" i="11"/>
  <c r="AY17" i="11"/>
  <c r="CL17" i="11"/>
  <c r="AH19" i="11"/>
  <c r="AH20" i="11"/>
  <c r="AW20" i="11"/>
  <c r="BW20" i="11"/>
  <c r="CO20" i="11"/>
  <c r="CT20" i="11"/>
  <c r="AJ21" i="11"/>
  <c r="AK21" i="11" s="1"/>
  <c r="AL21" i="11" s="1"/>
  <c r="BK22" i="11"/>
  <c r="BE22" i="11"/>
  <c r="AY22" i="11"/>
  <c r="BM22" i="11"/>
  <c r="AW22" i="11"/>
  <c r="BK24" i="11"/>
  <c r="BI24" i="11"/>
  <c r="BA24" i="11"/>
  <c r="AY24" i="11"/>
  <c r="BZ25" i="11"/>
  <c r="AJ29" i="11"/>
  <c r="AK29" i="11" s="1"/>
  <c r="AL29" i="11" s="1"/>
  <c r="AR29" i="11"/>
  <c r="BO39" i="11"/>
  <c r="AJ39" i="11"/>
  <c r="AK39" i="11" s="1"/>
  <c r="AL39" i="11" s="1"/>
  <c r="BW42" i="11"/>
  <c r="AJ43" i="11"/>
  <c r="AK43" i="11" s="1"/>
  <c r="AL43" i="11" s="1"/>
  <c r="BO43" i="11"/>
  <c r="AR43" i="11"/>
  <c r="BK44" i="11"/>
  <c r="AY44" i="11"/>
  <c r="BW45" i="11"/>
  <c r="CO46" i="11"/>
  <c r="CL46" i="11"/>
  <c r="BZ46" i="11"/>
  <c r="BK48" i="11"/>
  <c r="BE48" i="11"/>
  <c r="AW48" i="11"/>
  <c r="BM48" i="11"/>
  <c r="CV21" i="11"/>
  <c r="AH22" i="11"/>
  <c r="BZ22" i="11"/>
  <c r="CS22" i="11"/>
  <c r="DA22" i="11"/>
  <c r="CF24" i="11"/>
  <c r="CO24" i="11"/>
  <c r="CT24" i="11"/>
  <c r="CT25" i="11"/>
  <c r="AJ27" i="11"/>
  <c r="AK27" i="11" s="1"/>
  <c r="AL27" i="11" s="1"/>
  <c r="AH28" i="11"/>
  <c r="CF28" i="11"/>
  <c r="CW28" i="11"/>
  <c r="BG29" i="11"/>
  <c r="BW29" i="11"/>
  <c r="CL29" i="11"/>
  <c r="BZ30" i="11"/>
  <c r="AJ31" i="11"/>
  <c r="AK31" i="11" s="1"/>
  <c r="AL31" i="11" s="1"/>
  <c r="BT32" i="11"/>
  <c r="CS32" i="11"/>
  <c r="BT33" i="11"/>
  <c r="CI33" i="11"/>
  <c r="CV33" i="11"/>
  <c r="AJ35" i="11"/>
  <c r="AK35" i="11" s="1"/>
  <c r="AL35" i="11" s="1"/>
  <c r="BO35" i="11"/>
  <c r="AJ37" i="11"/>
  <c r="AK37" i="11" s="1"/>
  <c r="AL37" i="11" s="1"/>
  <c r="AJ38" i="11"/>
  <c r="AK38" i="11" s="1"/>
  <c r="AL38" i="11" s="1"/>
  <c r="AH40" i="11"/>
  <c r="AH41" i="11"/>
  <c r="AR41" i="11"/>
  <c r="CF41" i="11"/>
  <c r="CO41" i="11"/>
  <c r="BK42" i="11"/>
  <c r="CS42" i="11"/>
  <c r="DA42" i="11"/>
  <c r="AY43" i="11"/>
  <c r="BT43" i="11"/>
  <c r="CI43" i="11"/>
  <c r="CV43" i="11"/>
  <c r="AH44" i="11"/>
  <c r="AR44" i="11"/>
  <c r="CF44" i="11"/>
  <c r="CO44" i="11"/>
  <c r="CT44" i="11"/>
  <c r="BK45" i="11"/>
  <c r="BO45" i="11"/>
  <c r="CS45" i="11"/>
  <c r="DA45" i="11"/>
  <c r="AH47" i="11"/>
  <c r="AH48" i="11"/>
  <c r="CF48" i="11"/>
  <c r="CV48" i="11"/>
  <c r="CR21" i="11"/>
  <c r="CX21" i="11" s="1"/>
  <c r="CW21" i="11"/>
  <c r="CF22" i="11"/>
  <c r="CO22" i="11"/>
  <c r="CT22" i="11"/>
  <c r="BT24" i="11"/>
  <c r="CI24" i="11"/>
  <c r="CV24" i="11"/>
  <c r="CY24" i="11" s="1"/>
  <c r="CV25" i="11"/>
  <c r="AH27" i="11"/>
  <c r="CI28" i="11"/>
  <c r="CR28" i="11"/>
  <c r="DA28" i="11"/>
  <c r="BK29" i="11"/>
  <c r="BZ29" i="11"/>
  <c r="CL30" i="11"/>
  <c r="AH31" i="11"/>
  <c r="BK32" i="11"/>
  <c r="BW32" i="11"/>
  <c r="CO32" i="11"/>
  <c r="CV32" i="11"/>
  <c r="AN33" i="11"/>
  <c r="BW33" i="11"/>
  <c r="CL33" i="11"/>
  <c r="CR33" i="11"/>
  <c r="CW33" i="11"/>
  <c r="CL34" i="11"/>
  <c r="AH35" i="11"/>
  <c r="CS35" i="11"/>
  <c r="AH37" i="11"/>
  <c r="AH38" i="11"/>
  <c r="BT41" i="11"/>
  <c r="CI41" i="11"/>
  <c r="CV41" i="11"/>
  <c r="CY41" i="11" s="1"/>
  <c r="AH42" i="11"/>
  <c r="AW42" i="11"/>
  <c r="CT42" i="11"/>
  <c r="BG43" i="11"/>
  <c r="BW43" i="11"/>
  <c r="CL43" i="11"/>
  <c r="CR43" i="11"/>
  <c r="CW43" i="11"/>
  <c r="BT44" i="11"/>
  <c r="CI44" i="11"/>
  <c r="CV44" i="11"/>
  <c r="AH45" i="11"/>
  <c r="AR45" i="11"/>
  <c r="CT45" i="11"/>
  <c r="DA48" i="11"/>
  <c r="BT22" i="11"/>
  <c r="CI22" i="11"/>
  <c r="CV22" i="11"/>
  <c r="BW24" i="11"/>
  <c r="CL24" i="11"/>
  <c r="BT28" i="11"/>
  <c r="CW32" i="11"/>
  <c r="BM33" i="11"/>
  <c r="BZ33" i="11"/>
  <c r="AN34" i="11"/>
  <c r="BI41" i="11"/>
  <c r="BW41" i="11"/>
  <c r="CL41" i="11"/>
  <c r="CV42" i="11"/>
  <c r="BM44" i="11"/>
  <c r="BG44" i="11"/>
  <c r="BW44" i="11"/>
  <c r="CL44" i="11"/>
  <c r="CV45" i="11"/>
  <c r="AR8" i="11"/>
  <c r="AR9" i="11"/>
  <c r="AR11" i="11"/>
  <c r="BO11" i="11"/>
  <c r="AR12" i="11"/>
  <c r="AY13" i="11"/>
  <c r="BM13" i="11"/>
  <c r="BE13" i="11"/>
  <c r="AW13" i="11"/>
  <c r="BI13" i="11"/>
  <c r="AH14" i="11"/>
  <c r="BI19" i="11"/>
  <c r="BA19" i="11"/>
  <c r="AY19" i="11"/>
  <c r="BM19" i="11"/>
  <c r="BE19" i="11"/>
  <c r="AW19" i="11"/>
  <c r="BK19" i="11"/>
  <c r="BA8" i="11"/>
  <c r="AH9" i="11"/>
  <c r="BA9" i="11"/>
  <c r="AH10" i="11"/>
  <c r="BA10" i="11"/>
  <c r="AH11" i="11"/>
  <c r="BA11" i="11"/>
  <c r="AH12" i="11"/>
  <c r="BA12" i="11"/>
  <c r="CT12" i="11"/>
  <c r="AU13" i="11"/>
  <c r="BK13" i="11"/>
  <c r="CC13" i="11"/>
  <c r="CW13" i="11"/>
  <c r="CS13" i="11"/>
  <c r="DA13" i="11"/>
  <c r="CV13" i="11"/>
  <c r="CR13" i="11"/>
  <c r="AY14" i="11"/>
  <c r="BM14" i="11"/>
  <c r="BE14" i="11"/>
  <c r="AW14" i="11"/>
  <c r="CO14" i="11"/>
  <c r="CI14" i="11"/>
  <c r="BW14" i="11"/>
  <c r="CF14" i="11"/>
  <c r="BT14" i="11"/>
  <c r="BI14" i="11"/>
  <c r="BZ14" i="11"/>
  <c r="AH16" i="11"/>
  <c r="AR16" i="11"/>
  <c r="BG16" i="11"/>
  <c r="AY18" i="11"/>
  <c r="BM18" i="11"/>
  <c r="BE18" i="11"/>
  <c r="AW18" i="11"/>
  <c r="CO18" i="11"/>
  <c r="CI18" i="11"/>
  <c r="BW18" i="11"/>
  <c r="CF18" i="11"/>
  <c r="BT18" i="11"/>
  <c r="AU18" i="11"/>
  <c r="BK18" i="11"/>
  <c r="CC18" i="11"/>
  <c r="CT19" i="11"/>
  <c r="CW19" i="11"/>
  <c r="CS19" i="11"/>
  <c r="DA19" i="11"/>
  <c r="CV19" i="11"/>
  <c r="CR19" i="11"/>
  <c r="BI23" i="11"/>
  <c r="BG34" i="11"/>
  <c r="BI34" i="11"/>
  <c r="BA34" i="11"/>
  <c r="AH34" i="11"/>
  <c r="BO10" i="11"/>
  <c r="BC14" i="11"/>
  <c r="AH18" i="11"/>
  <c r="AW23" i="11"/>
  <c r="AH8" i="11"/>
  <c r="BC8" i="11"/>
  <c r="AU9" i="11"/>
  <c r="BC9" i="11"/>
  <c r="BK9" i="11"/>
  <c r="CC9" i="11"/>
  <c r="CU9" i="11"/>
  <c r="AU10" i="11"/>
  <c r="BC10" i="11"/>
  <c r="BK10" i="11"/>
  <c r="CC10" i="11"/>
  <c r="CU10" i="11"/>
  <c r="AU11" i="11"/>
  <c r="BC11" i="11"/>
  <c r="BK11" i="11"/>
  <c r="CC11" i="11"/>
  <c r="CU11" i="11"/>
  <c r="AU12" i="11"/>
  <c r="BC12" i="11"/>
  <c r="BK12" i="11"/>
  <c r="CC12" i="11"/>
  <c r="BA13" i="11"/>
  <c r="CT13" i="11"/>
  <c r="AU14" i="11"/>
  <c r="BK14" i="11"/>
  <c r="CC14" i="11"/>
  <c r="CW14" i="11"/>
  <c r="CS14" i="11"/>
  <c r="DA14" i="11"/>
  <c r="CV14" i="11"/>
  <c r="CR14" i="11"/>
  <c r="AH15" i="11"/>
  <c r="BA15" i="11"/>
  <c r="BM16" i="11"/>
  <c r="BI16" i="11"/>
  <c r="BA18" i="11"/>
  <c r="CL18" i="11"/>
  <c r="AU19" i="11"/>
  <c r="CU19" i="11"/>
  <c r="AN20" i="11"/>
  <c r="AN21" i="11"/>
  <c r="AN22" i="11"/>
  <c r="AH26" i="11"/>
  <c r="BI26" i="11"/>
  <c r="AY36" i="11"/>
  <c r="BM36" i="11"/>
  <c r="BE36" i="11"/>
  <c r="AW36" i="11"/>
  <c r="BI36" i="11"/>
  <c r="BC36" i="11"/>
  <c r="BA36" i="11"/>
  <c r="BK36" i="11"/>
  <c r="AU36" i="11"/>
  <c r="AR10" i="11"/>
  <c r="CW12" i="11"/>
  <c r="CS12" i="11"/>
  <c r="DA12" i="11"/>
  <c r="CV12" i="11"/>
  <c r="CR12" i="11"/>
  <c r="CO13" i="11"/>
  <c r="CI13" i="11"/>
  <c r="BW13" i="11"/>
  <c r="CF13" i="11"/>
  <c r="BT13" i="11"/>
  <c r="BZ13" i="11"/>
  <c r="BI18" i="11"/>
  <c r="AH23" i="11"/>
  <c r="CL27" i="11"/>
  <c r="BZ27" i="11"/>
  <c r="CO27" i="11"/>
  <c r="CI27" i="11"/>
  <c r="BW27" i="11"/>
  <c r="CF27" i="11"/>
  <c r="CC27" i="11"/>
  <c r="CL31" i="11"/>
  <c r="BZ31" i="11"/>
  <c r="CO31" i="11"/>
  <c r="CI31" i="11"/>
  <c r="BW31" i="11"/>
  <c r="CF31" i="11"/>
  <c r="BT31" i="11"/>
  <c r="AU8" i="11"/>
  <c r="BK8" i="11"/>
  <c r="CC8" i="11"/>
  <c r="CU8" i="11"/>
  <c r="AW8" i="11"/>
  <c r="BE8" i="11"/>
  <c r="BT8" i="11"/>
  <c r="CR8" i="11"/>
  <c r="CV8" i="11"/>
  <c r="AW9" i="11"/>
  <c r="BE9" i="11"/>
  <c r="BT9" i="11"/>
  <c r="CR9" i="11"/>
  <c r="CV9" i="11"/>
  <c r="AW10" i="11"/>
  <c r="BE10" i="11"/>
  <c r="BT10" i="11"/>
  <c r="CR10" i="11"/>
  <c r="CV10" i="11"/>
  <c r="AW11" i="11"/>
  <c r="BE11" i="11"/>
  <c r="BT11" i="11"/>
  <c r="CR11" i="11"/>
  <c r="CV11" i="11"/>
  <c r="AW12" i="11"/>
  <c r="BE12" i="11"/>
  <c r="BT12" i="11"/>
  <c r="CF12" i="11"/>
  <c r="AH13" i="11"/>
  <c r="BC13" i="11"/>
  <c r="CU13" i="11"/>
  <c r="BA14" i="11"/>
  <c r="CL14" i="11"/>
  <c r="CT14" i="11"/>
  <c r="BM15" i="11"/>
  <c r="AR15" i="11"/>
  <c r="AH17" i="11"/>
  <c r="AR17" i="11"/>
  <c r="BC18" i="11"/>
  <c r="CL19" i="11"/>
  <c r="BZ19" i="11"/>
  <c r="CO19" i="11"/>
  <c r="CI19" i="11"/>
  <c r="BW19" i="11"/>
  <c r="CF19" i="11"/>
  <c r="BT19" i="11"/>
  <c r="BC19" i="11"/>
  <c r="CC19" i="11"/>
  <c r="CU18" i="11"/>
  <c r="AR21" i="11"/>
  <c r="AR22" i="11"/>
  <c r="AY23" i="11"/>
  <c r="CO23" i="11"/>
  <c r="CI23" i="11"/>
  <c r="BW23" i="11"/>
  <c r="BA23" i="11"/>
  <c r="BK23" i="11"/>
  <c r="CF23" i="11"/>
  <c r="CT23" i="11"/>
  <c r="CW23" i="11"/>
  <c r="CS23" i="11"/>
  <c r="AY26" i="11"/>
  <c r="BM26" i="11"/>
  <c r="BE26" i="11"/>
  <c r="AW26" i="11"/>
  <c r="CO26" i="11"/>
  <c r="CI26" i="11"/>
  <c r="BW26" i="11"/>
  <c r="CF26" i="11"/>
  <c r="BT26" i="11"/>
  <c r="AU26" i="11"/>
  <c r="BK26" i="11"/>
  <c r="BZ26" i="11"/>
  <c r="BI27" i="11"/>
  <c r="BA27" i="11"/>
  <c r="AY27" i="11"/>
  <c r="AW27" i="11"/>
  <c r="BM27" i="11"/>
  <c r="CT27" i="11"/>
  <c r="CW27" i="11"/>
  <c r="CS27" i="11"/>
  <c r="AN28" i="11"/>
  <c r="BI31" i="11"/>
  <c r="BA31" i="11"/>
  <c r="AY31" i="11"/>
  <c r="BM31" i="11"/>
  <c r="BE31" i="11"/>
  <c r="AW31" i="11"/>
  <c r="BK31" i="11"/>
  <c r="AY34" i="11"/>
  <c r="BI37" i="11"/>
  <c r="BA37" i="11"/>
  <c r="AY37" i="11"/>
  <c r="BK37" i="11"/>
  <c r="AU37" i="11"/>
  <c r="BE37" i="11"/>
  <c r="BC37" i="11"/>
  <c r="CT37" i="11"/>
  <c r="CW37" i="11"/>
  <c r="CS37" i="11"/>
  <c r="CV37" i="11"/>
  <c r="CU37" i="11"/>
  <c r="DA37" i="11"/>
  <c r="CR37" i="11"/>
  <c r="AU15" i="11"/>
  <c r="BC15" i="11"/>
  <c r="BK15" i="11"/>
  <c r="CC15" i="11"/>
  <c r="CU15" i="11"/>
  <c r="AU16" i="11"/>
  <c r="BC16" i="11"/>
  <c r="BK16" i="11"/>
  <c r="CC16" i="11"/>
  <c r="CU16" i="11"/>
  <c r="AU17" i="11"/>
  <c r="BC17" i="11"/>
  <c r="BK17" i="11"/>
  <c r="CC17" i="11"/>
  <c r="CU17" i="11"/>
  <c r="AJ18" i="11"/>
  <c r="AK18" i="11" s="1"/>
  <c r="AL18" i="11" s="1"/>
  <c r="CR18" i="11"/>
  <c r="CV18" i="11"/>
  <c r="DA18" i="11"/>
  <c r="AR19" i="11"/>
  <c r="BA20" i="11"/>
  <c r="BI20" i="11"/>
  <c r="BZ20" i="11"/>
  <c r="CL20" i="11"/>
  <c r="BA21" i="11"/>
  <c r="CL21" i="11"/>
  <c r="BA22" i="11"/>
  <c r="BC23" i="11"/>
  <c r="BM23" i="11"/>
  <c r="BT23" i="11"/>
  <c r="CL23" i="11"/>
  <c r="CR23" i="11"/>
  <c r="DA23" i="11"/>
  <c r="BM25" i="11"/>
  <c r="BE25" i="11"/>
  <c r="AW25" i="11"/>
  <c r="AH25" i="11"/>
  <c r="AR25" i="11"/>
  <c r="BG25" i="11"/>
  <c r="BA26" i="11"/>
  <c r="CC26" i="11"/>
  <c r="CW26" i="11"/>
  <c r="CS26" i="11"/>
  <c r="DA26" i="11"/>
  <c r="CV26" i="11"/>
  <c r="CR26" i="11"/>
  <c r="BC27" i="11"/>
  <c r="CR27" i="11"/>
  <c r="DA27" i="11"/>
  <c r="AH30" i="11"/>
  <c r="CT31" i="11"/>
  <c r="CW31" i="11"/>
  <c r="CS31" i="11"/>
  <c r="DA31" i="11"/>
  <c r="CV31" i="11"/>
  <c r="CR31" i="11"/>
  <c r="CF35" i="11"/>
  <c r="BT35" i="11"/>
  <c r="CC35" i="11"/>
  <c r="CO35" i="11"/>
  <c r="BZ35" i="11"/>
  <c r="BW35" i="11"/>
  <c r="CL35" i="11"/>
  <c r="CL38" i="11"/>
  <c r="BZ38" i="11"/>
  <c r="CO38" i="11"/>
  <c r="CI38" i="11"/>
  <c r="BW38" i="11"/>
  <c r="CF38" i="11"/>
  <c r="CC38" i="11"/>
  <c r="BI39" i="11"/>
  <c r="BA39" i="11"/>
  <c r="AY39" i="11"/>
  <c r="BM39" i="11"/>
  <c r="BE39" i="11"/>
  <c r="AW39" i="11"/>
  <c r="BC39" i="11"/>
  <c r="AU39" i="11"/>
  <c r="AR13" i="11"/>
  <c r="AR14" i="11"/>
  <c r="AW15" i="11"/>
  <c r="BE15" i="11"/>
  <c r="BT15" i="11"/>
  <c r="CR15" i="11"/>
  <c r="CV15" i="11"/>
  <c r="AW16" i="11"/>
  <c r="BE16" i="11"/>
  <c r="BT16" i="11"/>
  <c r="CR16" i="11"/>
  <c r="CV16" i="11"/>
  <c r="AW17" i="11"/>
  <c r="BE17" i="11"/>
  <c r="BT17" i="11"/>
  <c r="CR17" i="11"/>
  <c r="CV17" i="11"/>
  <c r="AR18" i="11"/>
  <c r="CS18" i="11"/>
  <c r="AU20" i="11"/>
  <c r="BC20" i="11"/>
  <c r="AU21" i="11"/>
  <c r="BC21" i="11"/>
  <c r="AU22" i="11"/>
  <c r="BC22" i="11"/>
  <c r="AU23" i="11"/>
  <c r="BE23" i="11"/>
  <c r="BZ23" i="11"/>
  <c r="CU23" i="11"/>
  <c r="BM24" i="11"/>
  <c r="BE24" i="11"/>
  <c r="AW24" i="11"/>
  <c r="AH24" i="11"/>
  <c r="AR24" i="11"/>
  <c r="BG24" i="11"/>
  <c r="BK25" i="11"/>
  <c r="BI25" i="11"/>
  <c r="BC26" i="11"/>
  <c r="CL26" i="11"/>
  <c r="CT26" i="11"/>
  <c r="BE27" i="11"/>
  <c r="CU27" i="11"/>
  <c r="AY30" i="11"/>
  <c r="BA30" i="11"/>
  <c r="AU31" i="11"/>
  <c r="CU31" i="11"/>
  <c r="BM35" i="11"/>
  <c r="BK35" i="11"/>
  <c r="BI35" i="11"/>
  <c r="BA35" i="11"/>
  <c r="AY35" i="11"/>
  <c r="BE35" i="11"/>
  <c r="AW35" i="11"/>
  <c r="CO36" i="11"/>
  <c r="CI36" i="11"/>
  <c r="BW36" i="11"/>
  <c r="CF36" i="11"/>
  <c r="BT36" i="11"/>
  <c r="CL36" i="11"/>
  <c r="CC36" i="11"/>
  <c r="AW37" i="11"/>
  <c r="AR28" i="11"/>
  <c r="AH29" i="11"/>
  <c r="BA29" i="11"/>
  <c r="BI29" i="11"/>
  <c r="AU30" i="11"/>
  <c r="BC30" i="11"/>
  <c r="BK30" i="11"/>
  <c r="CC30" i="11"/>
  <c r="CU30" i="11"/>
  <c r="AR32" i="11"/>
  <c r="AH33" i="11"/>
  <c r="BA33" i="11"/>
  <c r="BI33" i="11"/>
  <c r="AU34" i="11"/>
  <c r="BC34" i="11"/>
  <c r="BK34" i="11"/>
  <c r="CC34" i="11"/>
  <c r="CU34" i="11"/>
  <c r="CW36" i="11"/>
  <c r="CS36" i="11"/>
  <c r="DA36" i="11"/>
  <c r="CV36" i="11"/>
  <c r="CR36" i="11"/>
  <c r="BI38" i="11"/>
  <c r="BA38" i="11"/>
  <c r="AY38" i="11"/>
  <c r="AW38" i="11"/>
  <c r="BM38" i="11"/>
  <c r="CT39" i="11"/>
  <c r="CW39" i="11"/>
  <c r="CS39" i="11"/>
  <c r="DA39" i="11"/>
  <c r="CV39" i="11"/>
  <c r="CR39" i="11"/>
  <c r="CL40" i="11"/>
  <c r="BZ40" i="11"/>
  <c r="CO40" i="11"/>
  <c r="CI40" i="11"/>
  <c r="BW40" i="11"/>
  <c r="CF40" i="11"/>
  <c r="BT40" i="11"/>
  <c r="CC40" i="11"/>
  <c r="AN41" i="11"/>
  <c r="AU24" i="11"/>
  <c r="BC24" i="11"/>
  <c r="AU25" i="11"/>
  <c r="BC25" i="11"/>
  <c r="AJ26" i="11"/>
  <c r="AK26" i="11" s="1"/>
  <c r="AL26" i="11" s="1"/>
  <c r="AR27" i="11"/>
  <c r="BA28" i="11"/>
  <c r="BI28" i="11"/>
  <c r="BZ28" i="11"/>
  <c r="CL28" i="11"/>
  <c r="CT28" i="11"/>
  <c r="AU29" i="11"/>
  <c r="BC29" i="11"/>
  <c r="AJ30" i="11"/>
  <c r="AK30" i="11" s="1"/>
  <c r="AL30" i="11" s="1"/>
  <c r="AW30" i="11"/>
  <c r="BE30" i="11"/>
  <c r="BM30" i="11"/>
  <c r="BT30" i="11"/>
  <c r="CF30" i="11"/>
  <c r="CR30" i="11"/>
  <c r="CV30" i="11"/>
  <c r="DA30" i="11"/>
  <c r="AR31" i="11"/>
  <c r="BA32" i="11"/>
  <c r="BI32" i="11"/>
  <c r="BZ32" i="11"/>
  <c r="CL32" i="11"/>
  <c r="CT32" i="11"/>
  <c r="AU33" i="11"/>
  <c r="BC33" i="11"/>
  <c r="AJ34" i="11"/>
  <c r="AK34" i="11" s="1"/>
  <c r="AL34" i="11" s="1"/>
  <c r="AW34" i="11"/>
  <c r="BE34" i="11"/>
  <c r="BM34" i="11"/>
  <c r="BT34" i="11"/>
  <c r="CF34" i="11"/>
  <c r="CR34" i="11"/>
  <c r="CV34" i="11"/>
  <c r="DA34" i="11"/>
  <c r="CT36" i="11"/>
  <c r="BC38" i="11"/>
  <c r="CU39" i="11"/>
  <c r="BI40" i="11"/>
  <c r="BA40" i="11"/>
  <c r="AY40" i="11"/>
  <c r="BM40" i="11"/>
  <c r="BE40" i="11"/>
  <c r="AW40" i="11"/>
  <c r="BK40" i="11"/>
  <c r="AU28" i="11"/>
  <c r="BC28" i="11"/>
  <c r="AW29" i="11"/>
  <c r="BE29" i="11"/>
  <c r="AR30" i="11"/>
  <c r="BW30" i="11"/>
  <c r="CI30" i="11"/>
  <c r="CS30" i="11"/>
  <c r="AU32" i="11"/>
  <c r="BC32" i="11"/>
  <c r="AW33" i="11"/>
  <c r="BE33" i="11"/>
  <c r="AR34" i="11"/>
  <c r="BW34" i="11"/>
  <c r="CI34" i="11"/>
  <c r="CS34" i="11"/>
  <c r="AH36" i="11"/>
  <c r="CU36" i="11"/>
  <c r="CL37" i="11"/>
  <c r="BZ37" i="11"/>
  <c r="CO37" i="11"/>
  <c r="CI37" i="11"/>
  <c r="BW37" i="11"/>
  <c r="BT37" i="11"/>
  <c r="BE38" i="11"/>
  <c r="CT38" i="11"/>
  <c r="CW38" i="11"/>
  <c r="CS38" i="11"/>
  <c r="DA38" i="11"/>
  <c r="CV38" i="11"/>
  <c r="CR38" i="11"/>
  <c r="CL39" i="11"/>
  <c r="BZ39" i="11"/>
  <c r="CO39" i="11"/>
  <c r="CI39" i="11"/>
  <c r="BW39" i="11"/>
  <c r="CF39" i="11"/>
  <c r="BT39" i="11"/>
  <c r="CC39" i="11"/>
  <c r="CT40" i="11"/>
  <c r="CW40" i="11"/>
  <c r="CS40" i="11"/>
  <c r="DA40" i="11"/>
  <c r="CV40" i="11"/>
  <c r="CR40" i="11"/>
  <c r="BO42" i="11"/>
  <c r="AJ42" i="11"/>
  <c r="AK42" i="11" s="1"/>
  <c r="AL42" i="11" s="1"/>
  <c r="AR42" i="11"/>
  <c r="AH46" i="11"/>
  <c r="BA46" i="11"/>
  <c r="CT47" i="11"/>
  <c r="CW47" i="11"/>
  <c r="CS47" i="11"/>
  <c r="DA47" i="11"/>
  <c r="CV47" i="11"/>
  <c r="CR47" i="11"/>
  <c r="CU35" i="11"/>
  <c r="AJ36" i="11"/>
  <c r="AK36" i="11" s="1"/>
  <c r="AL36" i="11" s="1"/>
  <c r="AR37" i="11"/>
  <c r="AR38" i="11"/>
  <c r="AR39" i="11"/>
  <c r="AR40" i="11"/>
  <c r="AW41" i="11"/>
  <c r="BG41" i="11"/>
  <c r="AY46" i="11"/>
  <c r="BI46" i="11"/>
  <c r="CL47" i="11"/>
  <c r="BZ47" i="11"/>
  <c r="CO47" i="11"/>
  <c r="CI47" i="11"/>
  <c r="BW47" i="11"/>
  <c r="CF47" i="11"/>
  <c r="BT47" i="11"/>
  <c r="CU47" i="11"/>
  <c r="CR35" i="11"/>
  <c r="CV35" i="11"/>
  <c r="AY41" i="11"/>
  <c r="BI47" i="11"/>
  <c r="BA47" i="11"/>
  <c r="AY47" i="11"/>
  <c r="BM47" i="11"/>
  <c r="BE47" i="11"/>
  <c r="AW47" i="11"/>
  <c r="BK47" i="11"/>
  <c r="CC47" i="11"/>
  <c r="AN48" i="11"/>
  <c r="BA42" i="11"/>
  <c r="BI42" i="11"/>
  <c r="BA43" i="11"/>
  <c r="BI43" i="11"/>
  <c r="BA44" i="11"/>
  <c r="BI44" i="11"/>
  <c r="BA45" i="11"/>
  <c r="BI45" i="11"/>
  <c r="AU46" i="11"/>
  <c r="BC46" i="11"/>
  <c r="BK46" i="11"/>
  <c r="CC46" i="11"/>
  <c r="CU46" i="11"/>
  <c r="AY48" i="11"/>
  <c r="BW48" i="11"/>
  <c r="CI48" i="11"/>
  <c r="CO48" i="11"/>
  <c r="CS48" i="11"/>
  <c r="CW48" i="11"/>
  <c r="AU41" i="11"/>
  <c r="BC41" i="11"/>
  <c r="AU42" i="11"/>
  <c r="BC42" i="11"/>
  <c r="AU43" i="11"/>
  <c r="BC43" i="11"/>
  <c r="AU44" i="11"/>
  <c r="BC44" i="11"/>
  <c r="AU45" i="11"/>
  <c r="BC45" i="11"/>
  <c r="AJ46" i="11"/>
  <c r="AK46" i="11" s="1"/>
  <c r="AL46" i="11" s="1"/>
  <c r="AW46" i="11"/>
  <c r="BE46" i="11"/>
  <c r="BM46" i="11"/>
  <c r="BT46" i="11"/>
  <c r="CF46" i="11"/>
  <c r="CR46" i="11"/>
  <c r="CV46" i="11"/>
  <c r="DA46" i="11"/>
  <c r="BG47" i="11"/>
  <c r="BA48" i="11"/>
  <c r="BI48" i="11"/>
  <c r="BZ48" i="11"/>
  <c r="CL48" i="11"/>
  <c r="CT48" i="11"/>
  <c r="BE43" i="11"/>
  <c r="AW44" i="11"/>
  <c r="BE44" i="11"/>
  <c r="AW45" i="11"/>
  <c r="BE45" i="11"/>
  <c r="AR46" i="11"/>
  <c r="BW46" i="11"/>
  <c r="CI46" i="11"/>
  <c r="CS46" i="11"/>
  <c r="AU48" i="11"/>
  <c r="BC48" i="11"/>
  <c r="CY44" i="11" l="1"/>
  <c r="CY25" i="11"/>
  <c r="CY28" i="11"/>
  <c r="CX25" i="11"/>
  <c r="CX24" i="11"/>
  <c r="CY48" i="11"/>
  <c r="AS43" i="11"/>
  <c r="CX41" i="11"/>
  <c r="CX32" i="11"/>
  <c r="CX35" i="11"/>
  <c r="CY45" i="11"/>
  <c r="AS8" i="11"/>
  <c r="DB8" i="11" s="1"/>
  <c r="AS12" i="11"/>
  <c r="AS10" i="11"/>
  <c r="CX45" i="11"/>
  <c r="AS16" i="11"/>
  <c r="CX43" i="11"/>
  <c r="CX22" i="11"/>
  <c r="AS47" i="11"/>
  <c r="CY21" i="11"/>
  <c r="CX11" i="11"/>
  <c r="AS39" i="11"/>
  <c r="AS36" i="11"/>
  <c r="CX16" i="11"/>
  <c r="AS35" i="11"/>
  <c r="CX44" i="11"/>
  <c r="AS29" i="11"/>
  <c r="CX17" i="11"/>
  <c r="CX10" i="11"/>
  <c r="CY33" i="11"/>
  <c r="CY20" i="11"/>
  <c r="AS46" i="11"/>
  <c r="CX33" i="11"/>
  <c r="CY32" i="11"/>
  <c r="CX46" i="11"/>
  <c r="AS38" i="11"/>
  <c r="CX8" i="11"/>
  <c r="AS22" i="11"/>
  <c r="CN44" i="11"/>
  <c r="CP44" i="11" s="1"/>
  <c r="DC44" i="11" s="1"/>
  <c r="CY42" i="11"/>
  <c r="CN45" i="11"/>
  <c r="CP45" i="11" s="1"/>
  <c r="DC45" i="11" s="1"/>
  <c r="CY22" i="11"/>
  <c r="CN33" i="11"/>
  <c r="CP33" i="11" s="1"/>
  <c r="DC33" i="11" s="1"/>
  <c r="AS44" i="11"/>
  <c r="AS19" i="11"/>
  <c r="CX20" i="11"/>
  <c r="CN42" i="11"/>
  <c r="CP42" i="11" s="1"/>
  <c r="DC42" i="11" s="1"/>
  <c r="BQ30" i="11"/>
  <c r="CY27" i="11"/>
  <c r="CY26" i="11"/>
  <c r="AS25" i="11"/>
  <c r="BQ23" i="11"/>
  <c r="BQ21" i="11"/>
  <c r="CX18" i="11"/>
  <c r="BQ17" i="11"/>
  <c r="CN16" i="11"/>
  <c r="CP16" i="11" s="1"/>
  <c r="DC16" i="11" s="1"/>
  <c r="CY15" i="11"/>
  <c r="BQ31" i="11"/>
  <c r="BQ27" i="11"/>
  <c r="AS21" i="11"/>
  <c r="CN11" i="11"/>
  <c r="CP11" i="11" s="1"/>
  <c r="DC11" i="11" s="1"/>
  <c r="AS45" i="11"/>
  <c r="CN29" i="11"/>
  <c r="CP29" i="11" s="1"/>
  <c r="DC29" i="11" s="1"/>
  <c r="CY43" i="11"/>
  <c r="CY29" i="11"/>
  <c r="CN25" i="11"/>
  <c r="CP25" i="11" s="1"/>
  <c r="DC25" i="11" s="1"/>
  <c r="BQ16" i="11"/>
  <c r="CN8" i="11"/>
  <c r="CP8" i="11" s="1"/>
  <c r="DC8" i="11" s="1"/>
  <c r="CN46" i="11"/>
  <c r="CP46" i="11" s="1"/>
  <c r="DC46" i="11" s="1"/>
  <c r="CX48" i="11"/>
  <c r="BQ48" i="11"/>
  <c r="AS48" i="11"/>
  <c r="AS40" i="11"/>
  <c r="CX27" i="11"/>
  <c r="CN15" i="11"/>
  <c r="CP15" i="11" s="1"/>
  <c r="DC15" i="11" s="1"/>
  <c r="CY18" i="11"/>
  <c r="AS13" i="11"/>
  <c r="CY19" i="11"/>
  <c r="AS11" i="11"/>
  <c r="AS9" i="11"/>
  <c r="CN41" i="11"/>
  <c r="CP41" i="11" s="1"/>
  <c r="DC41" i="11" s="1"/>
  <c r="CN24" i="11"/>
  <c r="CP24" i="11" s="1"/>
  <c r="DC24" i="11" s="1"/>
  <c r="CN43" i="11"/>
  <c r="CP43" i="11" s="1"/>
  <c r="DC43" i="11" s="1"/>
  <c r="CX42" i="11"/>
  <c r="BQ28" i="11"/>
  <c r="BQ37" i="11"/>
  <c r="BQ13" i="11"/>
  <c r="BQ44" i="11"/>
  <c r="AS37" i="11"/>
  <c r="CN34" i="11"/>
  <c r="CP34" i="11" s="1"/>
  <c r="DC34" i="11" s="1"/>
  <c r="CN30" i="11"/>
  <c r="CP30" i="11" s="1"/>
  <c r="DC30" i="11" s="1"/>
  <c r="BQ40" i="11"/>
  <c r="BQ38" i="11"/>
  <c r="BQ29" i="11"/>
  <c r="BQ22" i="11"/>
  <c r="CN14" i="11"/>
  <c r="CP14" i="11" s="1"/>
  <c r="DC14" i="11" s="1"/>
  <c r="BQ12" i="11"/>
  <c r="CN10" i="11"/>
  <c r="CP10" i="11" s="1"/>
  <c r="DC10" i="11" s="1"/>
  <c r="CX9" i="11"/>
  <c r="AS23" i="11"/>
  <c r="AS26" i="11"/>
  <c r="CY14" i="11"/>
  <c r="CN9" i="11"/>
  <c r="CP9" i="11" s="1"/>
  <c r="DC9" i="11" s="1"/>
  <c r="CN22" i="11"/>
  <c r="CP22" i="11" s="1"/>
  <c r="DC22" i="11" s="1"/>
  <c r="CX29" i="11"/>
  <c r="BQ45" i="11"/>
  <c r="BQ43" i="11"/>
  <c r="DB43" i="11" s="1"/>
  <c r="BQ41" i="11"/>
  <c r="BQ32" i="11"/>
  <c r="BQ39" i="11"/>
  <c r="BQ20" i="11"/>
  <c r="BQ15" i="11"/>
  <c r="CY13" i="11"/>
  <c r="CN13" i="11"/>
  <c r="CP13" i="11" s="1"/>
  <c r="DC13" i="11" s="1"/>
  <c r="CX47" i="11"/>
  <c r="CY40" i="11"/>
  <c r="BQ33" i="11"/>
  <c r="AS28" i="11"/>
  <c r="AS32" i="11"/>
  <c r="CN20" i="11"/>
  <c r="CP20" i="11" s="1"/>
  <c r="DC20" i="11" s="1"/>
  <c r="BQ8" i="11"/>
  <c r="BQ19" i="11"/>
  <c r="CY39" i="11"/>
  <c r="CX28" i="11"/>
  <c r="AS41" i="11"/>
  <c r="CY31" i="11"/>
  <c r="BQ24" i="11"/>
  <c r="CX15" i="11"/>
  <c r="AS31" i="11"/>
  <c r="BQ46" i="11"/>
  <c r="CN47" i="11"/>
  <c r="CP47" i="11" s="1"/>
  <c r="DC47" i="11" s="1"/>
  <c r="CY38" i="11"/>
  <c r="BQ34" i="11"/>
  <c r="CN28" i="11"/>
  <c r="CP28" i="11" s="1"/>
  <c r="DC28" i="11" s="1"/>
  <c r="AS27" i="11"/>
  <c r="CX36" i="11"/>
  <c r="AS33" i="11"/>
  <c r="BQ35" i="11"/>
  <c r="CY23" i="11"/>
  <c r="CN35" i="11"/>
  <c r="CP35" i="11" s="1"/>
  <c r="DC35" i="11" s="1"/>
  <c r="BQ25" i="11"/>
  <c r="CN21" i="11"/>
  <c r="CP21" i="11" s="1"/>
  <c r="DC21" i="11" s="1"/>
  <c r="CN17" i="11"/>
  <c r="CP17" i="11" s="1"/>
  <c r="DC17" i="11" s="1"/>
  <c r="CN12" i="11"/>
  <c r="CP12" i="11" s="1"/>
  <c r="DC12" i="11" s="1"/>
  <c r="CY12" i="11"/>
  <c r="AS20" i="11"/>
  <c r="BQ18" i="11"/>
  <c r="BQ9" i="11"/>
  <c r="CX19" i="11"/>
  <c r="BQ47" i="11"/>
  <c r="BQ11" i="11"/>
  <c r="CN48" i="11"/>
  <c r="CP48" i="11" s="1"/>
  <c r="DC48" i="11" s="1"/>
  <c r="CY47" i="11"/>
  <c r="BQ42" i="11"/>
  <c r="CN39" i="11"/>
  <c r="CP39" i="11" s="1"/>
  <c r="DC39" i="11" s="1"/>
  <c r="CX34" i="11"/>
  <c r="CN40" i="11"/>
  <c r="CP40" i="11" s="1"/>
  <c r="DC40" i="11" s="1"/>
  <c r="CY34" i="11"/>
  <c r="AS30" i="11"/>
  <c r="CX23" i="11"/>
  <c r="CY37" i="11"/>
  <c r="BQ26" i="11"/>
  <c r="CY8" i="11"/>
  <c r="CX12" i="11"/>
  <c r="CY11" i="11"/>
  <c r="CX13" i="11"/>
  <c r="AS14" i="11"/>
  <c r="CN19" i="11"/>
  <c r="CP19" i="11" s="1"/>
  <c r="DC19" i="11" s="1"/>
  <c r="CY35" i="11"/>
  <c r="CX38" i="11"/>
  <c r="CN37" i="11"/>
  <c r="CP37" i="11" s="1"/>
  <c r="DC37" i="11" s="1"/>
  <c r="CX30" i="11"/>
  <c r="CX39" i="11"/>
  <c r="CY30" i="11"/>
  <c r="CX31" i="11"/>
  <c r="CN23" i="11"/>
  <c r="CP23" i="11" s="1"/>
  <c r="DC23" i="11" s="1"/>
  <c r="CY17" i="11"/>
  <c r="CN27" i="11"/>
  <c r="CP27" i="11" s="1"/>
  <c r="DC27" i="11" s="1"/>
  <c r="AS15" i="11"/>
  <c r="CY10" i="11"/>
  <c r="AS18" i="11"/>
  <c r="AS34" i="11"/>
  <c r="BQ10" i="11"/>
  <c r="CY46" i="11"/>
  <c r="AS42" i="11"/>
  <c r="CX40" i="11"/>
  <c r="CY36" i="11"/>
  <c r="CN32" i="11"/>
  <c r="CP32" i="11" s="1"/>
  <c r="DC32" i="11" s="1"/>
  <c r="CN36" i="11"/>
  <c r="CP36" i="11" s="1"/>
  <c r="DC36" i="11" s="1"/>
  <c r="CN26" i="11"/>
  <c r="CP26" i="11" s="1"/>
  <c r="DC26" i="11" s="1"/>
  <c r="AS24" i="11"/>
  <c r="CN38" i="11"/>
  <c r="CP38" i="11" s="1"/>
  <c r="DC38" i="11" s="1"/>
  <c r="CX26" i="11"/>
  <c r="CY16" i="11"/>
  <c r="CX37" i="11"/>
  <c r="AS17" i="11"/>
  <c r="CN31" i="11"/>
  <c r="CP31" i="11" s="1"/>
  <c r="DC31" i="11" s="1"/>
  <c r="BQ36" i="11"/>
  <c r="CN18" i="11"/>
  <c r="CP18" i="11" s="1"/>
  <c r="DC18" i="11" s="1"/>
  <c r="CX14" i="11"/>
  <c r="CY9" i="11"/>
  <c r="BQ14" i="11"/>
  <c r="DB28" i="11" l="1"/>
  <c r="DB12" i="11"/>
  <c r="DE12" i="11" s="1"/>
  <c r="DF12" i="11" s="1"/>
  <c r="DG12" i="11" s="1"/>
  <c r="DN12" i="11" s="1"/>
  <c r="DB13" i="11"/>
  <c r="DE13" i="11" s="1"/>
  <c r="DF13" i="11" s="1"/>
  <c r="DG13" i="11" s="1"/>
  <c r="DN13" i="11" s="1"/>
  <c r="DB11" i="11"/>
  <c r="DE11" i="11" s="1"/>
  <c r="DF11" i="11" s="1"/>
  <c r="DG11" i="11" s="1"/>
  <c r="DN11" i="11" s="1"/>
  <c r="DB16" i="11"/>
  <c r="DE16" i="11" s="1"/>
  <c r="DF16" i="11" s="1"/>
  <c r="DG16" i="11" s="1"/>
  <c r="DN16" i="11" s="1"/>
  <c r="DB25" i="11"/>
  <c r="BQ7" i="11"/>
  <c r="DB46" i="11"/>
  <c r="AS7" i="11"/>
  <c r="DB20" i="11"/>
  <c r="DE20" i="11" s="1"/>
  <c r="DF20" i="11" s="1"/>
  <c r="DB35" i="11"/>
  <c r="DE35" i="11" s="1"/>
  <c r="DF35" i="11" s="1"/>
  <c r="DB45" i="11"/>
  <c r="DE45" i="11" s="1"/>
  <c r="DF45" i="11" s="1"/>
  <c r="DG45" i="11" s="1"/>
  <c r="DN45" i="11" s="1"/>
  <c r="DB22" i="11"/>
  <c r="DE22" i="11" s="1"/>
  <c r="DF22" i="11" s="1"/>
  <c r="DG22" i="11" s="1"/>
  <c r="DN22" i="11" s="1"/>
  <c r="DB29" i="11"/>
  <c r="DE29" i="11" s="1"/>
  <c r="DF29" i="11" s="1"/>
  <c r="DG29" i="11" s="1"/>
  <c r="DN29" i="11" s="1"/>
  <c r="DB41" i="11"/>
  <c r="DE41" i="11" s="1"/>
  <c r="DF41" i="11" s="1"/>
  <c r="DG41" i="11" s="1"/>
  <c r="DN41" i="11" s="1"/>
  <c r="DB9" i="11"/>
  <c r="DE9" i="11" s="1"/>
  <c r="DF9" i="11" s="1"/>
  <c r="DG9" i="11" s="1"/>
  <c r="DN9" i="11" s="1"/>
  <c r="DB33" i="11"/>
  <c r="DB34" i="11"/>
  <c r="DE34" i="11" s="1"/>
  <c r="DF34" i="11" s="1"/>
  <c r="DG34" i="11" s="1"/>
  <c r="DN34" i="11" s="1"/>
  <c r="DB44" i="11"/>
  <c r="DE44" i="11" s="1"/>
  <c r="DF44" i="11" s="1"/>
  <c r="DG44" i="11" s="1"/>
  <c r="DN44" i="11" s="1"/>
  <c r="DB42" i="11"/>
  <c r="DE42" i="11" s="1"/>
  <c r="DF42" i="11" s="1"/>
  <c r="DG42" i="11" s="1"/>
  <c r="DN42" i="11" s="1"/>
  <c r="DB10" i="11"/>
  <c r="DE10" i="11" s="1"/>
  <c r="DF10" i="11" s="1"/>
  <c r="DG10" i="11" s="1"/>
  <c r="DN10" i="11" s="1"/>
  <c r="DB21" i="11"/>
  <c r="DE21" i="11" s="1"/>
  <c r="DF21" i="11" s="1"/>
  <c r="DG21" i="11" s="1"/>
  <c r="DN21" i="11" s="1"/>
  <c r="DB47" i="11"/>
  <c r="DE47" i="11" s="1"/>
  <c r="DF47" i="11" s="1"/>
  <c r="DG47" i="11" s="1"/>
  <c r="DN47" i="11" s="1"/>
  <c r="DB17" i="11"/>
  <c r="DE17" i="11" s="1"/>
  <c r="DF17" i="11" s="1"/>
  <c r="DG17" i="11" s="1"/>
  <c r="DN17" i="11" s="1"/>
  <c r="DB15" i="11"/>
  <c r="DE15" i="11" s="1"/>
  <c r="DF15" i="11" s="1"/>
  <c r="DG15" i="11" s="1"/>
  <c r="DN15" i="11" s="1"/>
  <c r="DB24" i="11"/>
  <c r="DE24" i="11" s="1"/>
  <c r="DF24" i="11" s="1"/>
  <c r="DG24" i="11" s="1"/>
  <c r="DN24" i="11" s="1"/>
  <c r="DB30" i="11"/>
  <c r="DE30" i="11" s="1"/>
  <c r="DF30" i="11" s="1"/>
  <c r="DG30" i="11" s="1"/>
  <c r="DN30" i="11" s="1"/>
  <c r="DB26" i="11"/>
  <c r="DE26" i="11" s="1"/>
  <c r="DF26" i="11" s="1"/>
  <c r="DG26" i="11" s="1"/>
  <c r="DN26" i="11" s="1"/>
  <c r="DE43" i="11"/>
  <c r="DF43" i="11" s="1"/>
  <c r="DG43" i="11" s="1"/>
  <c r="DN43" i="11" s="1"/>
  <c r="DB39" i="11"/>
  <c r="DB36" i="11"/>
  <c r="DE46" i="11"/>
  <c r="DF46" i="11" s="1"/>
  <c r="DG46" i="11" s="1"/>
  <c r="DN46" i="11" s="1"/>
  <c r="DB19" i="11"/>
  <c r="DB31" i="11"/>
  <c r="DB14" i="11"/>
  <c r="DE25" i="11"/>
  <c r="DF25" i="11" s="1"/>
  <c r="DG25" i="11" s="1"/>
  <c r="DN25" i="11" s="1"/>
  <c r="DB48" i="11"/>
  <c r="DB37" i="11"/>
  <c r="DE8" i="11"/>
  <c r="DF8" i="11" s="1"/>
  <c r="DG8" i="11" s="1"/>
  <c r="DN8" i="11" s="1"/>
  <c r="DB40" i="11"/>
  <c r="DB18" i="11"/>
  <c r="DB32" i="11"/>
  <c r="DB23" i="11"/>
  <c r="DB38" i="11"/>
  <c r="DE33" i="11"/>
  <c r="DF33" i="11" s="1"/>
  <c r="DG33" i="11" s="1"/>
  <c r="DN33" i="11" s="1"/>
  <c r="DB27" i="11"/>
  <c r="DE28" i="11"/>
  <c r="DF28" i="11" s="1"/>
  <c r="DG28" i="11" s="1"/>
  <c r="DN28" i="11" s="1"/>
  <c r="DB7" i="11" l="1"/>
  <c r="DG20" i="11"/>
  <c r="DN20" i="11" s="1"/>
  <c r="DG35" i="11"/>
  <c r="DN35" i="11" s="1"/>
  <c r="DE37" i="11"/>
  <c r="DF37" i="11" s="1"/>
  <c r="DG37" i="11" s="1"/>
  <c r="DN37" i="11" s="1"/>
  <c r="DE14" i="11"/>
  <c r="DF14" i="11" s="1"/>
  <c r="DG14" i="11" s="1"/>
  <c r="DN14" i="11" s="1"/>
  <c r="DE39" i="11"/>
  <c r="DF39" i="11" s="1"/>
  <c r="DG39" i="11" s="1"/>
  <c r="DN39" i="11" s="1"/>
  <c r="DE32" i="11"/>
  <c r="DF32" i="11" s="1"/>
  <c r="DG32" i="11" s="1"/>
  <c r="DN32" i="11" s="1"/>
  <c r="DE18" i="11"/>
  <c r="DF18" i="11" s="1"/>
  <c r="DG18" i="11" s="1"/>
  <c r="DN18" i="11" s="1"/>
  <c r="DE38" i="11"/>
  <c r="DF38" i="11" s="1"/>
  <c r="DG38" i="11" s="1"/>
  <c r="DN38" i="11" s="1"/>
  <c r="DE48" i="11"/>
  <c r="DF48" i="11" s="1"/>
  <c r="DG48" i="11" s="1"/>
  <c r="DN48" i="11" s="1"/>
  <c r="DE31" i="11"/>
  <c r="DF31" i="11" s="1"/>
  <c r="DG31" i="11" s="1"/>
  <c r="DN31" i="11" s="1"/>
  <c r="DE36" i="11"/>
  <c r="DF36" i="11" s="1"/>
  <c r="DG36" i="11" s="1"/>
  <c r="DN36" i="11" s="1"/>
  <c r="DE40" i="11"/>
  <c r="DF40" i="11" s="1"/>
  <c r="DG40" i="11" s="1"/>
  <c r="DN40" i="11" s="1"/>
  <c r="DE27" i="11"/>
  <c r="DF27" i="11" s="1"/>
  <c r="DG27" i="11" s="1"/>
  <c r="DN27" i="11" s="1"/>
  <c r="DE23" i="11"/>
  <c r="DF23" i="11" s="1"/>
  <c r="DG23" i="11" s="1"/>
  <c r="DN23" i="11" s="1"/>
  <c r="DE19" i="11"/>
  <c r="DF19" i="11" s="1"/>
  <c r="DG19" i="11" s="1"/>
  <c r="DN19" i="11" s="1"/>
  <c r="DN8" i="9" l="1"/>
  <c r="CT8" i="9"/>
  <c r="CV8" i="9" l="1"/>
  <c r="CS8" i="9"/>
  <c r="CW8" i="9"/>
  <c r="CX8" i="9"/>
  <c r="CZ8" i="9" l="1"/>
  <c r="CY8" i="9"/>
  <c r="AJ8" i="9" l="1"/>
  <c r="CP8" i="9" s="1"/>
  <c r="CG8" i="9" l="1"/>
  <c r="CD8" i="9"/>
  <c r="CJ8" i="9"/>
  <c r="BU8" i="9"/>
  <c r="CM8" i="9"/>
  <c r="BX8" i="9"/>
  <c r="CA8" i="9"/>
  <c r="CO8" i="9" l="1"/>
  <c r="CQ8" i="9" l="1"/>
  <c r="AG8" i="9" l="1"/>
  <c r="AH8" i="9"/>
  <c r="AK8" i="9" s="1"/>
  <c r="AL8" i="9" l="1"/>
  <c r="AM8" i="9" s="1"/>
  <c r="DE8" i="9" s="1"/>
  <c r="AS8" i="9"/>
  <c r="AO8" i="9" l="1"/>
  <c r="AB8" i="9" l="1"/>
  <c r="BH8" i="9"/>
  <c r="AE8" i="9" l="1"/>
  <c r="AI8" i="9"/>
  <c r="AT8" i="9" s="1"/>
  <c r="AZ8" i="9" l="1"/>
  <c r="BN8" i="9"/>
  <c r="BL8" i="9"/>
  <c r="BB8" i="9"/>
  <c r="BF8" i="9"/>
  <c r="BD8" i="9"/>
  <c r="AX8" i="9"/>
  <c r="BJ8" i="9"/>
  <c r="AV8" i="9"/>
  <c r="BR8" i="9" l="1"/>
  <c r="DC8" i="9" s="1"/>
  <c r="DG8" i="9" l="1"/>
  <c r="DH8" i="9" s="1"/>
  <c r="DI8" i="9" s="1"/>
  <c r="DP8" i="9" s="1"/>
  <c r="AT7" i="9" l="1"/>
  <c r="DC7" i="9" l="1"/>
</calcChain>
</file>

<file path=xl/sharedStrings.xml><?xml version="1.0" encoding="utf-8"?>
<sst xmlns="http://schemas.openxmlformats.org/spreadsheetml/2006/main" count="830" uniqueCount="305">
  <si>
    <t>Non-Tax</t>
  </si>
  <si>
    <t>Total</t>
  </si>
  <si>
    <t>Position</t>
  </si>
  <si>
    <t>Male</t>
  </si>
  <si>
    <t>Trần Kim Tuấn</t>
  </si>
  <si>
    <t>Adjust by monthly</t>
  </si>
  <si>
    <t>Violation Resignation procedure</t>
  </si>
  <si>
    <t>Recovery Health Insurance</t>
  </si>
  <si>
    <t>Uniform</t>
  </si>
  <si>
    <t>After deduction</t>
  </si>
  <si>
    <t>Tax</t>
  </si>
  <si>
    <t>Income after deduction</t>
  </si>
  <si>
    <t>Non-tax</t>
  </si>
  <si>
    <t>Before deduction</t>
  </si>
  <si>
    <t>Trade Union
Company Side
(2%)</t>
  </si>
  <si>
    <t>Company Side
(21,5%)</t>
  </si>
  <si>
    <t>Employee Side
(10,5%)</t>
  </si>
  <si>
    <t>Unemployment Insurance
(1%)</t>
  </si>
  <si>
    <t>Health Insurance
(3%)</t>
  </si>
  <si>
    <t>Social Insurance
(17,5%)</t>
  </si>
  <si>
    <t>Health Insurance
(1,5%)</t>
  </si>
  <si>
    <t>Social Insurance
(8%)</t>
  </si>
  <si>
    <t>Taxable</t>
  </si>
  <si>
    <t>Total Amount</t>
  </si>
  <si>
    <t>OT Hour</t>
  </si>
  <si>
    <t>Salary OT</t>
  </si>
  <si>
    <t>Probation OT</t>
  </si>
  <si>
    <t>Official OT</t>
  </si>
  <si>
    <t>Sub-Total
(85%+100%)</t>
  </si>
  <si>
    <t>Standard</t>
  </si>
  <si>
    <t>Sub-Total
(85% or 100%)</t>
  </si>
  <si>
    <t>Annual leave Paid
(If not used)</t>
  </si>
  <si>
    <t>Annual Leave</t>
  </si>
  <si>
    <t>Non-Tax Salary for Night</t>
  </si>
  <si>
    <t>Salary for Nightshift
F = D*E</t>
  </si>
  <si>
    <t>Nightshift (30%)
D=C*30%</t>
  </si>
  <si>
    <t>Basic OT
 ( Salary+ Allowances)</t>
  </si>
  <si>
    <t>Acutal Basic salary
=85% Probation+ 100% Official time</t>
  </si>
  <si>
    <t>Hourly Salary
C=A/208</t>
  </si>
  <si>
    <t>Daily Basic salary
B=A/26</t>
  </si>
  <si>
    <t>Basic Salary
(Fix amount)</t>
  </si>
  <si>
    <t>Non-Probation Working days</t>
  </si>
  <si>
    <t>Nightshift
Hour</t>
  </si>
  <si>
    <t>Total working day</t>
  </si>
  <si>
    <t>Minute Late</t>
  </si>
  <si>
    <t>Come Late</t>
  </si>
  <si>
    <t>Legal Leave</t>
  </si>
  <si>
    <t>Day-off Without permission</t>
  </si>
  <si>
    <t>Day-off with Permission</t>
  </si>
  <si>
    <t>Actual working day</t>
  </si>
  <si>
    <t>Standard Working Days</t>
  </si>
  <si>
    <t>Annual leave</t>
  </si>
  <si>
    <t>Enter date</t>
  </si>
  <si>
    <t>Gender</t>
  </si>
  <si>
    <t>ID card</t>
  </si>
  <si>
    <t>Name</t>
  </si>
  <si>
    <t>MSCC</t>
  </si>
  <si>
    <t>No</t>
  </si>
  <si>
    <t>Employer Side(21,5%)</t>
  </si>
  <si>
    <t>Employee Side ( 10,5%)</t>
  </si>
  <si>
    <t>Total Salary for Join Insurance</t>
  </si>
  <si>
    <t>OT Salary</t>
  </si>
  <si>
    <t>4. 200%
Sunday</t>
  </si>
  <si>
    <t>3. 210% Night Time</t>
  </si>
  <si>
    <t>1. 150% Normal OT</t>
  </si>
  <si>
    <t>9. Renting House</t>
  </si>
  <si>
    <t>8. Mobile Phone</t>
  </si>
  <si>
    <t>7. Gasoline Support</t>
  </si>
  <si>
    <t>6. Fullmonth allowances
Maximum 1 days come late
Absent &lt;= 2 Hour</t>
  </si>
  <si>
    <t>4. Cell Leader</t>
  </si>
  <si>
    <t>3. Language</t>
  </si>
  <si>
    <t>2. Skillfull and Attitude</t>
  </si>
  <si>
    <t>VIII. Final Salary</t>
  </si>
  <si>
    <t>Unemployment</t>
  </si>
  <si>
    <t>Total Deduction</t>
  </si>
  <si>
    <t>VII. Deduction</t>
  </si>
  <si>
    <t>VI. Income Before and After Tax</t>
  </si>
  <si>
    <t>V. Total Insurance</t>
  </si>
  <si>
    <t>Rate</t>
  </si>
  <si>
    <t>VI. OT SALARY</t>
  </si>
  <si>
    <t>Total allowance + Support Fee</t>
  </si>
  <si>
    <t>IV.SUPPORT FEE  ( NOT JOIN INSURANCE AND OT)
WILL NOT RECEIVED IF DAY-OFF WITHOUT PERMISSION &gt;=3 DAYS</t>
  </si>
  <si>
    <t>III. ALLOWANCES ( JOIN INSURANCE AND OT)
WILL NOT RECEIVED IF DAY-OFF WITHOUT PERMISSION &gt;=3 DAYS</t>
  </si>
  <si>
    <t>(II) WORKING TIME SALARY</t>
  </si>
  <si>
    <t>PROBATION WORKING TIME(85%)</t>
  </si>
  <si>
    <t xml:space="preserve">TOTAL WORKING TIME </t>
  </si>
  <si>
    <t>Last day of month</t>
  </si>
  <si>
    <t>(I) Employee Information</t>
  </si>
  <si>
    <t>1. Position</t>
  </si>
  <si>
    <t>Staff-Leader 3</t>
  </si>
  <si>
    <t>11.Menstruation
90 Minutes for Female</t>
  </si>
  <si>
    <t>10. Meal Support Fee</t>
  </si>
  <si>
    <t>Nguyễn Trác Dũng</t>
  </si>
  <si>
    <t>001076001961</t>
  </si>
  <si>
    <t>During Probation Time
Y: Yes
N: No</t>
  </si>
  <si>
    <t>CÔNG TY TNHH DAEJOO EMV</t>
  </si>
  <si>
    <t>Lô 07-CNSG, Khu CN Vân Trung, Xã Vân Trung, Huyện Việt Yên, Tỉnh Bắc Giang</t>
  </si>
  <si>
    <t>019092003207</t>
  </si>
  <si>
    <t>Tax Deduction
Dependence</t>
  </si>
  <si>
    <t>N</t>
  </si>
  <si>
    <t>Vi Thị Ngân</t>
  </si>
  <si>
    <t>Nguyễn Thị Lệ</t>
  </si>
  <si>
    <t>020303001143</t>
  </si>
  <si>
    <t>024173001623</t>
  </si>
  <si>
    <t>Female</t>
  </si>
  <si>
    <t>Nguyễn Tuấn Anh</t>
  </si>
  <si>
    <t>027090016465</t>
  </si>
  <si>
    <t>Probation time
Staff: 60 D
Driver: 30 D
Cleaner/Worker: 06 D</t>
  </si>
  <si>
    <t>DoB</t>
  </si>
  <si>
    <t>Nguyễn Thị Thúy</t>
  </si>
  <si>
    <t>Lê Thị Thanh Hương</t>
  </si>
  <si>
    <t>024194014956</t>
  </si>
  <si>
    <t>038194002925</t>
  </si>
  <si>
    <t>Staff</t>
  </si>
  <si>
    <t>NV00030</t>
  </si>
  <si>
    <t>NV00031</t>
  </si>
  <si>
    <t>NV00032</t>
  </si>
  <si>
    <t>Đinh Thị Lương</t>
  </si>
  <si>
    <t>Nguyễn Khánh Bảo</t>
  </si>
  <si>
    <t>Nguyễn Văn Luân</t>
  </si>
  <si>
    <t>022189007877</t>
  </si>
  <si>
    <t>024090009289</t>
  </si>
  <si>
    <t>024090008495</t>
  </si>
  <si>
    <t>Resignation</t>
  </si>
  <si>
    <t>Date</t>
  </si>
  <si>
    <t>FC</t>
  </si>
  <si>
    <t>Operator</t>
  </si>
  <si>
    <t>LX0004</t>
  </si>
  <si>
    <t>NV0003</t>
  </si>
  <si>
    <t>LX0008</t>
  </si>
  <si>
    <t>CN0006</t>
  </si>
  <si>
    <t>TV0007</t>
  </si>
  <si>
    <t>CN00037</t>
  </si>
  <si>
    <t>NV00040</t>
  </si>
  <si>
    <t>NV00041</t>
  </si>
  <si>
    <t>Trần Thị Hồng</t>
  </si>
  <si>
    <t>Nguyễn Thị Hương</t>
  </si>
  <si>
    <t>Nguyễn Xuân Anh</t>
  </si>
  <si>
    <t>024196015496</t>
  </si>
  <si>
    <t>024191019122</t>
  </si>
  <si>
    <t>024200000689</t>
  </si>
  <si>
    <t>F.Worker</t>
  </si>
  <si>
    <t>Minimum Salary
3.640.000 VND</t>
  </si>
  <si>
    <t>CN00050</t>
  </si>
  <si>
    <t>Triệu Thị Hà</t>
  </si>
  <si>
    <t>CN00052</t>
  </si>
  <si>
    <t>Giáp Thị Huyền</t>
  </si>
  <si>
    <t>091985876</t>
  </si>
  <si>
    <t>024302004476</t>
  </si>
  <si>
    <t>NV00053</t>
  </si>
  <si>
    <t>NV00054</t>
  </si>
  <si>
    <t>NV00055</t>
  </si>
  <si>
    <t>Tống Minh Phương</t>
  </si>
  <si>
    <t>Hoàng Thị Nhung</t>
  </si>
  <si>
    <t>Tạ Thị Lương</t>
  </si>
  <si>
    <t>024091002783</t>
  </si>
  <si>
    <t>024190013737</t>
  </si>
  <si>
    <t>019191006545</t>
  </si>
  <si>
    <t>Fund for Disaster</t>
  </si>
  <si>
    <t>CN0011</t>
  </si>
  <si>
    <t>CN0012</t>
  </si>
  <si>
    <t>Salary Nightshift Holiday (300%)</t>
  </si>
  <si>
    <t>Total Salary = Working salary+ Night time + Annual Leave+ 300% Night Hoiday</t>
  </si>
  <si>
    <t>Hourly Nightshift Holiday(300%)
Former Time</t>
  </si>
  <si>
    <t>Hourly Nightshift Holiday(300%)
Probation</t>
  </si>
  <si>
    <t>6. Duty allowance</t>
  </si>
  <si>
    <t>5. Microscope</t>
  </si>
  <si>
    <t>CN00062</t>
  </si>
  <si>
    <t>CN00067</t>
  </si>
  <si>
    <t>CN00069</t>
  </si>
  <si>
    <t>CN00070</t>
  </si>
  <si>
    <t>CN00074</t>
  </si>
  <si>
    <t>CN00076</t>
  </si>
  <si>
    <t>CN00077</t>
  </si>
  <si>
    <t>CN00078</t>
  </si>
  <si>
    <t>CN00080</t>
  </si>
  <si>
    <t>CN00081</t>
  </si>
  <si>
    <t>CN00082</t>
  </si>
  <si>
    <t>CN00085</t>
  </si>
  <si>
    <t>Hoàng Khánh Duy</t>
  </si>
  <si>
    <t>Đinh Thị Lan</t>
  </si>
  <si>
    <t>Vi Thị Hằng</t>
  </si>
  <si>
    <t>Trần Đăng Hải</t>
  </si>
  <si>
    <t>Vi Thị Loan</t>
  </si>
  <si>
    <t>Lại Thị Tươi</t>
  </si>
  <si>
    <t>Lại Thị Thắm</t>
  </si>
  <si>
    <t>Trần Văn Túc</t>
  </si>
  <si>
    <t>Phùng Thị Hiền</t>
  </si>
  <si>
    <t>Lê Thị Hạnh</t>
  </si>
  <si>
    <t>Lý Văn Dương</t>
  </si>
  <si>
    <t>Huống Thị Việt</t>
  </si>
  <si>
    <t>024097002162</t>
  </si>
  <si>
    <t>022187012938</t>
  </si>
  <si>
    <t>024301011778</t>
  </si>
  <si>
    <t>024200005015</t>
  </si>
  <si>
    <t>024195008943</t>
  </si>
  <si>
    <t>024198003493</t>
  </si>
  <si>
    <t>024303004372</t>
  </si>
  <si>
    <t>024096008787</t>
  </si>
  <si>
    <t>020197007538</t>
  </si>
  <si>
    <t>024300003865</t>
  </si>
  <si>
    <t>019099005875</t>
  </si>
  <si>
    <t>040193013658</t>
  </si>
  <si>
    <t>Male worker</t>
  </si>
  <si>
    <t>Reason</t>
  </si>
  <si>
    <t>Pregnancy</t>
  </si>
  <si>
    <t>Maternity</t>
  </si>
  <si>
    <t>From</t>
  </si>
  <si>
    <t>To</t>
  </si>
  <si>
    <t>4. 270%
Sunday</t>
  </si>
  <si>
    <t>5. 300%
Holiday</t>
  </si>
  <si>
    <t>6. 390%
Holiday</t>
  </si>
  <si>
    <t>NV00086</t>
  </si>
  <si>
    <t>CN00087</t>
  </si>
  <si>
    <t>CN00088</t>
  </si>
  <si>
    <t>CN00089</t>
  </si>
  <si>
    <t>CN00091</t>
  </si>
  <si>
    <t>Nguyễn Thị Hồng Nhung</t>
  </si>
  <si>
    <t>Diệp Thị Liên</t>
  </si>
  <si>
    <t>Hoàng Thị Na</t>
  </si>
  <si>
    <t>Triệu Tuyết Ngân</t>
  </si>
  <si>
    <t>Vi Thị Dưỡng</t>
  </si>
  <si>
    <t>024185013524</t>
  </si>
  <si>
    <t>024189012936</t>
  </si>
  <si>
    <t>020302004539</t>
  </si>
  <si>
    <t>020303000991</t>
  </si>
  <si>
    <t>024191009397</t>
  </si>
  <si>
    <t>2. 200% Night Time
+ (Sunday)</t>
  </si>
  <si>
    <t>CN00094</t>
  </si>
  <si>
    <t>CN00095</t>
  </si>
  <si>
    <t>CN00096</t>
  </si>
  <si>
    <t>Nguyễn Thị Hường</t>
  </si>
  <si>
    <t>Hà Thị Thơm</t>
  </si>
  <si>
    <t>Lý Thị Hiền</t>
  </si>
  <si>
    <t>024197010712</t>
  </si>
  <si>
    <t>014194004063</t>
  </si>
  <si>
    <t>020196001453</t>
  </si>
  <si>
    <t>Trade Union
Employee Side
30.000 VND</t>
  </si>
  <si>
    <t>CN00098</t>
  </si>
  <si>
    <t>Hoàng Thị Huế</t>
  </si>
  <si>
    <t>CN00099</t>
  </si>
  <si>
    <t>Triệu Chung Chiến</t>
  </si>
  <si>
    <t>NV00100</t>
  </si>
  <si>
    <t>Nguyễn Văn Minh</t>
  </si>
  <si>
    <t>019197002587</t>
  </si>
  <si>
    <t>019094006630</t>
  </si>
  <si>
    <t>024095002720</t>
  </si>
  <si>
    <t>Ngày phép/ tháng</t>
  </si>
  <si>
    <t>Ngày làm việc thực tế</t>
  </si>
  <si>
    <t>Nghỉ phép</t>
  </si>
  <si>
    <t>Không phép</t>
  </si>
  <si>
    <t>Phép năm</t>
  </si>
  <si>
    <t>Ngày làm chính thức</t>
  </si>
  <si>
    <t>LCB/tháng</t>
  </si>
  <si>
    <t>LCB/ngày</t>
  </si>
  <si>
    <t>LCB/giờ</t>
  </si>
  <si>
    <t>LCB thực tế</t>
  </si>
  <si>
    <t>Lương tính OT</t>
  </si>
  <si>
    <t>Ca đêm
(30%)</t>
  </si>
  <si>
    <t>Lương ca đêm</t>
  </si>
  <si>
    <t>Lương ca đêm k thuế</t>
  </si>
  <si>
    <t>còn phép</t>
  </si>
  <si>
    <t>Trả tiền phép</t>
  </si>
  <si>
    <t>Chức vụ</t>
  </si>
  <si>
    <t>Kỹ năng,TĐ</t>
  </si>
  <si>
    <t>Ngôn ngữ</t>
  </si>
  <si>
    <t>Tổ trưởng</t>
  </si>
  <si>
    <t>Soi kính</t>
  </si>
  <si>
    <t>Trách nhiệm</t>
  </si>
  <si>
    <t>Chuyên cần</t>
  </si>
  <si>
    <t>Xăng xe</t>
  </si>
  <si>
    <t>Điện thoại</t>
  </si>
  <si>
    <t>Nhà ở</t>
  </si>
  <si>
    <t>Hỗ trợ khác</t>
  </si>
  <si>
    <t>Kinh kỳ</t>
  </si>
  <si>
    <t>Tổng pc và hỗ trợ</t>
  </si>
  <si>
    <t>Tổng pc và hỗ trợ thực  tế</t>
  </si>
  <si>
    <t>Chính thức</t>
  </si>
  <si>
    <t>BHXH</t>
  </si>
  <si>
    <t>BHYT</t>
  </si>
  <si>
    <t>BHTN</t>
  </si>
  <si>
    <t>BHXH( NLĐ)</t>
  </si>
  <si>
    <t>Công đoàn(NLĐ)</t>
  </si>
  <si>
    <t>Công đoàn( Cty)</t>
  </si>
  <si>
    <t>Before deduction
Trước khi khấu trừ</t>
  </si>
  <si>
    <t>Không chịu thuế</t>
  </si>
  <si>
    <t>Giảm trừ phụ thuộc</t>
  </si>
  <si>
    <t>Thu nhập chịu thuế</t>
  </si>
  <si>
    <t>Thuế TNCN</t>
  </si>
  <si>
    <t>Thu nhập sau thuế</t>
  </si>
  <si>
    <t>VII. Deduction
Khấu trừ</t>
  </si>
  <si>
    <t>Đồng phục</t>
  </si>
  <si>
    <t>BHYT(4,5%)</t>
  </si>
  <si>
    <t>Vi phạm quy định nghỉ việc</t>
  </si>
  <si>
    <t>Tổng khấu trừ</t>
  </si>
  <si>
    <t>Trợ cấp mất việc</t>
  </si>
  <si>
    <t xml:space="preserve">Thử việc 85% </t>
  </si>
  <si>
    <t>Nghỉ hiếu hỉ</t>
  </si>
  <si>
    <t>Giờ ca đêm
CT(130%)</t>
  </si>
  <si>
    <t>Giờ ca đêm TV(130%)</t>
  </si>
  <si>
    <t>Lần đến muộn, về sớm</t>
  </si>
  <si>
    <t>Giờ đến muộn, về sớm</t>
  </si>
  <si>
    <t>Qũy thiên tai
( 1năm/lần)</t>
  </si>
  <si>
    <t>Incentive bonus</t>
  </si>
  <si>
    <t>Thưởng Khích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</si>
</sst>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0.000"/>
    <numFmt numFmtId="168" formatCode="_(* #,##0.0_);_(* \(#,##0.0\);_(* &quot;-&quot;??_);_(@_)"/>
    <numFmt numFmtId="169" formatCode="0.0%"/>
  </numFmts>
  <fonts count="2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3"/>
      <charset val="129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6"/>
      <color theme="0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8"/>
      <color theme="0"/>
      <name val="Times New Roman"/>
      <family val="1"/>
    </font>
    <font>
      <b/>
      <sz val="12"/>
      <color theme="0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Arial"/>
      <family val="2"/>
    </font>
    <font>
      <sz val="16"/>
      <color theme="1"/>
      <name val="Times New Roman"/>
      <family val="1"/>
    </font>
    <font>
      <sz val="10"/>
      <name val="Arial"/>
      <family val="2"/>
    </font>
    <font>
      <sz val="16"/>
      <name val="Arial"/>
      <family val="2"/>
    </font>
    <font>
      <b/>
      <sz val="16"/>
      <color theme="1"/>
      <name val="Times New Roman"/>
      <family val="1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0" fontId="17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1" fillId="0" borderId="0"/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1" fillId="0" borderId="0" xfId="1" applyNumberFormat="1" applyFont="1"/>
    <xf numFmtId="166" fontId="1" fillId="0" borderId="0" xfId="0" applyNumberFormat="1" applyFont="1"/>
    <xf numFmtId="0" fontId="8" fillId="0" borderId="0" xfId="0" applyFont="1"/>
    <xf numFmtId="15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43" fontId="1" fillId="0" borderId="0" xfId="0" applyNumberFormat="1" applyFont="1"/>
    <xf numFmtId="3" fontId="1" fillId="0" borderId="0" xfId="0" applyNumberFormat="1" applyFont="1"/>
    <xf numFmtId="3" fontId="1" fillId="0" borderId="0" xfId="1" applyNumberFormat="1" applyFont="1"/>
    <xf numFmtId="0" fontId="9" fillId="0" borderId="0" xfId="0" applyFont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166" fontId="10" fillId="4" borderId="1" xfId="1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6" fontId="10" fillId="6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8" fontId="9" fillId="0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164" fontId="1" fillId="0" borderId="0" xfId="3" applyFont="1" applyFill="1" applyAlignment="1"/>
    <xf numFmtId="0" fontId="6" fillId="0" borderId="0" xfId="0" applyFont="1"/>
    <xf numFmtId="0" fontId="18" fillId="0" borderId="0" xfId="0" applyFont="1"/>
    <xf numFmtId="15" fontId="18" fillId="0" borderId="0" xfId="0" applyNumberFormat="1" applyFont="1"/>
    <xf numFmtId="0" fontId="18" fillId="0" borderId="0" xfId="0" applyFont="1" applyAlignment="1">
      <alignment horizontal="center" vertical="center"/>
    </xf>
    <xf numFmtId="0" fontId="19" fillId="0" borderId="0" xfId="0" applyFont="1"/>
    <xf numFmtId="3" fontId="6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5" borderId="1" xfId="1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5" fontId="14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6" fontId="14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166" fontId="9" fillId="7" borderId="1" xfId="1" applyNumberFormat="1" applyFont="1" applyFill="1" applyBorder="1" applyAlignment="1">
      <alignment horizontal="center" vertical="center"/>
    </xf>
    <xf numFmtId="168" fontId="10" fillId="0" borderId="1" xfId="1" applyNumberFormat="1" applyFont="1" applyFill="1" applyBorder="1" applyAlignment="1">
      <alignment horizontal="center" vertical="center"/>
    </xf>
    <xf numFmtId="168" fontId="18" fillId="0" borderId="0" xfId="1" applyNumberFormat="1" applyFont="1"/>
    <xf numFmtId="168" fontId="1" fillId="0" borderId="0" xfId="1" applyNumberFormat="1" applyFont="1"/>
    <xf numFmtId="168" fontId="13" fillId="3" borderId="1" xfId="1" applyNumberFormat="1" applyFont="1" applyFill="1" applyBorder="1" applyAlignment="1">
      <alignment horizontal="center" vertical="center" wrapText="1"/>
    </xf>
    <xf numFmtId="4" fontId="18" fillId="0" borderId="0" xfId="0" applyNumberFormat="1" applyFont="1"/>
    <xf numFmtId="4" fontId="1" fillId="0" borderId="0" xfId="0" applyNumberFormat="1" applyFont="1"/>
    <xf numFmtId="4" fontId="13" fillId="3" borderId="1" xfId="0" applyNumberFormat="1" applyFont="1" applyFill="1" applyBorder="1" applyAlignment="1">
      <alignment horizontal="center" vertical="center" wrapText="1"/>
    </xf>
    <xf numFmtId="166" fontId="20" fillId="0" borderId="1" xfId="1" applyNumberFormat="1" applyFont="1" applyBorder="1" applyAlignment="1">
      <alignment horizontal="center" vertical="center" wrapText="1"/>
    </xf>
    <xf numFmtId="166" fontId="9" fillId="0" borderId="0" xfId="1" applyNumberFormat="1" applyFont="1" applyAlignment="1">
      <alignment horizontal="center" vertical="center"/>
    </xf>
    <xf numFmtId="166" fontId="22" fillId="7" borderId="1" xfId="1" applyNumberFormat="1" applyFont="1" applyFill="1" applyBorder="1" applyAlignment="1">
      <alignment horizontal="center" vertical="center"/>
    </xf>
    <xf numFmtId="165" fontId="1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5" fontId="20" fillId="0" borderId="1" xfId="0" applyNumberFormat="1" applyFont="1" applyBorder="1" applyAlignment="1">
      <alignment horizontal="center" vertical="center" wrapText="1"/>
    </xf>
    <xf numFmtId="166" fontId="23" fillId="0" borderId="1" xfId="1" applyNumberFormat="1" applyFont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43" fontId="20" fillId="7" borderId="1" xfId="0" applyNumberFormat="1" applyFont="1" applyFill="1" applyBorder="1" applyAlignment="1">
      <alignment horizontal="center" vertical="center" wrapText="1"/>
    </xf>
    <xf numFmtId="43" fontId="20" fillId="0" borderId="1" xfId="0" applyNumberFormat="1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168" fontId="23" fillId="3" borderId="1" xfId="1" applyNumberFormat="1" applyFont="1" applyFill="1" applyBorder="1" applyAlignment="1">
      <alignment horizontal="center" vertical="center" wrapText="1"/>
    </xf>
    <xf numFmtId="4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24" fillId="0" borderId="0" xfId="1" applyNumberFormat="1" applyFont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15" fontId="25" fillId="3" borderId="1" xfId="0" applyNumberFormat="1" applyFont="1" applyFill="1" applyBorder="1" applyAlignment="1">
      <alignment horizontal="center" vertical="center" wrapText="1"/>
    </xf>
    <xf numFmtId="169" fontId="10" fillId="0" borderId="1" xfId="1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top" wrapText="1"/>
    </xf>
    <xf numFmtId="16" fontId="25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168" fontId="25" fillId="3" borderId="1" xfId="1" applyNumberFormat="1" applyFont="1" applyFill="1" applyBorder="1" applyAlignment="1">
      <alignment horizontal="center" vertical="center" wrapText="1"/>
    </xf>
    <xf numFmtId="4" fontId="25" fillId="3" borderId="1" xfId="0" applyNumberFormat="1" applyFont="1" applyFill="1" applyBorder="1" applyAlignment="1">
      <alignment horizontal="center" vertical="center" wrapText="1"/>
    </xf>
    <xf numFmtId="166" fontId="26" fillId="0" borderId="1" xfId="1" applyNumberFormat="1" applyFont="1" applyBorder="1" applyAlignment="1">
      <alignment horizontal="center" vertical="center" wrapText="1"/>
    </xf>
    <xf numFmtId="166" fontId="26" fillId="0" borderId="1" xfId="1" applyNumberFormat="1" applyFont="1" applyBorder="1" applyAlignment="1">
      <alignment horizontal="center" vertical="center"/>
    </xf>
    <xf numFmtId="166" fontId="24" fillId="0" borderId="1" xfId="1" applyNumberFormat="1" applyFont="1" applyBorder="1" applyAlignment="1">
      <alignment horizontal="center" vertical="center" wrapText="1"/>
    </xf>
    <xf numFmtId="166" fontId="26" fillId="6" borderId="1" xfId="1" applyNumberFormat="1" applyFont="1" applyFill="1" applyBorder="1" applyAlignment="1">
      <alignment horizontal="center" vertical="center" wrapText="1"/>
    </xf>
    <xf numFmtId="166" fontId="24" fillId="6" borderId="1" xfId="1" applyNumberFormat="1" applyFont="1" applyFill="1" applyBorder="1" applyAlignment="1">
      <alignment horizontal="center" vertical="center" wrapText="1"/>
    </xf>
    <xf numFmtId="166" fontId="24" fillId="7" borderId="1" xfId="1" applyNumberFormat="1" applyFont="1" applyFill="1" applyBorder="1" applyAlignment="1">
      <alignment horizontal="center" vertical="center" wrapText="1"/>
    </xf>
    <xf numFmtId="166" fontId="26" fillId="3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15" fontId="9" fillId="2" borderId="1" xfId="0" applyNumberFormat="1" applyFont="1" applyFill="1" applyBorder="1" applyAlignment="1">
      <alignment horizontal="center" vertical="center"/>
    </xf>
    <xf numFmtId="168" fontId="9" fillId="2" borderId="1" xfId="1" applyNumberFormat="1" applyFont="1" applyFill="1" applyBorder="1" applyAlignment="1">
      <alignment horizontal="center" vertical="center"/>
    </xf>
    <xf numFmtId="166" fontId="10" fillId="2" borderId="1" xfId="1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center" vertical="center"/>
    </xf>
    <xf numFmtId="166" fontId="22" fillId="2" borderId="1" xfId="1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6" fontId="9" fillId="8" borderId="0" xfId="0" applyNumberFormat="1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center"/>
    </xf>
    <xf numFmtId="15" fontId="25" fillId="3" borderId="1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15" fontId="15" fillId="3" borderId="1" xfId="0" applyNumberFormat="1" applyFont="1" applyFill="1" applyBorder="1" applyAlignment="1">
      <alignment horizontal="center" vertical="center" wrapText="1"/>
    </xf>
    <xf numFmtId="15" fontId="15" fillId="3" borderId="4" xfId="0" applyNumberFormat="1" applyFont="1" applyFill="1" applyBorder="1" applyAlignment="1">
      <alignment horizontal="center" vertical="center" wrapText="1"/>
    </xf>
    <xf numFmtId="15" fontId="15" fillId="3" borderId="6" xfId="0" applyNumberFormat="1" applyFont="1" applyFill="1" applyBorder="1" applyAlignment="1">
      <alignment horizontal="center" vertical="center" wrapText="1"/>
    </xf>
    <xf numFmtId="15" fontId="15" fillId="3" borderId="5" xfId="0" applyNumberFormat="1" applyFont="1" applyFill="1" applyBorder="1" applyAlignment="1">
      <alignment horizontal="center" vertical="center" wrapText="1"/>
    </xf>
    <xf numFmtId="15" fontId="15" fillId="3" borderId="2" xfId="0" applyNumberFormat="1" applyFont="1" applyFill="1" applyBorder="1" applyAlignment="1">
      <alignment horizontal="center" vertical="center" wrapText="1"/>
    </xf>
    <xf numFmtId="15" fontId="15" fillId="3" borderId="7" xfId="0" applyNumberFormat="1" applyFont="1" applyFill="1" applyBorder="1" applyAlignment="1">
      <alignment horizontal="center" vertical="center" wrapText="1"/>
    </xf>
    <xf numFmtId="15" fontId="15" fillId="3" borderId="3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15" fontId="25" fillId="3" borderId="1" xfId="0" applyNumberFormat="1" applyFont="1" applyFill="1" applyBorder="1" applyAlignment="1">
      <alignment horizontal="center" vertical="center" wrapText="1"/>
    </xf>
    <xf numFmtId="15" fontId="25" fillId="3" borderId="4" xfId="0" applyNumberFormat="1" applyFont="1" applyFill="1" applyBorder="1" applyAlignment="1">
      <alignment horizontal="center" vertical="center" wrapText="1"/>
    </xf>
    <xf numFmtId="15" fontId="25" fillId="3" borderId="6" xfId="0" applyNumberFormat="1" applyFont="1" applyFill="1" applyBorder="1" applyAlignment="1">
      <alignment horizontal="center" vertical="center" wrapText="1"/>
    </xf>
    <xf numFmtId="15" fontId="25" fillId="3" borderId="5" xfId="0" applyNumberFormat="1" applyFont="1" applyFill="1" applyBorder="1" applyAlignment="1">
      <alignment horizontal="center" vertical="center" wrapText="1"/>
    </xf>
    <xf numFmtId="15" fontId="25" fillId="3" borderId="2" xfId="0" applyNumberFormat="1" applyFont="1" applyFill="1" applyBorder="1" applyAlignment="1">
      <alignment horizontal="center" vertical="center" wrapText="1"/>
    </xf>
    <xf numFmtId="15" fontId="25" fillId="3" borderId="7" xfId="0" applyNumberFormat="1" applyFont="1" applyFill="1" applyBorder="1" applyAlignment="1">
      <alignment horizontal="center" vertical="center" wrapText="1"/>
    </xf>
    <xf numFmtId="15" fontId="25" fillId="3" borderId="3" xfId="0" applyNumberFormat="1" applyFont="1" applyFill="1" applyBorder="1" applyAlignment="1">
      <alignment horizontal="center" vertical="center" wrapText="1"/>
    </xf>
    <xf numFmtId="9" fontId="25" fillId="3" borderId="1" xfId="0" applyNumberFormat="1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top" wrapText="1"/>
    </xf>
    <xf numFmtId="0" fontId="25" fillId="3" borderId="6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</cellXfs>
  <cellStyles count="10">
    <cellStyle name="Comma" xfId="1" builtinId="3"/>
    <cellStyle name="Comma [0]" xfId="3" builtinId="6"/>
    <cellStyle name="Comma 2 3 3" xfId="2" xr:uid="{00000000-0005-0000-0000-000002000000}"/>
    <cellStyle name="Comma 3" xfId="7" xr:uid="{00000000-0005-0000-0000-000003000000}"/>
    <cellStyle name="Comma 4" xfId="5" xr:uid="{00000000-0005-0000-0000-000004000000}"/>
    <cellStyle name="Comma 4 2" xfId="8" xr:uid="{00000000-0005-0000-0000-000005000000}"/>
    <cellStyle name="Normal" xfId="0" builtinId="0"/>
    <cellStyle name="Normal 2" xfId="9" xr:uid="{00000000-0005-0000-0000-000007000000}"/>
    <cellStyle name="Normal 3 17" xfId="4" xr:uid="{00000000-0005-0000-0000-000008000000}"/>
    <cellStyle name="Normal 4" xfId="6" xr:uid="{00000000-0005-0000-0000-000009000000}"/>
  </cellStyles>
  <dxfs count="0"/>
  <tableStyles count="0" defaultTableStyle="TableStyleMedium2" defaultPivotStyle="PivotStyleLight16"/>
  <colors>
    <mruColors>
      <color rgb="FF003399"/>
      <color rgb="FFFFCCFF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61"/>
  <sheetViews>
    <sheetView showGridLines="0" zoomScale="55" zoomScaleNormal="55" workbookViewId="0">
      <pane xSplit="7" ySplit="7" topLeftCell="AT14" activePane="bottomRight" state="frozen"/>
      <selection pane="topRight" activeCell="H1" sqref="H1"/>
      <selection pane="bottomLeft" activeCell="A8" sqref="A8"/>
      <selection pane="bottomRight" activeCell="AJ12" sqref="AJ12"/>
    </sheetView>
  </sheetViews>
  <sheetFormatPr defaultColWidth="8.85546875" defaultRowHeight="15" outlineLevelCol="1"/>
  <cols>
    <col min="1" max="1" width="9.7109375" style="1" customWidth="1"/>
    <col min="2" max="2" width="18.5703125" style="1" customWidth="1"/>
    <col min="3" max="3" width="8.7109375" style="1" customWidth="1"/>
    <col min="4" max="4" width="37" style="1" bestFit="1" customWidth="1"/>
    <col min="5" max="5" width="26.42578125" style="6" customWidth="1"/>
    <col min="6" max="6" width="26.85546875" style="6" customWidth="1" outlineLevel="1"/>
    <col min="7" max="7" width="12.28515625" style="6" customWidth="1" outlineLevel="1"/>
    <col min="8" max="8" width="18.42578125" style="6" bestFit="1" customWidth="1" outlineLevel="1"/>
    <col min="9" max="9" width="18.42578125" style="2" bestFit="1" customWidth="1" outlineLevel="1"/>
    <col min="10" max="10" width="26" style="2" customWidth="1" outlineLevel="1"/>
    <col min="11" max="11" width="28.42578125" style="1" customWidth="1"/>
    <col min="12" max="12" width="17.28515625" style="1" customWidth="1"/>
    <col min="13" max="13" width="18.7109375" style="6" bestFit="1" customWidth="1"/>
    <col min="14" max="14" width="18.7109375" style="6" customWidth="1"/>
    <col min="15" max="15" width="16.28515625" style="6" bestFit="1" customWidth="1"/>
    <col min="16" max="16" width="17.140625" style="1" hidden="1" customWidth="1"/>
    <col min="17" max="17" width="45.85546875" style="1" hidden="1" customWidth="1"/>
    <col min="18" max="18" width="22.140625" style="1" customWidth="1"/>
    <col min="19" max="19" width="18.140625" style="1" customWidth="1" outlineLevel="1"/>
    <col min="20" max="20" width="19.5703125" style="1" customWidth="1" outlineLevel="1"/>
    <col min="21" max="21" width="19.28515625" style="1" customWidth="1" outlineLevel="1"/>
    <col min="22" max="22" width="12.140625" style="1" customWidth="1" outlineLevel="1"/>
    <col min="23" max="23" width="10.7109375" style="1" customWidth="1" outlineLevel="1"/>
    <col min="24" max="24" width="13.42578125" style="1" customWidth="1" outlineLevel="1"/>
    <col min="25" max="25" width="12.140625" style="1" customWidth="1" outlineLevel="1"/>
    <col min="26" max="26" width="16.5703125" style="1" customWidth="1" outlineLevel="1"/>
    <col min="27" max="27" width="19" style="1" customWidth="1"/>
    <col min="28" max="28" width="13.28515625" style="1" customWidth="1"/>
    <col min="29" max="29" width="14" style="1" customWidth="1"/>
    <col min="30" max="30" width="21.5703125" style="1" customWidth="1"/>
    <col min="31" max="31" width="22.85546875" style="1" customWidth="1" outlineLevel="1"/>
    <col min="32" max="32" width="16.42578125" style="1" customWidth="1" outlineLevel="1"/>
    <col min="33" max="33" width="13.28515625" style="1" customWidth="1" outlineLevel="1"/>
    <col min="34" max="34" width="24" style="1" customWidth="1" outlineLevel="1"/>
    <col min="35" max="35" width="16.7109375" style="1" customWidth="1" outlineLevel="1"/>
    <col min="36" max="36" width="13.28515625" style="1" customWidth="1" outlineLevel="1"/>
    <col min="37" max="37" width="17.140625" style="1" customWidth="1" outlineLevel="1"/>
    <col min="38" max="38" width="16.85546875" style="1" customWidth="1" outlineLevel="1"/>
    <col min="39" max="39" width="10.42578125" style="1" customWidth="1" outlineLevel="1"/>
    <col min="40" max="40" width="18.28515625" style="1" customWidth="1" outlineLevel="1"/>
    <col min="41" max="41" width="19.5703125" style="1" customWidth="1" outlineLevel="1"/>
    <col min="42" max="42" width="23.28515625" style="1" customWidth="1" outlineLevel="1"/>
    <col min="43" max="43" width="21.5703125" style="1" customWidth="1" outlineLevel="1"/>
    <col min="44" max="44" width="20.42578125" style="1" customWidth="1" outlineLevel="1"/>
    <col min="45" max="45" width="26" style="1" customWidth="1"/>
    <col min="46" max="46" width="17.7109375" style="1" customWidth="1" outlineLevel="1"/>
    <col min="47" max="47" width="18.28515625" style="1" customWidth="1" outlineLevel="1"/>
    <col min="48" max="48" width="15.7109375" style="1" customWidth="1" outlineLevel="1"/>
    <col min="49" max="49" width="17.140625" style="1" customWidth="1" outlineLevel="1"/>
    <col min="50" max="51" width="17.7109375" style="1" customWidth="1" outlineLevel="1"/>
    <col min="52" max="53" width="18.28515625" style="1" customWidth="1" outlineLevel="1"/>
    <col min="54" max="57" width="17.7109375" style="1" customWidth="1" outlineLevel="1"/>
    <col min="58" max="58" width="15.7109375" style="1" customWidth="1" outlineLevel="1"/>
    <col min="59" max="59" width="15.28515625" style="1" customWidth="1" outlineLevel="1"/>
    <col min="60" max="60" width="15.7109375" style="1" customWidth="1" outlineLevel="1"/>
    <col min="61" max="61" width="17.140625" style="1" customWidth="1" outlineLevel="1"/>
    <col min="62" max="62" width="15.7109375" style="1" customWidth="1" outlineLevel="1"/>
    <col min="63" max="63" width="16.5703125" style="1" customWidth="1" outlineLevel="1"/>
    <col min="64" max="64" width="15.7109375" style="1" customWidth="1" outlineLevel="1"/>
    <col min="65" max="65" width="17.140625" style="1" customWidth="1" outlineLevel="1"/>
    <col min="66" max="66" width="18.28515625" style="1" customWidth="1" outlineLevel="1"/>
    <col min="67" max="67" width="22.7109375" style="1" customWidth="1" outlineLevel="1"/>
    <col min="68" max="69" width="22.85546875" style="1" customWidth="1"/>
    <col min="70" max="70" width="11.5703125" style="1" hidden="1" customWidth="1" outlineLevel="1"/>
    <col min="71" max="71" width="14" style="58" hidden="1" customWidth="1" outlineLevel="1"/>
    <col min="72" max="72" width="20.42578125" style="61" hidden="1" customWidth="1" outlineLevel="1"/>
    <col min="73" max="73" width="11.28515625" style="1" hidden="1" customWidth="1" outlineLevel="1"/>
    <col min="74" max="74" width="13.42578125" style="1" hidden="1" customWidth="1" outlineLevel="1"/>
    <col min="75" max="75" width="18.28515625" style="1" hidden="1" customWidth="1" outlineLevel="1"/>
    <col min="76" max="76" width="11.28515625" style="1" hidden="1" customWidth="1" outlineLevel="1"/>
    <col min="77" max="77" width="13.42578125" style="1" hidden="1" customWidth="1" outlineLevel="1"/>
    <col min="78" max="78" width="10.28515625" style="1" hidden="1" customWidth="1" outlineLevel="1"/>
    <col min="79" max="79" width="11.28515625" style="1" hidden="1" customWidth="1" outlineLevel="1"/>
    <col min="80" max="80" width="13.42578125" style="1" hidden="1" customWidth="1" outlineLevel="1"/>
    <col min="81" max="81" width="15.7109375" style="1" hidden="1" customWidth="1" outlineLevel="1"/>
    <col min="82" max="82" width="11.28515625" style="1" hidden="1" customWidth="1" outlineLevel="1"/>
    <col min="83" max="83" width="13.42578125" style="1" hidden="1" customWidth="1" outlineLevel="1"/>
    <col min="84" max="84" width="15.7109375" style="1" hidden="1" customWidth="1" outlineLevel="1"/>
    <col min="85" max="85" width="11.28515625" style="1" hidden="1" customWidth="1" outlineLevel="1"/>
    <col min="86" max="86" width="13.42578125" style="1" hidden="1" customWidth="1" outlineLevel="1"/>
    <col min="87" max="87" width="18.28515625" style="1" hidden="1" customWidth="1" outlineLevel="1"/>
    <col min="88" max="88" width="11.28515625" style="1" hidden="1" customWidth="1" outlineLevel="1"/>
    <col min="89" max="89" width="13.42578125" style="1" hidden="1" customWidth="1" outlineLevel="1"/>
    <col min="90" max="90" width="18.28515625" style="1" hidden="1" customWidth="1" outlineLevel="1"/>
    <col min="91" max="91" width="10" style="1" hidden="1" customWidth="1"/>
    <col min="92" max="92" width="21.5703125" style="1" hidden="1" customWidth="1"/>
    <col min="93" max="93" width="17.7109375" style="1" hidden="1" customWidth="1"/>
    <col min="94" max="94" width="18.28515625" style="1" hidden="1" customWidth="1"/>
    <col min="95" max="95" width="23.42578125" style="1" hidden="1" customWidth="1"/>
    <col min="96" max="96" width="18.28515625" style="1" hidden="1" customWidth="1" outlineLevel="1"/>
    <col min="97" max="97" width="15.85546875" style="1" hidden="1" customWidth="1" outlineLevel="1"/>
    <col min="98" max="98" width="18.7109375" style="1" hidden="1" customWidth="1" outlineLevel="1"/>
    <col min="99" max="99" width="18.28515625" style="1" hidden="1" customWidth="1" outlineLevel="1"/>
    <col min="100" max="100" width="15.85546875" style="1" hidden="1" customWidth="1" outlineLevel="1"/>
    <col min="101" max="101" width="19.85546875" style="1" hidden="1" customWidth="1" outlineLevel="1"/>
    <col min="102" max="103" width="21.5703125" style="1" hidden="1" customWidth="1"/>
    <col min="104" max="104" width="15" style="1" hidden="1" customWidth="1"/>
    <col min="105" max="105" width="16.5703125" style="1" hidden="1" customWidth="1"/>
    <col min="106" max="106" width="20.42578125" style="1" bestFit="1" customWidth="1" outlineLevel="1"/>
    <col min="107" max="108" width="18.28515625" style="1" hidden="1" customWidth="1" outlineLevel="1"/>
    <col min="109" max="109" width="22.7109375" style="1" hidden="1" customWidth="1" outlineLevel="1"/>
    <col min="110" max="110" width="18.28515625" style="1" hidden="1" customWidth="1" outlineLevel="1"/>
    <col min="111" max="111" width="20.42578125" style="1" hidden="1" customWidth="1"/>
    <col min="112" max="112" width="14.5703125" style="1" hidden="1" customWidth="1" outlineLevel="1"/>
    <col min="113" max="113" width="15.42578125" style="1" hidden="1" customWidth="1" outlineLevel="1"/>
    <col min="114" max="114" width="20.140625" style="1" hidden="1" customWidth="1" outlineLevel="1"/>
    <col min="115" max="115" width="15.140625" style="1" hidden="1" customWidth="1" outlineLevel="1"/>
    <col min="116" max="116" width="19.85546875" style="1" hidden="1" customWidth="1"/>
    <col min="117" max="117" width="22.85546875" style="1" hidden="1" customWidth="1"/>
    <col min="118" max="118" width="24.7109375" style="1" hidden="1" customWidth="1"/>
    <col min="119" max="119" width="29" style="1" bestFit="1" customWidth="1"/>
    <col min="120" max="121" width="29" style="5" bestFit="1" customWidth="1"/>
    <col min="122" max="122" width="23.28515625" style="5" bestFit="1" customWidth="1"/>
    <col min="123" max="16384" width="8.85546875" style="5"/>
  </cols>
  <sheetData>
    <row r="1" spans="1:122" s="35" customFormat="1" ht="25.9" customHeight="1">
      <c r="A1" s="31" t="s">
        <v>95</v>
      </c>
      <c r="B1" s="32"/>
      <c r="C1" s="32"/>
      <c r="D1" s="32"/>
      <c r="E1" s="33"/>
      <c r="F1" s="33"/>
      <c r="G1" s="33"/>
      <c r="H1" s="33"/>
      <c r="I1" s="34"/>
      <c r="J1" s="34"/>
      <c r="K1" s="32"/>
      <c r="L1" s="32"/>
      <c r="M1" s="33"/>
      <c r="N1" s="33"/>
      <c r="O1" s="33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57"/>
      <c r="BT1" s="60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</row>
    <row r="2" spans="1:122" s="35" customFormat="1" ht="25.9" customHeight="1">
      <c r="A2" s="36" t="s">
        <v>96</v>
      </c>
      <c r="B2" s="32"/>
      <c r="C2" s="32"/>
      <c r="D2" s="32"/>
      <c r="E2" s="33"/>
      <c r="F2" s="33"/>
      <c r="G2" s="33"/>
      <c r="H2" s="33"/>
      <c r="I2" s="34"/>
      <c r="J2" s="34"/>
      <c r="K2" s="32"/>
      <c r="L2" s="32"/>
      <c r="M2" s="33"/>
      <c r="N2" s="33"/>
      <c r="O2" s="33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57"/>
      <c r="BT2" s="60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</row>
    <row r="3" spans="1:122" ht="50.45" customHeight="1"/>
    <row r="4" spans="1:122" ht="42" customHeight="1">
      <c r="A4" s="126" t="s">
        <v>87</v>
      </c>
      <c r="B4" s="126"/>
      <c r="C4" s="126"/>
      <c r="D4" s="126"/>
      <c r="E4" s="126"/>
      <c r="F4" s="126"/>
      <c r="G4" s="126"/>
      <c r="H4" s="126"/>
      <c r="I4" s="126"/>
      <c r="J4" s="126"/>
      <c r="K4" s="126" t="s">
        <v>86</v>
      </c>
      <c r="L4" s="138">
        <v>45291</v>
      </c>
      <c r="M4" s="139" t="s">
        <v>206</v>
      </c>
      <c r="N4" s="140"/>
      <c r="O4" s="141"/>
      <c r="P4" s="139" t="s">
        <v>123</v>
      </c>
      <c r="Q4" s="141"/>
      <c r="R4" s="126" t="s">
        <v>85</v>
      </c>
      <c r="S4" s="126"/>
      <c r="T4" s="126"/>
      <c r="U4" s="126"/>
      <c r="V4" s="126"/>
      <c r="W4" s="126"/>
      <c r="X4" s="126"/>
      <c r="Y4" s="126"/>
      <c r="Z4" s="126"/>
      <c r="AA4" s="126"/>
      <c r="AB4" s="126" t="s">
        <v>84</v>
      </c>
      <c r="AC4" s="126"/>
      <c r="AD4" s="126"/>
      <c r="AE4" s="126" t="s">
        <v>83</v>
      </c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8" t="s">
        <v>82</v>
      </c>
      <c r="AU4" s="128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27" t="s">
        <v>81</v>
      </c>
      <c r="BG4" s="127"/>
      <c r="BH4" s="127"/>
      <c r="BI4" s="127"/>
      <c r="BJ4" s="127"/>
      <c r="BK4" s="127"/>
      <c r="BL4" s="127"/>
      <c r="BM4" s="127"/>
      <c r="BN4" s="127"/>
      <c r="BO4" s="127"/>
      <c r="BP4" s="127" t="s">
        <v>80</v>
      </c>
      <c r="BQ4" s="127"/>
      <c r="BR4" s="131" t="s">
        <v>79</v>
      </c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28" t="s">
        <v>78</v>
      </c>
      <c r="CR4" s="46">
        <v>0.08</v>
      </c>
      <c r="CS4" s="46">
        <v>1.4999999999999999E-2</v>
      </c>
      <c r="CT4" s="46">
        <v>0.01</v>
      </c>
      <c r="CU4" s="46">
        <v>0.17499999999999999</v>
      </c>
      <c r="CV4" s="46">
        <v>0.03</v>
      </c>
      <c r="CW4" s="46">
        <v>0.01</v>
      </c>
      <c r="CX4" s="132" t="s">
        <v>77</v>
      </c>
      <c r="CY4" s="133"/>
      <c r="CZ4" s="133"/>
      <c r="DA4" s="134"/>
      <c r="DB4" s="128" t="s">
        <v>76</v>
      </c>
      <c r="DC4" s="128"/>
      <c r="DD4" s="128"/>
      <c r="DE4" s="128"/>
      <c r="DF4" s="128"/>
      <c r="DG4" s="128"/>
      <c r="DH4" s="128" t="s">
        <v>75</v>
      </c>
      <c r="DI4" s="128"/>
      <c r="DJ4" s="128"/>
      <c r="DK4" s="128"/>
      <c r="DL4" s="128" t="s">
        <v>74</v>
      </c>
      <c r="DM4" s="128" t="s">
        <v>73</v>
      </c>
      <c r="DN4" s="128" t="s">
        <v>72</v>
      </c>
    </row>
    <row r="5" spans="1:122" s="26" customFormat="1" ht="51.6" customHeight="1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38"/>
      <c r="M5" s="142"/>
      <c r="N5" s="143"/>
      <c r="O5" s="144"/>
      <c r="P5" s="142"/>
      <c r="Q5" s="144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5" t="s">
        <v>88</v>
      </c>
      <c r="AU5" s="125"/>
      <c r="AV5" s="125" t="s">
        <v>71</v>
      </c>
      <c r="AW5" s="125"/>
      <c r="AX5" s="125" t="s">
        <v>70</v>
      </c>
      <c r="AY5" s="125"/>
      <c r="AZ5" s="125" t="s">
        <v>69</v>
      </c>
      <c r="BA5" s="125"/>
      <c r="BB5" s="125" t="s">
        <v>166</v>
      </c>
      <c r="BC5" s="125"/>
      <c r="BD5" s="125" t="s">
        <v>165</v>
      </c>
      <c r="BE5" s="125"/>
      <c r="BF5" s="129" t="s">
        <v>68</v>
      </c>
      <c r="BG5" s="129"/>
      <c r="BH5" s="129" t="s">
        <v>67</v>
      </c>
      <c r="BI5" s="129"/>
      <c r="BJ5" s="129" t="s">
        <v>66</v>
      </c>
      <c r="BK5" s="129"/>
      <c r="BL5" s="129" t="s">
        <v>65</v>
      </c>
      <c r="BM5" s="129"/>
      <c r="BN5" s="39" t="s">
        <v>91</v>
      </c>
      <c r="BO5" s="39" t="s">
        <v>90</v>
      </c>
      <c r="BP5" s="127"/>
      <c r="BQ5" s="127"/>
      <c r="BR5" s="124" t="s">
        <v>64</v>
      </c>
      <c r="BS5" s="125"/>
      <c r="BT5" s="125"/>
      <c r="BU5" s="124" t="s">
        <v>227</v>
      </c>
      <c r="BV5" s="125"/>
      <c r="BW5" s="125"/>
      <c r="BX5" s="124" t="s">
        <v>63</v>
      </c>
      <c r="BY5" s="125"/>
      <c r="BZ5" s="125"/>
      <c r="CA5" s="124" t="s">
        <v>62</v>
      </c>
      <c r="CB5" s="125"/>
      <c r="CC5" s="125"/>
      <c r="CD5" s="124" t="s">
        <v>209</v>
      </c>
      <c r="CE5" s="125"/>
      <c r="CF5" s="125"/>
      <c r="CG5" s="124" t="s">
        <v>210</v>
      </c>
      <c r="CH5" s="125"/>
      <c r="CI5" s="125"/>
      <c r="CJ5" s="124" t="s">
        <v>211</v>
      </c>
      <c r="CK5" s="125"/>
      <c r="CL5" s="125"/>
      <c r="CM5" s="126" t="s">
        <v>61</v>
      </c>
      <c r="CN5" s="126"/>
      <c r="CO5" s="126"/>
      <c r="CP5" s="126"/>
      <c r="CQ5" s="127" t="s">
        <v>60</v>
      </c>
      <c r="CR5" s="128" t="s">
        <v>59</v>
      </c>
      <c r="CS5" s="128"/>
      <c r="CT5" s="128"/>
      <c r="CU5" s="128" t="s">
        <v>58</v>
      </c>
      <c r="CV5" s="128"/>
      <c r="CW5" s="128"/>
      <c r="CX5" s="135"/>
      <c r="CY5" s="136"/>
      <c r="CZ5" s="136"/>
      <c r="DA5" s="137"/>
      <c r="DB5" s="128"/>
      <c r="DC5" s="128"/>
      <c r="DD5" s="128"/>
      <c r="DE5" s="128"/>
      <c r="DF5" s="128"/>
      <c r="DG5" s="128"/>
      <c r="DH5" s="128"/>
      <c r="DI5" s="128"/>
      <c r="DJ5" s="128"/>
      <c r="DK5" s="128"/>
      <c r="DL5" s="128"/>
      <c r="DM5" s="128"/>
      <c r="DN5" s="128"/>
      <c r="DO5" s="27"/>
    </row>
    <row r="6" spans="1:122" s="26" customFormat="1" ht="69.75" customHeight="1">
      <c r="A6" s="40" t="s">
        <v>57</v>
      </c>
      <c r="B6" s="40" t="s">
        <v>56</v>
      </c>
      <c r="C6" s="40" t="s">
        <v>125</v>
      </c>
      <c r="D6" s="47" t="s">
        <v>55</v>
      </c>
      <c r="E6" s="40" t="s">
        <v>54</v>
      </c>
      <c r="F6" s="40" t="s">
        <v>2</v>
      </c>
      <c r="G6" s="40" t="s">
        <v>53</v>
      </c>
      <c r="H6" s="48" t="s">
        <v>108</v>
      </c>
      <c r="I6" s="40" t="s">
        <v>52</v>
      </c>
      <c r="J6" s="45" t="s">
        <v>107</v>
      </c>
      <c r="K6" s="49" t="s">
        <v>94</v>
      </c>
      <c r="L6" s="50" t="s">
        <v>51</v>
      </c>
      <c r="M6" s="48" t="s">
        <v>205</v>
      </c>
      <c r="N6" s="48" t="s">
        <v>207</v>
      </c>
      <c r="O6" s="48" t="s">
        <v>208</v>
      </c>
      <c r="P6" s="50" t="s">
        <v>124</v>
      </c>
      <c r="Q6" s="50" t="s">
        <v>204</v>
      </c>
      <c r="R6" s="50" t="s">
        <v>50</v>
      </c>
      <c r="S6" s="40" t="s">
        <v>49</v>
      </c>
      <c r="T6" s="40" t="s">
        <v>48</v>
      </c>
      <c r="U6" s="40" t="s">
        <v>47</v>
      </c>
      <c r="V6" s="40" t="s">
        <v>32</v>
      </c>
      <c r="W6" s="40" t="s">
        <v>46</v>
      </c>
      <c r="X6" s="40" t="s">
        <v>45</v>
      </c>
      <c r="Y6" s="40" t="s">
        <v>44</v>
      </c>
      <c r="Z6" s="40" t="s">
        <v>42</v>
      </c>
      <c r="AA6" s="40" t="s">
        <v>43</v>
      </c>
      <c r="AB6" s="40" t="s">
        <v>43</v>
      </c>
      <c r="AC6" s="40" t="s">
        <v>42</v>
      </c>
      <c r="AD6" s="40" t="s">
        <v>41</v>
      </c>
      <c r="AE6" s="51" t="s">
        <v>40</v>
      </c>
      <c r="AF6" s="51" t="s">
        <v>39</v>
      </c>
      <c r="AG6" s="51" t="s">
        <v>38</v>
      </c>
      <c r="AH6" s="52" t="s">
        <v>37</v>
      </c>
      <c r="AI6" s="51" t="s">
        <v>36</v>
      </c>
      <c r="AJ6" s="51" t="s">
        <v>35</v>
      </c>
      <c r="AK6" s="52" t="s">
        <v>34</v>
      </c>
      <c r="AL6" s="51" t="s">
        <v>33</v>
      </c>
      <c r="AM6" s="51" t="s">
        <v>32</v>
      </c>
      <c r="AN6" s="52" t="s">
        <v>31</v>
      </c>
      <c r="AO6" s="51" t="s">
        <v>164</v>
      </c>
      <c r="AP6" s="51" t="s">
        <v>163</v>
      </c>
      <c r="AQ6" s="51" t="s">
        <v>142</v>
      </c>
      <c r="AR6" s="52" t="s">
        <v>161</v>
      </c>
      <c r="AS6" s="53" t="s">
        <v>162</v>
      </c>
      <c r="AT6" s="54" t="s">
        <v>29</v>
      </c>
      <c r="AU6" s="29" t="s">
        <v>28</v>
      </c>
      <c r="AV6" s="54" t="s">
        <v>29</v>
      </c>
      <c r="AW6" s="29" t="s">
        <v>28</v>
      </c>
      <c r="AX6" s="54" t="s">
        <v>29</v>
      </c>
      <c r="AY6" s="29" t="s">
        <v>28</v>
      </c>
      <c r="AZ6" s="29" t="s">
        <v>29</v>
      </c>
      <c r="BA6" s="29" t="s">
        <v>28</v>
      </c>
      <c r="BB6" s="54" t="s">
        <v>29</v>
      </c>
      <c r="BC6" s="29" t="s">
        <v>28</v>
      </c>
      <c r="BD6" s="54" t="s">
        <v>29</v>
      </c>
      <c r="BE6" s="29" t="s">
        <v>28</v>
      </c>
      <c r="BF6" s="54" t="s">
        <v>29</v>
      </c>
      <c r="BG6" s="29" t="s">
        <v>30</v>
      </c>
      <c r="BH6" s="54" t="s">
        <v>29</v>
      </c>
      <c r="BI6" s="29" t="s">
        <v>28</v>
      </c>
      <c r="BJ6" s="54" t="s">
        <v>29</v>
      </c>
      <c r="BK6" s="29" t="s">
        <v>28</v>
      </c>
      <c r="BL6" s="54" t="s">
        <v>29</v>
      </c>
      <c r="BM6" s="29" t="s">
        <v>28</v>
      </c>
      <c r="BN6" s="29" t="s">
        <v>1</v>
      </c>
      <c r="BO6" s="29" t="s">
        <v>1</v>
      </c>
      <c r="BP6" s="29" t="s">
        <v>29</v>
      </c>
      <c r="BQ6" s="29" t="s">
        <v>28</v>
      </c>
      <c r="BR6" s="45" t="s">
        <v>27</v>
      </c>
      <c r="BS6" s="59" t="s">
        <v>26</v>
      </c>
      <c r="BT6" s="62" t="s">
        <v>25</v>
      </c>
      <c r="BU6" s="45" t="s">
        <v>27</v>
      </c>
      <c r="BV6" s="45" t="s">
        <v>26</v>
      </c>
      <c r="BW6" s="45" t="s">
        <v>25</v>
      </c>
      <c r="BX6" s="45" t="s">
        <v>27</v>
      </c>
      <c r="BY6" s="45" t="s">
        <v>26</v>
      </c>
      <c r="BZ6" s="45" t="s">
        <v>25</v>
      </c>
      <c r="CA6" s="45" t="s">
        <v>27</v>
      </c>
      <c r="CB6" s="45" t="s">
        <v>26</v>
      </c>
      <c r="CC6" s="45" t="s">
        <v>25</v>
      </c>
      <c r="CD6" s="45" t="s">
        <v>27</v>
      </c>
      <c r="CE6" s="45" t="s">
        <v>26</v>
      </c>
      <c r="CF6" s="45" t="s">
        <v>25</v>
      </c>
      <c r="CG6" s="45" t="s">
        <v>27</v>
      </c>
      <c r="CH6" s="45" t="s">
        <v>26</v>
      </c>
      <c r="CI6" s="45" t="s">
        <v>25</v>
      </c>
      <c r="CJ6" s="45" t="s">
        <v>27</v>
      </c>
      <c r="CK6" s="45" t="s">
        <v>26</v>
      </c>
      <c r="CL6" s="45" t="s">
        <v>25</v>
      </c>
      <c r="CM6" s="45" t="s">
        <v>24</v>
      </c>
      <c r="CN6" s="45" t="s">
        <v>23</v>
      </c>
      <c r="CO6" s="45" t="s">
        <v>22</v>
      </c>
      <c r="CP6" s="45" t="s">
        <v>0</v>
      </c>
      <c r="CQ6" s="127"/>
      <c r="CR6" s="45" t="s">
        <v>21</v>
      </c>
      <c r="CS6" s="45" t="s">
        <v>20</v>
      </c>
      <c r="CT6" s="45" t="s">
        <v>17</v>
      </c>
      <c r="CU6" s="45" t="s">
        <v>19</v>
      </c>
      <c r="CV6" s="45" t="s">
        <v>18</v>
      </c>
      <c r="CW6" s="45" t="s">
        <v>17</v>
      </c>
      <c r="CX6" s="45" t="s">
        <v>16</v>
      </c>
      <c r="CY6" s="45" t="s">
        <v>15</v>
      </c>
      <c r="CZ6" s="45" t="s">
        <v>237</v>
      </c>
      <c r="DA6" s="45" t="s">
        <v>14</v>
      </c>
      <c r="DB6" s="45" t="s">
        <v>13</v>
      </c>
      <c r="DC6" s="45" t="s">
        <v>12</v>
      </c>
      <c r="DD6" s="45" t="s">
        <v>98</v>
      </c>
      <c r="DE6" s="45" t="s">
        <v>11</v>
      </c>
      <c r="DF6" s="45" t="s">
        <v>10</v>
      </c>
      <c r="DG6" s="45" t="s">
        <v>9</v>
      </c>
      <c r="DH6" s="45" t="s">
        <v>8</v>
      </c>
      <c r="DI6" s="45" t="s">
        <v>7</v>
      </c>
      <c r="DJ6" s="45" t="s">
        <v>6</v>
      </c>
      <c r="DK6" s="45" t="s">
        <v>158</v>
      </c>
      <c r="DL6" s="128"/>
      <c r="DM6" s="128"/>
      <c r="DN6" s="128"/>
      <c r="DO6" s="27"/>
    </row>
    <row r="7" spans="1:122" s="85" customFormat="1" ht="56.25" customHeight="1">
      <c r="A7" s="68"/>
      <c r="B7" s="68"/>
      <c r="C7" s="68"/>
      <c r="D7" s="69"/>
      <c r="E7" s="68"/>
      <c r="F7" s="68"/>
      <c r="G7" s="68"/>
      <c r="H7" s="70"/>
      <c r="I7" s="68"/>
      <c r="J7" s="68"/>
      <c r="K7" s="71"/>
      <c r="L7" s="71"/>
      <c r="M7" s="72"/>
      <c r="N7" s="72"/>
      <c r="O7" s="72"/>
      <c r="P7" s="71"/>
      <c r="Q7" s="71"/>
      <c r="R7" s="71" t="s">
        <v>5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3">
        <f>SUBTOTAL(9,AE8:AE48)</f>
        <v>249820000</v>
      </c>
      <c r="AF7" s="71"/>
      <c r="AG7" s="71"/>
      <c r="AH7" s="74"/>
      <c r="AI7" s="68"/>
      <c r="AJ7" s="71"/>
      <c r="AK7" s="75"/>
      <c r="AL7" s="71"/>
      <c r="AM7" s="71"/>
      <c r="AN7" s="75"/>
      <c r="AO7" s="71"/>
      <c r="AP7" s="76"/>
      <c r="AQ7" s="71"/>
      <c r="AR7" s="75"/>
      <c r="AS7" s="73">
        <f>SUBTOTAL(9,AS8:AS48)</f>
        <v>259428461.5384618</v>
      </c>
      <c r="AT7" s="77"/>
      <c r="AU7" s="71"/>
      <c r="AV7" s="77"/>
      <c r="AW7" s="71"/>
      <c r="AX7" s="77"/>
      <c r="AY7" s="71"/>
      <c r="AZ7" s="71"/>
      <c r="BA7" s="71"/>
      <c r="BB7" s="77"/>
      <c r="BC7" s="71"/>
      <c r="BD7" s="77"/>
      <c r="BE7" s="71"/>
      <c r="BF7" s="77"/>
      <c r="BG7" s="71"/>
      <c r="BH7" s="77"/>
      <c r="BI7" s="71"/>
      <c r="BJ7" s="78"/>
      <c r="BK7" s="79"/>
      <c r="BL7" s="77"/>
      <c r="BM7" s="71"/>
      <c r="BN7" s="71"/>
      <c r="BO7" s="71"/>
      <c r="BP7" s="73">
        <f>SUBTOTAL(9,BP8:BP48)</f>
        <v>121950000</v>
      </c>
      <c r="BQ7" s="73">
        <f>SUBTOTAL(9,BQ8:BQ48)</f>
        <v>122880504.80769229</v>
      </c>
      <c r="BR7" s="80"/>
      <c r="BS7" s="81"/>
      <c r="BT7" s="82"/>
      <c r="BU7" s="80"/>
      <c r="BV7" s="80"/>
      <c r="BW7" s="83"/>
      <c r="BX7" s="83"/>
      <c r="BY7" s="83"/>
      <c r="BZ7" s="83"/>
      <c r="CA7" s="80"/>
      <c r="CB7" s="80"/>
      <c r="CC7" s="83"/>
      <c r="CD7" s="80"/>
      <c r="CE7" s="80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3">
        <f>SUBTOTAL(9,DB8:DB48)</f>
        <v>382308966.34615415</v>
      </c>
      <c r="DC7" s="71"/>
      <c r="DD7" s="71"/>
      <c r="DE7" s="71"/>
      <c r="DF7" s="79"/>
      <c r="DG7" s="71"/>
      <c r="DH7" s="71"/>
      <c r="DI7" s="71"/>
      <c r="DJ7" s="71"/>
      <c r="DK7" s="71"/>
      <c r="DL7" s="71"/>
      <c r="DM7" s="71"/>
      <c r="DN7" s="63"/>
      <c r="DO7" s="84"/>
    </row>
    <row r="8" spans="1:122" s="13" customFormat="1" ht="46.15" customHeight="1">
      <c r="A8" s="37">
        <v>1</v>
      </c>
      <c r="B8" s="23" t="s">
        <v>128</v>
      </c>
      <c r="C8" s="23">
        <v>3</v>
      </c>
      <c r="D8" s="38" t="s">
        <v>4</v>
      </c>
      <c r="E8" s="24" t="s">
        <v>97</v>
      </c>
      <c r="F8" s="23" t="s">
        <v>89</v>
      </c>
      <c r="G8" s="23" t="s">
        <v>3</v>
      </c>
      <c r="H8" s="22">
        <v>33936</v>
      </c>
      <c r="I8" s="22">
        <v>44866</v>
      </c>
      <c r="J8" s="21">
        <f>+I8+59</f>
        <v>44925</v>
      </c>
      <c r="K8" s="20" t="s">
        <v>99</v>
      </c>
      <c r="L8" s="37">
        <f t="shared" ref="L8:L48" si="0">IF(K8="Y",0,1)</f>
        <v>1</v>
      </c>
      <c r="M8" s="21"/>
      <c r="N8" s="21"/>
      <c r="O8" s="21"/>
      <c r="P8" s="21"/>
      <c r="Q8" s="21"/>
      <c r="R8" s="41">
        <v>26</v>
      </c>
      <c r="S8" s="25">
        <v>26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42">
        <f t="shared" ref="AA8:AA48" si="1">+S8+V8+W8</f>
        <v>26</v>
      </c>
      <c r="AB8" s="25">
        <v>0</v>
      </c>
      <c r="AC8" s="25">
        <v>0</v>
      </c>
      <c r="AD8" s="25">
        <f t="shared" ref="AD8:AD48" si="2">+R8-AB8</f>
        <v>26</v>
      </c>
      <c r="AE8" s="16">
        <v>13000000</v>
      </c>
      <c r="AF8" s="14">
        <f t="shared" ref="AF8:AF48" si="3">+AE8/26</f>
        <v>500000</v>
      </c>
      <c r="AG8" s="14">
        <f t="shared" ref="AG8:AG48" si="4">+AE8/208</f>
        <v>62500</v>
      </c>
      <c r="AH8" s="19">
        <f t="shared" ref="AH8:AH48" si="5">+AB8*AF8*85%+(AA8-AB8)*AF8</f>
        <v>13000000</v>
      </c>
      <c r="AI8" s="14">
        <f t="shared" ref="AI8:AI48" si="6">+SUM(AE8,AT8,AV8,AX8,AZ8,BD8,BB8)/208</f>
        <v>120913.46153846153</v>
      </c>
      <c r="AJ8" s="14">
        <f t="shared" ref="AJ8:AJ48" si="7">+AG8*30%</f>
        <v>18750</v>
      </c>
      <c r="AK8" s="19">
        <f t="shared" ref="AK8:AK48" si="8">+AC8*AJ8*85%+(Z8-AC8)*AJ8</f>
        <v>0</v>
      </c>
      <c r="AL8" s="14">
        <f t="shared" ref="AL8:AL48" si="9">+AK8</f>
        <v>0</v>
      </c>
      <c r="AM8" s="14">
        <f t="shared" ref="AM8:AM48" si="10">+L8-V8</f>
        <v>1</v>
      </c>
      <c r="AN8" s="19">
        <f t="shared" ref="AN8:AN48" si="11">+AM8*AF8</f>
        <v>500000</v>
      </c>
      <c r="AO8" s="14">
        <v>0</v>
      </c>
      <c r="AP8" s="14">
        <v>0</v>
      </c>
      <c r="AQ8" s="14">
        <v>0</v>
      </c>
      <c r="AR8" s="18">
        <f t="shared" ref="AR8:AR48" si="12">+AG8*(AP8+AO8*85%)*300%</f>
        <v>0</v>
      </c>
      <c r="AS8" s="16">
        <f t="shared" ref="AS8:AS48" si="13">+AH8+AK8+AR8+AN8+AQ8</f>
        <v>13500000</v>
      </c>
      <c r="AT8" s="55">
        <v>8000000</v>
      </c>
      <c r="AU8" s="14">
        <f t="shared" ref="AU8:AU48" si="14">IF(U8&gt;=3,0,(AT8-AT8/R8*AD8)*85%)+IF(U8&gt;=3,0,AT8-AT8/R8*(R8-AA8+AB8))</f>
        <v>8000000</v>
      </c>
      <c r="AV8" s="55">
        <v>500000</v>
      </c>
      <c r="AW8" s="14">
        <f t="shared" ref="AW8:AW48" si="15">IF(U8&gt;=3,0,(AV8-AV8/R8*AD8)*85%)+IF(U8&gt;=3,0,AV8-AV8/R8*(R8-AA8+AB8))</f>
        <v>500000</v>
      </c>
      <c r="AX8" s="55">
        <v>1000000</v>
      </c>
      <c r="AY8" s="14">
        <f t="shared" ref="AY8:AY48" si="16">IF(U8&gt;=3,0,(AX8-AX8/R8*AD8)*85%)+IF(U8&gt;=3,0,AX8-AX8/R8*(R8-AA8+AB8))</f>
        <v>1000000</v>
      </c>
      <c r="AZ8" s="55">
        <v>0</v>
      </c>
      <c r="BA8" s="14">
        <f t="shared" ref="BA8:BA48" si="17">IF(U8&gt;=3,0,(AZ8-AZ8/R8*AD8)*85%)+IF(U8&gt;=3,0,AZ8-AZ8/R8*(R8-AA8+AB8))</f>
        <v>0</v>
      </c>
      <c r="BB8" s="65">
        <v>0</v>
      </c>
      <c r="BC8" s="14">
        <f t="shared" ref="BC8:BC48" si="18">IF(U8&gt;=3,0,(BB8-BB8/R8*AD8)*85%)+IF(U8&gt;=3,0,BB8-BB8/R8*(R8-AA8+AB8))</f>
        <v>0</v>
      </c>
      <c r="BD8" s="55">
        <v>2650000</v>
      </c>
      <c r="BE8" s="14">
        <f t="shared" ref="BE8:BE48" si="19">IF(U8&gt;=3,0,(BD8-BD8/R8*AD8)*85%)+IF(U8&gt;=3,0,BD8-BD8/R8*(R8-AA8+AB8))</f>
        <v>2650000</v>
      </c>
      <c r="BF8" s="55">
        <v>500000</v>
      </c>
      <c r="BG8" s="14">
        <f t="shared" ref="BG8:BG48" si="20">IF(AND(S8&gt;=R8-1.5,V8&lt;2,X8&lt;2,AA8&gt;=R8-0.5,K8="N"),500000,IF(AND(S8&gt;=R8-1.5,V8&lt;2,X8&lt;2,AA8&gt;=R8-0.5,K8="Y"),425000,0))</f>
        <v>500000</v>
      </c>
      <c r="BH8" s="55">
        <v>150000</v>
      </c>
      <c r="BI8" s="14">
        <f t="shared" ref="BI8:BI48" si="21">IF(U8&gt;=3,0,(BH8-BH8/R8*AD8)*85%)+IF(U8&gt;=3,0,BH8-BH8/R8*(R8-AA8+AB8))</f>
        <v>150000</v>
      </c>
      <c r="BJ8" s="55">
        <v>200000</v>
      </c>
      <c r="BK8" s="14">
        <f t="shared" ref="BK8:BK48" si="22">IF(U8&gt;=3,0,(BJ8-BJ8/R8*AD8)*85%)+IF(U8&gt;=3,0,BJ8-BJ8/R8*(R8-AA8+AB8))</f>
        <v>200000</v>
      </c>
      <c r="BL8" s="55">
        <v>300000</v>
      </c>
      <c r="BM8" s="14">
        <f t="shared" ref="BM8:BM48" si="23">IF(U8&gt;=3,0,(BL8-BL8/R8*AD8)*85%)+IF(U8&gt;=3,0,BL8-BL8/R8*(R8-AA8+AB8))</f>
        <v>300000</v>
      </c>
      <c r="BN8" s="14"/>
      <c r="BO8" s="14">
        <f t="shared" ref="BO8:BO48" si="24">IF(AND(G8="Female",K8="N",M8=""),AG8*1.5,0)</f>
        <v>0</v>
      </c>
      <c r="BP8" s="16">
        <f t="shared" ref="BP8:BP48" si="25">+BL8+BJ8+BH8+BF8+BD8+AZ8+AX8+AV8+AT8+BB8</f>
        <v>13300000</v>
      </c>
      <c r="BQ8" s="16">
        <f t="shared" ref="BQ8:BQ48" si="26">+BO8+BM8+BK8+BI8+BG8+BE8+BA8+AY8+AW8+AU8+BN8+BC8</f>
        <v>13300000</v>
      </c>
      <c r="BR8" s="25"/>
      <c r="BS8" s="25"/>
      <c r="BT8" s="17">
        <f t="shared" ref="BT8:BT48" si="27">+AI8*(BR8*150%+BS8*150%*85%)</f>
        <v>0</v>
      </c>
      <c r="BU8" s="14">
        <v>0</v>
      </c>
      <c r="BV8" s="14">
        <v>0</v>
      </c>
      <c r="BW8" s="17">
        <f t="shared" ref="BW8:BW48" si="28">+AI8*(BU8*200%+BV8*200%*85%)</f>
        <v>0</v>
      </c>
      <c r="BX8" s="14">
        <v>0</v>
      </c>
      <c r="BY8" s="14">
        <v>0</v>
      </c>
      <c r="BZ8" s="17">
        <f t="shared" ref="BZ8:BZ48" si="29">+AI8*(BX8*210%+BY8*210%*85%)</f>
        <v>0</v>
      </c>
      <c r="CA8" s="14">
        <v>0</v>
      </c>
      <c r="CB8" s="14">
        <v>0</v>
      </c>
      <c r="CC8" s="17">
        <f t="shared" ref="CC8:CC48" si="30">+AI8*(CA8*200%+CB8*200%*85%)</f>
        <v>0</v>
      </c>
      <c r="CD8" s="14">
        <v>0</v>
      </c>
      <c r="CE8" s="14">
        <v>0</v>
      </c>
      <c r="CF8" s="17">
        <f t="shared" ref="CF8:CF48" si="31">+AI8*(CD8*270%+CE8*270%*85%)</f>
        <v>0</v>
      </c>
      <c r="CG8" s="14">
        <v>0</v>
      </c>
      <c r="CH8" s="14">
        <v>0</v>
      </c>
      <c r="CI8" s="17">
        <f t="shared" ref="CI8:CI48" si="32">+AI8*(CG8*300%+CH8*300%*85%)</f>
        <v>0</v>
      </c>
      <c r="CJ8" s="14">
        <v>0</v>
      </c>
      <c r="CK8" s="14">
        <v>0</v>
      </c>
      <c r="CL8" s="17">
        <f t="shared" ref="CL8:CL48" si="33">+AI8*(CJ8*390%+CK8*390%*85%)</f>
        <v>0</v>
      </c>
      <c r="CM8" s="56">
        <f t="shared" ref="CM8:CM48" si="34">SUM(BR8:BS8,BU8:BV8,BX8:BY8,CA8:CB8,CD8:CE8,CG8:CH8,CJ8:CK8)</f>
        <v>0</v>
      </c>
      <c r="CN8" s="17">
        <f t="shared" ref="CN8:CN48" si="35">+SUM(CL8,CI8,CF8,CC8,BZ8,BW8,BT8)</f>
        <v>0</v>
      </c>
      <c r="CO8" s="14">
        <f t="shared" ref="CO8:CO48" si="36">AI8*SUM(BR8,BU8,BX8,CA8,CD8,CG8,CJ8)+AI8*SUM(BS8,BV8,BY8,CB8,CE8,CH8,CK8)*85%</f>
        <v>0</v>
      </c>
      <c r="CP8" s="14">
        <f t="shared" ref="CP8:CP48" si="37">+CN8-CO8</f>
        <v>0</v>
      </c>
      <c r="CQ8" s="16">
        <f t="shared" ref="CQ8:CQ48" si="38">IF(K8="Y",0,IF(AND(SUM(AE8,AT8,AV8,AX8,AZ8,BB8,BD8)&gt;36000000,K8="N"),36000000,SUM(AE8,AT8,AV8,AX8,AZ8,BB8,BD8)))</f>
        <v>25150000</v>
      </c>
      <c r="CR8" s="14">
        <f t="shared" ref="CR8:CW17" si="39">+$CQ8*CR$4</f>
        <v>2012000</v>
      </c>
      <c r="CS8" s="14">
        <f t="shared" si="39"/>
        <v>377250</v>
      </c>
      <c r="CT8" s="14">
        <f t="shared" si="39"/>
        <v>251500</v>
      </c>
      <c r="CU8" s="14">
        <f t="shared" si="39"/>
        <v>4401250</v>
      </c>
      <c r="CV8" s="14">
        <f t="shared" si="39"/>
        <v>754500</v>
      </c>
      <c r="CW8" s="14">
        <f t="shared" si="39"/>
        <v>251500</v>
      </c>
      <c r="CX8" s="16">
        <f t="shared" ref="CX8:CX48" si="40">SUM(CR8:CT8)</f>
        <v>2640750</v>
      </c>
      <c r="CY8" s="16">
        <f t="shared" ref="CY8:CY48" si="41">SUM(CU8:CW8)</f>
        <v>5407250</v>
      </c>
      <c r="CZ8" s="14">
        <v>30000</v>
      </c>
      <c r="DA8" s="16">
        <f t="shared" ref="DA8:DA48" si="42">+CQ8*2%</f>
        <v>503000</v>
      </c>
      <c r="DB8" s="43">
        <f>+AS8+BQ8+CN8</f>
        <v>26800000</v>
      </c>
      <c r="DC8" s="15">
        <f t="shared" ref="DC8:DC48" si="43">+AL8+CP8</f>
        <v>0</v>
      </c>
      <c r="DD8" s="15">
        <v>4400000</v>
      </c>
      <c r="DE8" s="14">
        <f t="shared" ref="DE8:DE48" si="44">IF((DB8-DC8-CX8-CZ8-DD8-11000000)&gt;0,DB8-DC8-CX8-CZ8-DD8-11000000,0)</f>
        <v>8729250</v>
      </c>
      <c r="DF8" s="14">
        <f t="shared" ref="DF8:DF48" si="45">IF(DE8&lt;=5000000,DE8*5%,IF(AND(DE8&gt;5000000,DE8&lt;=10000000),DE8*10%-250000,IF(AND(DE8&gt;10000000,DE8&lt;=18000000),DE8*15%-750000,IF(AND(DE8&gt;18000000,DE8&lt;=32000000),DE8*20%-1650000,IF(AND(DE8&gt;32000000,DE8&lt;=52000000),DE8*25%-3250000,IF(AND(DE8&gt;52000000,DE8&lt;=80000000),DE8*30%-5850000,IF(DE8&gt;80000000,DE8*35%-9850000,0)))))))</f>
        <v>622925</v>
      </c>
      <c r="DG8" s="43">
        <f t="shared" ref="DG8:DG48" si="46">+DB8-CX8-CZ8-DF8</f>
        <v>23506325</v>
      </c>
      <c r="DH8" s="14">
        <v>0</v>
      </c>
      <c r="DI8" s="14">
        <v>0</v>
      </c>
      <c r="DJ8" s="14">
        <v>0</v>
      </c>
      <c r="DK8" s="14">
        <v>0</v>
      </c>
      <c r="DL8" s="14">
        <f t="shared" ref="DL8:DL48" si="47">+DH8+DI8+DJ8+DK8</f>
        <v>0</v>
      </c>
      <c r="DM8" s="14">
        <v>0</v>
      </c>
      <c r="DN8" s="44">
        <f t="shared" ref="DN8:DN48" si="48">ROUND(DG8-DL8+DM8,0)</f>
        <v>23506325</v>
      </c>
      <c r="DO8" s="64"/>
      <c r="DP8" s="64"/>
      <c r="DQ8" s="64"/>
      <c r="DR8" s="64"/>
    </row>
    <row r="9" spans="1:122" s="13" customFormat="1" ht="46.15" customHeight="1">
      <c r="A9" s="37">
        <v>2</v>
      </c>
      <c r="B9" s="23" t="s">
        <v>127</v>
      </c>
      <c r="C9" s="23">
        <v>4</v>
      </c>
      <c r="D9" s="38" t="s">
        <v>92</v>
      </c>
      <c r="E9" s="24" t="s">
        <v>93</v>
      </c>
      <c r="F9" s="23" t="s">
        <v>126</v>
      </c>
      <c r="G9" s="23" t="s">
        <v>3</v>
      </c>
      <c r="H9" s="22">
        <v>28029</v>
      </c>
      <c r="I9" s="22">
        <v>44886</v>
      </c>
      <c r="J9" s="21">
        <f>+I9+29</f>
        <v>44915</v>
      </c>
      <c r="K9" s="20" t="s">
        <v>99</v>
      </c>
      <c r="L9" s="37">
        <f t="shared" si="0"/>
        <v>1</v>
      </c>
      <c r="M9" s="21"/>
      <c r="N9" s="21"/>
      <c r="O9" s="21"/>
      <c r="P9" s="21"/>
      <c r="Q9" s="21"/>
      <c r="R9" s="41">
        <v>26</v>
      </c>
      <c r="S9" s="25">
        <v>26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42">
        <f t="shared" si="1"/>
        <v>26</v>
      </c>
      <c r="AB9" s="25">
        <v>0</v>
      </c>
      <c r="AC9" s="25">
        <v>0</v>
      </c>
      <c r="AD9" s="25">
        <f t="shared" si="2"/>
        <v>26</v>
      </c>
      <c r="AE9" s="16">
        <v>7200000</v>
      </c>
      <c r="AF9" s="14">
        <f t="shared" si="3"/>
        <v>276923.07692307694</v>
      </c>
      <c r="AG9" s="14">
        <f t="shared" si="4"/>
        <v>34615.384615384617</v>
      </c>
      <c r="AH9" s="19">
        <f t="shared" si="5"/>
        <v>7200000</v>
      </c>
      <c r="AI9" s="14">
        <f t="shared" si="6"/>
        <v>44230.769230769234</v>
      </c>
      <c r="AJ9" s="14">
        <f t="shared" si="7"/>
        <v>10384.615384615385</v>
      </c>
      <c r="AK9" s="19">
        <f t="shared" si="8"/>
        <v>0</v>
      </c>
      <c r="AL9" s="14">
        <f t="shared" si="9"/>
        <v>0</v>
      </c>
      <c r="AM9" s="14">
        <f t="shared" si="10"/>
        <v>1</v>
      </c>
      <c r="AN9" s="19">
        <f t="shared" si="11"/>
        <v>276923.07692307694</v>
      </c>
      <c r="AO9" s="14">
        <v>0</v>
      </c>
      <c r="AP9" s="14">
        <v>0</v>
      </c>
      <c r="AQ9" s="14">
        <v>0</v>
      </c>
      <c r="AR9" s="18">
        <f t="shared" si="12"/>
        <v>0</v>
      </c>
      <c r="AS9" s="16">
        <f t="shared" si="13"/>
        <v>7476923.076923077</v>
      </c>
      <c r="AT9" s="55">
        <v>0</v>
      </c>
      <c r="AU9" s="14">
        <f t="shared" si="14"/>
        <v>0</v>
      </c>
      <c r="AV9" s="55">
        <v>0</v>
      </c>
      <c r="AW9" s="14">
        <f t="shared" si="15"/>
        <v>0</v>
      </c>
      <c r="AX9" s="55">
        <v>0</v>
      </c>
      <c r="AY9" s="14">
        <f t="shared" si="16"/>
        <v>0</v>
      </c>
      <c r="AZ9" s="55">
        <v>0</v>
      </c>
      <c r="BA9" s="14">
        <f t="shared" si="17"/>
        <v>0</v>
      </c>
      <c r="BB9" s="65">
        <v>0</v>
      </c>
      <c r="BC9" s="14">
        <f t="shared" si="18"/>
        <v>0</v>
      </c>
      <c r="BD9" s="55">
        <v>2000000</v>
      </c>
      <c r="BE9" s="14">
        <f t="shared" si="19"/>
        <v>2000000</v>
      </c>
      <c r="BF9" s="55">
        <v>500000</v>
      </c>
      <c r="BG9" s="14">
        <f t="shared" si="20"/>
        <v>500000</v>
      </c>
      <c r="BH9" s="55">
        <v>150000</v>
      </c>
      <c r="BI9" s="14">
        <f t="shared" si="21"/>
        <v>150000</v>
      </c>
      <c r="BJ9" s="55">
        <v>150000</v>
      </c>
      <c r="BK9" s="14">
        <f t="shared" si="22"/>
        <v>150000</v>
      </c>
      <c r="BL9" s="55">
        <v>300000</v>
      </c>
      <c r="BM9" s="14">
        <f t="shared" si="23"/>
        <v>300000</v>
      </c>
      <c r="BN9" s="14"/>
      <c r="BO9" s="14">
        <f t="shared" si="24"/>
        <v>0</v>
      </c>
      <c r="BP9" s="16">
        <f t="shared" si="25"/>
        <v>3100000</v>
      </c>
      <c r="BQ9" s="16">
        <f t="shared" si="26"/>
        <v>3100000</v>
      </c>
      <c r="BR9" s="25"/>
      <c r="BS9" s="25"/>
      <c r="BT9" s="17">
        <f t="shared" si="27"/>
        <v>0</v>
      </c>
      <c r="BU9" s="14">
        <v>0</v>
      </c>
      <c r="BV9" s="14">
        <v>0</v>
      </c>
      <c r="BW9" s="17">
        <f t="shared" si="28"/>
        <v>0</v>
      </c>
      <c r="BX9" s="14">
        <v>0</v>
      </c>
      <c r="BY9" s="14">
        <v>0</v>
      </c>
      <c r="BZ9" s="17">
        <f t="shared" si="29"/>
        <v>0</v>
      </c>
      <c r="CA9" s="14">
        <v>0</v>
      </c>
      <c r="CB9" s="14">
        <v>0</v>
      </c>
      <c r="CC9" s="17">
        <f t="shared" si="30"/>
        <v>0</v>
      </c>
      <c r="CD9" s="14">
        <v>0</v>
      </c>
      <c r="CE9" s="14">
        <v>0</v>
      </c>
      <c r="CF9" s="17">
        <f t="shared" si="31"/>
        <v>0</v>
      </c>
      <c r="CG9" s="14">
        <v>0</v>
      </c>
      <c r="CH9" s="14">
        <v>0</v>
      </c>
      <c r="CI9" s="17">
        <f t="shared" si="32"/>
        <v>0</v>
      </c>
      <c r="CJ9" s="14">
        <v>0</v>
      </c>
      <c r="CK9" s="14">
        <v>0</v>
      </c>
      <c r="CL9" s="17">
        <f t="shared" si="33"/>
        <v>0</v>
      </c>
      <c r="CM9" s="56">
        <f t="shared" si="34"/>
        <v>0</v>
      </c>
      <c r="CN9" s="17">
        <f t="shared" si="35"/>
        <v>0</v>
      </c>
      <c r="CO9" s="14">
        <f t="shared" si="36"/>
        <v>0</v>
      </c>
      <c r="CP9" s="14">
        <f t="shared" si="37"/>
        <v>0</v>
      </c>
      <c r="CQ9" s="16">
        <f t="shared" si="38"/>
        <v>9200000</v>
      </c>
      <c r="CR9" s="14">
        <f t="shared" si="39"/>
        <v>736000</v>
      </c>
      <c r="CS9" s="14">
        <f t="shared" si="39"/>
        <v>138000</v>
      </c>
      <c r="CT9" s="14">
        <f t="shared" si="39"/>
        <v>92000</v>
      </c>
      <c r="CU9" s="14">
        <f t="shared" si="39"/>
        <v>1610000</v>
      </c>
      <c r="CV9" s="14">
        <f t="shared" si="39"/>
        <v>276000</v>
      </c>
      <c r="CW9" s="14">
        <f t="shared" si="39"/>
        <v>92000</v>
      </c>
      <c r="CX9" s="16">
        <f t="shared" si="40"/>
        <v>966000</v>
      </c>
      <c r="CY9" s="16">
        <f t="shared" si="41"/>
        <v>1978000</v>
      </c>
      <c r="CZ9" s="14">
        <v>30000</v>
      </c>
      <c r="DA9" s="16">
        <f t="shared" si="42"/>
        <v>184000</v>
      </c>
      <c r="DB9" s="43">
        <f t="shared" ref="DB9:DB48" si="49">+AS9+BQ9+CN9</f>
        <v>10576923.076923076</v>
      </c>
      <c r="DC9" s="15">
        <f t="shared" si="43"/>
        <v>0</v>
      </c>
      <c r="DD9" s="15">
        <v>4400000</v>
      </c>
      <c r="DE9" s="14">
        <f t="shared" si="44"/>
        <v>0</v>
      </c>
      <c r="DF9" s="14">
        <f t="shared" si="45"/>
        <v>0</v>
      </c>
      <c r="DG9" s="43">
        <f t="shared" si="46"/>
        <v>9580923.0769230761</v>
      </c>
      <c r="DH9" s="14">
        <v>0</v>
      </c>
      <c r="DI9" s="14">
        <v>0</v>
      </c>
      <c r="DJ9" s="14">
        <v>0</v>
      </c>
      <c r="DK9" s="14">
        <v>0</v>
      </c>
      <c r="DL9" s="14">
        <f t="shared" si="47"/>
        <v>0</v>
      </c>
      <c r="DM9" s="14">
        <v>0</v>
      </c>
      <c r="DN9" s="44">
        <f t="shared" si="48"/>
        <v>9580923</v>
      </c>
      <c r="DO9" s="64"/>
      <c r="DP9" s="64"/>
      <c r="DQ9" s="64"/>
      <c r="DR9" s="64"/>
    </row>
    <row r="10" spans="1:122" s="13" customFormat="1" ht="46.15" customHeight="1">
      <c r="A10" s="37">
        <v>3</v>
      </c>
      <c r="B10" s="23" t="s">
        <v>130</v>
      </c>
      <c r="C10" s="23">
        <v>6</v>
      </c>
      <c r="D10" s="38" t="s">
        <v>100</v>
      </c>
      <c r="E10" s="24" t="s">
        <v>102</v>
      </c>
      <c r="F10" s="23" t="s">
        <v>141</v>
      </c>
      <c r="G10" s="23" t="s">
        <v>104</v>
      </c>
      <c r="H10" s="22">
        <v>37966</v>
      </c>
      <c r="I10" s="22">
        <v>44977</v>
      </c>
      <c r="J10" s="21">
        <f>+I10+5</f>
        <v>44982</v>
      </c>
      <c r="K10" s="20" t="s">
        <v>99</v>
      </c>
      <c r="L10" s="37">
        <f t="shared" si="0"/>
        <v>1</v>
      </c>
      <c r="M10" s="21"/>
      <c r="N10" s="21"/>
      <c r="O10" s="21"/>
      <c r="P10" s="21"/>
      <c r="Q10" s="21"/>
      <c r="R10" s="41">
        <v>26</v>
      </c>
      <c r="S10" s="25">
        <v>26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42">
        <f t="shared" si="1"/>
        <v>26</v>
      </c>
      <c r="AB10" s="25">
        <v>0</v>
      </c>
      <c r="AC10" s="25">
        <v>0</v>
      </c>
      <c r="AD10" s="25">
        <f t="shared" si="2"/>
        <v>26</v>
      </c>
      <c r="AE10" s="16">
        <v>4400000</v>
      </c>
      <c r="AF10" s="14">
        <f t="shared" si="3"/>
        <v>169230.76923076922</v>
      </c>
      <c r="AG10" s="14">
        <f t="shared" si="4"/>
        <v>21153.846153846152</v>
      </c>
      <c r="AH10" s="19">
        <f t="shared" si="5"/>
        <v>4400000</v>
      </c>
      <c r="AI10" s="14">
        <f t="shared" si="6"/>
        <v>30288.461538461539</v>
      </c>
      <c r="AJ10" s="14">
        <f t="shared" si="7"/>
        <v>6346.1538461538457</v>
      </c>
      <c r="AK10" s="19">
        <f t="shared" si="8"/>
        <v>0</v>
      </c>
      <c r="AL10" s="14">
        <f t="shared" si="9"/>
        <v>0</v>
      </c>
      <c r="AM10" s="14">
        <f t="shared" si="10"/>
        <v>1</v>
      </c>
      <c r="AN10" s="19">
        <f t="shared" si="11"/>
        <v>169230.76923076922</v>
      </c>
      <c r="AO10" s="14">
        <v>0</v>
      </c>
      <c r="AP10" s="14">
        <v>0</v>
      </c>
      <c r="AQ10" s="14">
        <v>0</v>
      </c>
      <c r="AR10" s="18">
        <f t="shared" si="12"/>
        <v>0</v>
      </c>
      <c r="AS10" s="16">
        <f t="shared" si="13"/>
        <v>4569230.769230769</v>
      </c>
      <c r="AT10" s="55">
        <v>0</v>
      </c>
      <c r="AU10" s="14">
        <f t="shared" si="14"/>
        <v>0</v>
      </c>
      <c r="AV10" s="55">
        <v>900000</v>
      </c>
      <c r="AW10" s="14">
        <f t="shared" si="15"/>
        <v>900000</v>
      </c>
      <c r="AX10" s="55">
        <v>0</v>
      </c>
      <c r="AY10" s="14">
        <f t="shared" si="16"/>
        <v>0</v>
      </c>
      <c r="AZ10" s="55">
        <v>1000000</v>
      </c>
      <c r="BA10" s="14">
        <f t="shared" si="17"/>
        <v>1000000</v>
      </c>
      <c r="BB10" s="65">
        <v>0</v>
      </c>
      <c r="BC10" s="14">
        <f t="shared" si="18"/>
        <v>0</v>
      </c>
      <c r="BD10" s="55">
        <v>0</v>
      </c>
      <c r="BE10" s="14">
        <f t="shared" si="19"/>
        <v>0</v>
      </c>
      <c r="BF10" s="55">
        <v>500000</v>
      </c>
      <c r="BG10" s="14">
        <f t="shared" si="20"/>
        <v>500000</v>
      </c>
      <c r="BH10" s="55">
        <v>150000</v>
      </c>
      <c r="BI10" s="14">
        <f t="shared" si="21"/>
        <v>150000</v>
      </c>
      <c r="BJ10" s="55">
        <v>150000</v>
      </c>
      <c r="BK10" s="14">
        <f t="shared" si="22"/>
        <v>150000</v>
      </c>
      <c r="BL10" s="55">
        <v>300000</v>
      </c>
      <c r="BM10" s="14">
        <f t="shared" si="23"/>
        <v>300000</v>
      </c>
      <c r="BN10" s="14"/>
      <c r="BO10" s="14">
        <f t="shared" si="24"/>
        <v>31730.769230769227</v>
      </c>
      <c r="BP10" s="16">
        <f t="shared" si="25"/>
        <v>3000000</v>
      </c>
      <c r="BQ10" s="16">
        <f t="shared" si="26"/>
        <v>3031730.769230769</v>
      </c>
      <c r="BR10" s="25"/>
      <c r="BS10" s="25"/>
      <c r="BT10" s="17">
        <f t="shared" si="27"/>
        <v>0</v>
      </c>
      <c r="BU10" s="14">
        <v>0</v>
      </c>
      <c r="BV10" s="14">
        <v>0</v>
      </c>
      <c r="BW10" s="17">
        <f t="shared" si="28"/>
        <v>0</v>
      </c>
      <c r="BX10" s="14">
        <v>0</v>
      </c>
      <c r="BY10" s="14">
        <v>0</v>
      </c>
      <c r="BZ10" s="17">
        <f t="shared" si="29"/>
        <v>0</v>
      </c>
      <c r="CA10" s="14">
        <v>0</v>
      </c>
      <c r="CB10" s="14">
        <v>0</v>
      </c>
      <c r="CC10" s="17">
        <f t="shared" si="30"/>
        <v>0</v>
      </c>
      <c r="CD10" s="14">
        <v>0</v>
      </c>
      <c r="CE10" s="14">
        <v>0</v>
      </c>
      <c r="CF10" s="17">
        <f t="shared" si="31"/>
        <v>0</v>
      </c>
      <c r="CG10" s="14">
        <v>0</v>
      </c>
      <c r="CH10" s="14">
        <v>0</v>
      </c>
      <c r="CI10" s="17">
        <f t="shared" si="32"/>
        <v>0</v>
      </c>
      <c r="CJ10" s="14">
        <v>0</v>
      </c>
      <c r="CK10" s="14">
        <v>0</v>
      </c>
      <c r="CL10" s="17">
        <f t="shared" si="33"/>
        <v>0</v>
      </c>
      <c r="CM10" s="56">
        <f t="shared" si="34"/>
        <v>0</v>
      </c>
      <c r="CN10" s="17">
        <f t="shared" si="35"/>
        <v>0</v>
      </c>
      <c r="CO10" s="14">
        <f t="shared" si="36"/>
        <v>0</v>
      </c>
      <c r="CP10" s="14">
        <f t="shared" si="37"/>
        <v>0</v>
      </c>
      <c r="CQ10" s="16">
        <f t="shared" si="38"/>
        <v>6300000</v>
      </c>
      <c r="CR10" s="14">
        <f t="shared" si="39"/>
        <v>504000</v>
      </c>
      <c r="CS10" s="14">
        <f t="shared" si="39"/>
        <v>94500</v>
      </c>
      <c r="CT10" s="14">
        <f t="shared" si="39"/>
        <v>63000</v>
      </c>
      <c r="CU10" s="14">
        <f t="shared" si="39"/>
        <v>1102500</v>
      </c>
      <c r="CV10" s="14">
        <f t="shared" si="39"/>
        <v>189000</v>
      </c>
      <c r="CW10" s="14">
        <f t="shared" si="39"/>
        <v>63000</v>
      </c>
      <c r="CX10" s="16">
        <f t="shared" si="40"/>
        <v>661500</v>
      </c>
      <c r="CY10" s="16">
        <f t="shared" si="41"/>
        <v>1354500</v>
      </c>
      <c r="CZ10" s="14">
        <v>30000</v>
      </c>
      <c r="DA10" s="16">
        <f t="shared" si="42"/>
        <v>126000</v>
      </c>
      <c r="DB10" s="43">
        <f t="shared" si="49"/>
        <v>7600961.538461538</v>
      </c>
      <c r="DC10" s="15">
        <f t="shared" si="43"/>
        <v>0</v>
      </c>
      <c r="DD10" s="15">
        <v>0</v>
      </c>
      <c r="DE10" s="14">
        <f t="shared" si="44"/>
        <v>0</v>
      </c>
      <c r="DF10" s="14">
        <f t="shared" si="45"/>
        <v>0</v>
      </c>
      <c r="DG10" s="43">
        <f t="shared" si="46"/>
        <v>6909461.538461538</v>
      </c>
      <c r="DH10" s="14">
        <v>0</v>
      </c>
      <c r="DI10" s="14">
        <v>0</v>
      </c>
      <c r="DJ10" s="14">
        <v>0</v>
      </c>
      <c r="DK10" s="14">
        <v>0</v>
      </c>
      <c r="DL10" s="14">
        <f t="shared" si="47"/>
        <v>0</v>
      </c>
      <c r="DM10" s="14">
        <v>0</v>
      </c>
      <c r="DN10" s="44">
        <f t="shared" si="48"/>
        <v>6909462</v>
      </c>
      <c r="DO10" s="64"/>
      <c r="DP10" s="64"/>
      <c r="DQ10" s="64"/>
      <c r="DR10" s="64"/>
    </row>
    <row r="11" spans="1:122" s="13" customFormat="1" ht="46.15" customHeight="1">
      <c r="A11" s="37">
        <v>4</v>
      </c>
      <c r="B11" s="23" t="s">
        <v>131</v>
      </c>
      <c r="C11" s="23">
        <v>7</v>
      </c>
      <c r="D11" s="38" t="s">
        <v>101</v>
      </c>
      <c r="E11" s="24" t="s">
        <v>103</v>
      </c>
      <c r="F11" s="23" t="s">
        <v>126</v>
      </c>
      <c r="G11" s="23" t="s">
        <v>104</v>
      </c>
      <c r="H11" s="22">
        <v>27022</v>
      </c>
      <c r="I11" s="22">
        <v>44977</v>
      </c>
      <c r="J11" s="21">
        <f>+I11+5</f>
        <v>44982</v>
      </c>
      <c r="K11" s="20" t="s">
        <v>99</v>
      </c>
      <c r="L11" s="37">
        <f t="shared" si="0"/>
        <v>1</v>
      </c>
      <c r="M11" s="21"/>
      <c r="N11" s="21"/>
      <c r="O11" s="21"/>
      <c r="P11" s="21"/>
      <c r="Q11" s="21"/>
      <c r="R11" s="41">
        <v>26</v>
      </c>
      <c r="S11" s="25">
        <v>26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42">
        <f t="shared" si="1"/>
        <v>26</v>
      </c>
      <c r="AB11" s="25">
        <v>0</v>
      </c>
      <c r="AC11" s="25">
        <v>0</v>
      </c>
      <c r="AD11" s="25">
        <f t="shared" si="2"/>
        <v>26</v>
      </c>
      <c r="AE11" s="16">
        <v>4000000</v>
      </c>
      <c r="AF11" s="14">
        <f t="shared" si="3"/>
        <v>153846.15384615384</v>
      </c>
      <c r="AG11" s="14">
        <f t="shared" si="4"/>
        <v>19230.76923076923</v>
      </c>
      <c r="AH11" s="19">
        <f t="shared" si="5"/>
        <v>4000000</v>
      </c>
      <c r="AI11" s="14">
        <f t="shared" si="6"/>
        <v>22115.384615384617</v>
      </c>
      <c r="AJ11" s="14">
        <f t="shared" si="7"/>
        <v>5769.2307692307686</v>
      </c>
      <c r="AK11" s="19">
        <f t="shared" si="8"/>
        <v>0</v>
      </c>
      <c r="AL11" s="14">
        <f t="shared" si="9"/>
        <v>0</v>
      </c>
      <c r="AM11" s="14">
        <f t="shared" si="10"/>
        <v>1</v>
      </c>
      <c r="AN11" s="19">
        <f t="shared" si="11"/>
        <v>153846.15384615384</v>
      </c>
      <c r="AO11" s="14">
        <v>0</v>
      </c>
      <c r="AP11" s="14">
        <v>0</v>
      </c>
      <c r="AQ11" s="14">
        <v>0</v>
      </c>
      <c r="AR11" s="18">
        <f t="shared" si="12"/>
        <v>0</v>
      </c>
      <c r="AS11" s="16">
        <f t="shared" si="13"/>
        <v>4153846.153846154</v>
      </c>
      <c r="AT11" s="55">
        <v>0</v>
      </c>
      <c r="AU11" s="14">
        <f t="shared" si="14"/>
        <v>0</v>
      </c>
      <c r="AV11" s="55">
        <v>0</v>
      </c>
      <c r="AW11" s="14">
        <f t="shared" si="15"/>
        <v>0</v>
      </c>
      <c r="AX11" s="55">
        <v>0</v>
      </c>
      <c r="AY11" s="14">
        <f t="shared" si="16"/>
        <v>0</v>
      </c>
      <c r="AZ11" s="55">
        <v>0</v>
      </c>
      <c r="BA11" s="14">
        <f t="shared" si="17"/>
        <v>0</v>
      </c>
      <c r="BB11" s="65">
        <v>0</v>
      </c>
      <c r="BC11" s="14">
        <f t="shared" si="18"/>
        <v>0</v>
      </c>
      <c r="BD11" s="55">
        <v>600000</v>
      </c>
      <c r="BE11" s="14">
        <f t="shared" si="19"/>
        <v>600000</v>
      </c>
      <c r="BF11" s="55">
        <v>500000</v>
      </c>
      <c r="BG11" s="14">
        <f t="shared" si="20"/>
        <v>500000</v>
      </c>
      <c r="BH11" s="55">
        <v>150000</v>
      </c>
      <c r="BI11" s="14">
        <f t="shared" si="21"/>
        <v>150000</v>
      </c>
      <c r="BJ11" s="55">
        <v>150000</v>
      </c>
      <c r="BK11" s="14">
        <f t="shared" si="22"/>
        <v>150000</v>
      </c>
      <c r="BL11" s="55">
        <v>300000</v>
      </c>
      <c r="BM11" s="14">
        <f t="shared" si="23"/>
        <v>300000</v>
      </c>
      <c r="BN11" s="14"/>
      <c r="BO11" s="14">
        <f t="shared" si="24"/>
        <v>28846.153846153844</v>
      </c>
      <c r="BP11" s="16">
        <f t="shared" si="25"/>
        <v>1700000</v>
      </c>
      <c r="BQ11" s="16">
        <f t="shared" si="26"/>
        <v>1728846.153846154</v>
      </c>
      <c r="BR11" s="25"/>
      <c r="BS11" s="25"/>
      <c r="BT11" s="17">
        <f t="shared" si="27"/>
        <v>0</v>
      </c>
      <c r="BU11" s="14">
        <v>0</v>
      </c>
      <c r="BV11" s="14">
        <v>0</v>
      </c>
      <c r="BW11" s="17">
        <f t="shared" si="28"/>
        <v>0</v>
      </c>
      <c r="BX11" s="14">
        <v>0</v>
      </c>
      <c r="BY11" s="14">
        <v>0</v>
      </c>
      <c r="BZ11" s="17">
        <f t="shared" si="29"/>
        <v>0</v>
      </c>
      <c r="CA11" s="14">
        <v>0</v>
      </c>
      <c r="CB11" s="14">
        <v>0</v>
      </c>
      <c r="CC11" s="17">
        <f t="shared" si="30"/>
        <v>0</v>
      </c>
      <c r="CD11" s="14">
        <v>0</v>
      </c>
      <c r="CE11" s="14">
        <v>0</v>
      </c>
      <c r="CF11" s="17">
        <f t="shared" si="31"/>
        <v>0</v>
      </c>
      <c r="CG11" s="14">
        <v>0</v>
      </c>
      <c r="CH11" s="14">
        <v>0</v>
      </c>
      <c r="CI11" s="17">
        <f t="shared" si="32"/>
        <v>0</v>
      </c>
      <c r="CJ11" s="14">
        <v>0</v>
      </c>
      <c r="CK11" s="14">
        <v>0</v>
      </c>
      <c r="CL11" s="17">
        <f t="shared" si="33"/>
        <v>0</v>
      </c>
      <c r="CM11" s="56">
        <f t="shared" si="34"/>
        <v>0</v>
      </c>
      <c r="CN11" s="17">
        <f t="shared" si="35"/>
        <v>0</v>
      </c>
      <c r="CO11" s="14">
        <f t="shared" si="36"/>
        <v>0</v>
      </c>
      <c r="CP11" s="14">
        <f t="shared" si="37"/>
        <v>0</v>
      </c>
      <c r="CQ11" s="16">
        <f t="shared" si="38"/>
        <v>4600000</v>
      </c>
      <c r="CR11" s="14">
        <f t="shared" si="39"/>
        <v>368000</v>
      </c>
      <c r="CS11" s="14">
        <f t="shared" si="39"/>
        <v>69000</v>
      </c>
      <c r="CT11" s="14">
        <f t="shared" si="39"/>
        <v>46000</v>
      </c>
      <c r="CU11" s="14">
        <f t="shared" si="39"/>
        <v>805000</v>
      </c>
      <c r="CV11" s="14">
        <f t="shared" si="39"/>
        <v>138000</v>
      </c>
      <c r="CW11" s="14">
        <f t="shared" si="39"/>
        <v>46000</v>
      </c>
      <c r="CX11" s="16">
        <f t="shared" si="40"/>
        <v>483000</v>
      </c>
      <c r="CY11" s="16">
        <f t="shared" si="41"/>
        <v>989000</v>
      </c>
      <c r="CZ11" s="14">
        <v>30000</v>
      </c>
      <c r="DA11" s="16">
        <f t="shared" si="42"/>
        <v>92000</v>
      </c>
      <c r="DB11" s="43">
        <f t="shared" si="49"/>
        <v>5882692.307692308</v>
      </c>
      <c r="DC11" s="15">
        <f t="shared" si="43"/>
        <v>0</v>
      </c>
      <c r="DD11" s="15">
        <v>0</v>
      </c>
      <c r="DE11" s="14">
        <f t="shared" si="44"/>
        <v>0</v>
      </c>
      <c r="DF11" s="14">
        <f t="shared" si="45"/>
        <v>0</v>
      </c>
      <c r="DG11" s="43">
        <f t="shared" si="46"/>
        <v>5369692.307692308</v>
      </c>
      <c r="DH11" s="14">
        <v>0</v>
      </c>
      <c r="DI11" s="14">
        <v>0</v>
      </c>
      <c r="DJ11" s="14">
        <v>0</v>
      </c>
      <c r="DK11" s="14">
        <v>0</v>
      </c>
      <c r="DL11" s="14">
        <f t="shared" si="47"/>
        <v>0</v>
      </c>
      <c r="DM11" s="14">
        <v>0</v>
      </c>
      <c r="DN11" s="44">
        <f t="shared" si="48"/>
        <v>5369692</v>
      </c>
      <c r="DO11" s="64"/>
      <c r="DP11" s="64"/>
      <c r="DQ11" s="64"/>
      <c r="DR11" s="64"/>
    </row>
    <row r="12" spans="1:122" s="13" customFormat="1" ht="46.15" customHeight="1">
      <c r="A12" s="37">
        <v>5</v>
      </c>
      <c r="B12" s="23" t="s">
        <v>129</v>
      </c>
      <c r="C12" s="23">
        <v>8</v>
      </c>
      <c r="D12" s="38" t="s">
        <v>105</v>
      </c>
      <c r="E12" s="24" t="s">
        <v>106</v>
      </c>
      <c r="F12" s="23" t="s">
        <v>126</v>
      </c>
      <c r="G12" s="23" t="s">
        <v>3</v>
      </c>
      <c r="H12" s="22">
        <v>32890</v>
      </c>
      <c r="I12" s="22">
        <v>44977</v>
      </c>
      <c r="J12" s="21">
        <f>+I12+29</f>
        <v>45006</v>
      </c>
      <c r="K12" s="20" t="s">
        <v>99</v>
      </c>
      <c r="L12" s="37">
        <f t="shared" si="0"/>
        <v>1</v>
      </c>
      <c r="M12" s="21"/>
      <c r="N12" s="21"/>
      <c r="O12" s="21"/>
      <c r="P12" s="21"/>
      <c r="Q12" s="21"/>
      <c r="R12" s="41">
        <v>26</v>
      </c>
      <c r="S12" s="25">
        <v>26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42">
        <f t="shared" si="1"/>
        <v>26</v>
      </c>
      <c r="AB12" s="25">
        <v>0</v>
      </c>
      <c r="AC12" s="25">
        <v>0</v>
      </c>
      <c r="AD12" s="25">
        <f t="shared" si="2"/>
        <v>26</v>
      </c>
      <c r="AE12" s="16">
        <v>7200000</v>
      </c>
      <c r="AF12" s="14">
        <f t="shared" si="3"/>
        <v>276923.07692307694</v>
      </c>
      <c r="AG12" s="14">
        <f t="shared" si="4"/>
        <v>34615.384615384617</v>
      </c>
      <c r="AH12" s="19">
        <f t="shared" si="5"/>
        <v>7200000</v>
      </c>
      <c r="AI12" s="14">
        <f t="shared" si="6"/>
        <v>44230.769230769234</v>
      </c>
      <c r="AJ12" s="14">
        <f t="shared" si="7"/>
        <v>10384.615384615385</v>
      </c>
      <c r="AK12" s="19">
        <f t="shared" si="8"/>
        <v>0</v>
      </c>
      <c r="AL12" s="14">
        <f t="shared" si="9"/>
        <v>0</v>
      </c>
      <c r="AM12" s="14">
        <f t="shared" si="10"/>
        <v>1</v>
      </c>
      <c r="AN12" s="19">
        <f t="shared" si="11"/>
        <v>276923.07692307694</v>
      </c>
      <c r="AO12" s="14">
        <v>0</v>
      </c>
      <c r="AP12" s="14">
        <v>0</v>
      </c>
      <c r="AQ12" s="14">
        <v>0</v>
      </c>
      <c r="AR12" s="18">
        <f t="shared" si="12"/>
        <v>0</v>
      </c>
      <c r="AS12" s="16">
        <f t="shared" si="13"/>
        <v>7476923.076923077</v>
      </c>
      <c r="AT12" s="55">
        <v>0</v>
      </c>
      <c r="AU12" s="14">
        <f t="shared" si="14"/>
        <v>0</v>
      </c>
      <c r="AV12" s="55">
        <v>0</v>
      </c>
      <c r="AW12" s="14">
        <f t="shared" si="15"/>
        <v>0</v>
      </c>
      <c r="AX12" s="55">
        <v>0</v>
      </c>
      <c r="AY12" s="14">
        <f t="shared" si="16"/>
        <v>0</v>
      </c>
      <c r="AZ12" s="55">
        <v>0</v>
      </c>
      <c r="BA12" s="14">
        <f t="shared" si="17"/>
        <v>0</v>
      </c>
      <c r="BB12" s="65">
        <v>0</v>
      </c>
      <c r="BC12" s="14">
        <f t="shared" si="18"/>
        <v>0</v>
      </c>
      <c r="BD12" s="55">
        <v>2000000</v>
      </c>
      <c r="BE12" s="14">
        <f t="shared" si="19"/>
        <v>2000000</v>
      </c>
      <c r="BF12" s="55">
        <v>500000</v>
      </c>
      <c r="BG12" s="14">
        <f t="shared" si="20"/>
        <v>500000</v>
      </c>
      <c r="BH12" s="55">
        <v>150000</v>
      </c>
      <c r="BI12" s="14">
        <f t="shared" si="21"/>
        <v>150000</v>
      </c>
      <c r="BJ12" s="55">
        <v>150000</v>
      </c>
      <c r="BK12" s="14">
        <f t="shared" si="22"/>
        <v>150000</v>
      </c>
      <c r="BL12" s="55">
        <v>300000</v>
      </c>
      <c r="BM12" s="14">
        <f t="shared" si="23"/>
        <v>300000</v>
      </c>
      <c r="BN12" s="14"/>
      <c r="BO12" s="14">
        <f t="shared" si="24"/>
        <v>0</v>
      </c>
      <c r="BP12" s="16">
        <f t="shared" si="25"/>
        <v>3100000</v>
      </c>
      <c r="BQ12" s="16">
        <f t="shared" si="26"/>
        <v>3100000</v>
      </c>
      <c r="BR12" s="25"/>
      <c r="BS12" s="25"/>
      <c r="BT12" s="17">
        <f t="shared" si="27"/>
        <v>0</v>
      </c>
      <c r="BU12" s="14">
        <v>0</v>
      </c>
      <c r="BV12" s="14">
        <v>0</v>
      </c>
      <c r="BW12" s="17">
        <f t="shared" si="28"/>
        <v>0</v>
      </c>
      <c r="BX12" s="14">
        <v>0</v>
      </c>
      <c r="BY12" s="14">
        <v>0</v>
      </c>
      <c r="BZ12" s="17">
        <f t="shared" si="29"/>
        <v>0</v>
      </c>
      <c r="CA12" s="14">
        <v>0</v>
      </c>
      <c r="CB12" s="14">
        <v>0</v>
      </c>
      <c r="CC12" s="17">
        <f t="shared" si="30"/>
        <v>0</v>
      </c>
      <c r="CD12" s="14">
        <v>0</v>
      </c>
      <c r="CE12" s="14">
        <v>0</v>
      </c>
      <c r="CF12" s="17">
        <f t="shared" si="31"/>
        <v>0</v>
      </c>
      <c r="CG12" s="14">
        <v>0</v>
      </c>
      <c r="CH12" s="14">
        <v>0</v>
      </c>
      <c r="CI12" s="17">
        <f t="shared" si="32"/>
        <v>0</v>
      </c>
      <c r="CJ12" s="14">
        <v>0</v>
      </c>
      <c r="CK12" s="14">
        <v>0</v>
      </c>
      <c r="CL12" s="17">
        <f t="shared" si="33"/>
        <v>0</v>
      </c>
      <c r="CM12" s="56">
        <f t="shared" si="34"/>
        <v>0</v>
      </c>
      <c r="CN12" s="17">
        <f t="shared" si="35"/>
        <v>0</v>
      </c>
      <c r="CO12" s="14">
        <f t="shared" si="36"/>
        <v>0</v>
      </c>
      <c r="CP12" s="14">
        <f t="shared" si="37"/>
        <v>0</v>
      </c>
      <c r="CQ12" s="16">
        <f t="shared" si="38"/>
        <v>9200000</v>
      </c>
      <c r="CR12" s="14">
        <f t="shared" si="39"/>
        <v>736000</v>
      </c>
      <c r="CS12" s="14">
        <f t="shared" si="39"/>
        <v>138000</v>
      </c>
      <c r="CT12" s="14">
        <f t="shared" si="39"/>
        <v>92000</v>
      </c>
      <c r="CU12" s="14">
        <f t="shared" si="39"/>
        <v>1610000</v>
      </c>
      <c r="CV12" s="14">
        <f t="shared" si="39"/>
        <v>276000</v>
      </c>
      <c r="CW12" s="14">
        <f t="shared" si="39"/>
        <v>92000</v>
      </c>
      <c r="CX12" s="16">
        <f t="shared" si="40"/>
        <v>966000</v>
      </c>
      <c r="CY12" s="16">
        <f t="shared" si="41"/>
        <v>1978000</v>
      </c>
      <c r="CZ12" s="14">
        <v>30000</v>
      </c>
      <c r="DA12" s="16">
        <f t="shared" si="42"/>
        <v>184000</v>
      </c>
      <c r="DB12" s="43">
        <f t="shared" si="49"/>
        <v>10576923.076923076</v>
      </c>
      <c r="DC12" s="15">
        <f t="shared" si="43"/>
        <v>0</v>
      </c>
      <c r="DD12" s="15">
        <v>8800000</v>
      </c>
      <c r="DE12" s="14">
        <f t="shared" si="44"/>
        <v>0</v>
      </c>
      <c r="DF12" s="14">
        <f t="shared" si="45"/>
        <v>0</v>
      </c>
      <c r="DG12" s="43">
        <f t="shared" si="46"/>
        <v>9580923.0769230761</v>
      </c>
      <c r="DH12" s="14">
        <v>0</v>
      </c>
      <c r="DI12" s="14">
        <v>0</v>
      </c>
      <c r="DJ12" s="14">
        <v>0</v>
      </c>
      <c r="DK12" s="14">
        <v>0</v>
      </c>
      <c r="DL12" s="14">
        <f t="shared" si="47"/>
        <v>0</v>
      </c>
      <c r="DM12" s="14">
        <v>0</v>
      </c>
      <c r="DN12" s="44">
        <f t="shared" si="48"/>
        <v>9580923</v>
      </c>
      <c r="DO12" s="64"/>
      <c r="DP12" s="64"/>
      <c r="DQ12" s="64"/>
      <c r="DR12" s="64"/>
    </row>
    <row r="13" spans="1:122" s="13" customFormat="1" ht="46.15" customHeight="1">
      <c r="A13" s="37">
        <v>6</v>
      </c>
      <c r="B13" s="23" t="s">
        <v>159</v>
      </c>
      <c r="C13" s="23">
        <v>11</v>
      </c>
      <c r="D13" s="38" t="s">
        <v>109</v>
      </c>
      <c r="E13" s="24" t="s">
        <v>111</v>
      </c>
      <c r="F13" s="23" t="s">
        <v>141</v>
      </c>
      <c r="G13" s="23" t="s">
        <v>104</v>
      </c>
      <c r="H13" s="22">
        <v>36281</v>
      </c>
      <c r="I13" s="22">
        <v>44986</v>
      </c>
      <c r="J13" s="21">
        <f>+I13+5</f>
        <v>44991</v>
      </c>
      <c r="K13" s="20" t="s">
        <v>99</v>
      </c>
      <c r="L13" s="37">
        <f t="shared" si="0"/>
        <v>1</v>
      </c>
      <c r="M13" s="21"/>
      <c r="N13" s="21"/>
      <c r="O13" s="21"/>
      <c r="P13" s="21"/>
      <c r="Q13" s="21"/>
      <c r="R13" s="41">
        <v>26</v>
      </c>
      <c r="S13" s="25">
        <v>26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42">
        <f t="shared" si="1"/>
        <v>26</v>
      </c>
      <c r="AB13" s="25">
        <v>0</v>
      </c>
      <c r="AC13" s="25">
        <v>0</v>
      </c>
      <c r="AD13" s="25">
        <f t="shared" si="2"/>
        <v>26</v>
      </c>
      <c r="AE13" s="16">
        <v>4400000</v>
      </c>
      <c r="AF13" s="14">
        <f t="shared" si="3"/>
        <v>169230.76923076922</v>
      </c>
      <c r="AG13" s="14">
        <f t="shared" si="4"/>
        <v>21153.846153846152</v>
      </c>
      <c r="AH13" s="19">
        <f t="shared" si="5"/>
        <v>4400000</v>
      </c>
      <c r="AI13" s="14">
        <f t="shared" si="6"/>
        <v>30288.461538461539</v>
      </c>
      <c r="AJ13" s="14">
        <f t="shared" si="7"/>
        <v>6346.1538461538457</v>
      </c>
      <c r="AK13" s="19">
        <f t="shared" si="8"/>
        <v>0</v>
      </c>
      <c r="AL13" s="14">
        <f t="shared" si="9"/>
        <v>0</v>
      </c>
      <c r="AM13" s="14">
        <f t="shared" si="10"/>
        <v>1</v>
      </c>
      <c r="AN13" s="19">
        <f t="shared" si="11"/>
        <v>169230.76923076922</v>
      </c>
      <c r="AO13" s="14">
        <v>0</v>
      </c>
      <c r="AP13" s="14">
        <v>0</v>
      </c>
      <c r="AQ13" s="14">
        <v>0</v>
      </c>
      <c r="AR13" s="18">
        <f t="shared" si="12"/>
        <v>0</v>
      </c>
      <c r="AS13" s="16">
        <f t="shared" si="13"/>
        <v>4569230.769230769</v>
      </c>
      <c r="AT13" s="55">
        <v>0</v>
      </c>
      <c r="AU13" s="14">
        <f t="shared" si="14"/>
        <v>0</v>
      </c>
      <c r="AV13" s="55">
        <v>900000</v>
      </c>
      <c r="AW13" s="14">
        <f t="shared" si="15"/>
        <v>900000</v>
      </c>
      <c r="AX13" s="55">
        <v>0</v>
      </c>
      <c r="AY13" s="14">
        <f t="shared" si="16"/>
        <v>0</v>
      </c>
      <c r="AZ13" s="55">
        <v>1000000</v>
      </c>
      <c r="BA13" s="14">
        <f t="shared" si="17"/>
        <v>1000000</v>
      </c>
      <c r="BB13" s="65">
        <v>0</v>
      </c>
      <c r="BC13" s="14">
        <f t="shared" si="18"/>
        <v>0</v>
      </c>
      <c r="BD13" s="55">
        <v>0</v>
      </c>
      <c r="BE13" s="14">
        <f t="shared" si="19"/>
        <v>0</v>
      </c>
      <c r="BF13" s="55">
        <v>500000</v>
      </c>
      <c r="BG13" s="14">
        <f t="shared" si="20"/>
        <v>500000</v>
      </c>
      <c r="BH13" s="55">
        <v>150000</v>
      </c>
      <c r="BI13" s="14">
        <f t="shared" si="21"/>
        <v>150000</v>
      </c>
      <c r="BJ13" s="55">
        <v>150000</v>
      </c>
      <c r="BK13" s="14">
        <f t="shared" si="22"/>
        <v>150000</v>
      </c>
      <c r="BL13" s="55">
        <v>300000</v>
      </c>
      <c r="BM13" s="14">
        <f t="shared" si="23"/>
        <v>300000</v>
      </c>
      <c r="BN13" s="14"/>
      <c r="BO13" s="14">
        <f t="shared" si="24"/>
        <v>31730.769230769227</v>
      </c>
      <c r="BP13" s="16">
        <f t="shared" si="25"/>
        <v>3000000</v>
      </c>
      <c r="BQ13" s="16">
        <f t="shared" si="26"/>
        <v>3031730.769230769</v>
      </c>
      <c r="BR13" s="25"/>
      <c r="BS13" s="25"/>
      <c r="BT13" s="17">
        <f t="shared" si="27"/>
        <v>0</v>
      </c>
      <c r="BU13" s="14">
        <v>0</v>
      </c>
      <c r="BV13" s="14">
        <v>0</v>
      </c>
      <c r="BW13" s="17">
        <f t="shared" si="28"/>
        <v>0</v>
      </c>
      <c r="BX13" s="14">
        <v>0</v>
      </c>
      <c r="BY13" s="14">
        <v>0</v>
      </c>
      <c r="BZ13" s="17">
        <f t="shared" si="29"/>
        <v>0</v>
      </c>
      <c r="CA13" s="14">
        <v>0</v>
      </c>
      <c r="CB13" s="14">
        <v>0</v>
      </c>
      <c r="CC13" s="17">
        <f t="shared" si="30"/>
        <v>0</v>
      </c>
      <c r="CD13" s="14">
        <v>0</v>
      </c>
      <c r="CE13" s="14">
        <v>0</v>
      </c>
      <c r="CF13" s="17">
        <f t="shared" si="31"/>
        <v>0</v>
      </c>
      <c r="CG13" s="14">
        <v>0</v>
      </c>
      <c r="CH13" s="14">
        <v>0</v>
      </c>
      <c r="CI13" s="17">
        <f t="shared" si="32"/>
        <v>0</v>
      </c>
      <c r="CJ13" s="14">
        <v>0</v>
      </c>
      <c r="CK13" s="14">
        <v>0</v>
      </c>
      <c r="CL13" s="17">
        <f t="shared" si="33"/>
        <v>0</v>
      </c>
      <c r="CM13" s="56">
        <f t="shared" si="34"/>
        <v>0</v>
      </c>
      <c r="CN13" s="17">
        <f t="shared" si="35"/>
        <v>0</v>
      </c>
      <c r="CO13" s="14">
        <f t="shared" si="36"/>
        <v>0</v>
      </c>
      <c r="CP13" s="14">
        <f t="shared" si="37"/>
        <v>0</v>
      </c>
      <c r="CQ13" s="16">
        <f t="shared" si="38"/>
        <v>6300000</v>
      </c>
      <c r="CR13" s="14">
        <f t="shared" si="39"/>
        <v>504000</v>
      </c>
      <c r="CS13" s="14">
        <f t="shared" si="39"/>
        <v>94500</v>
      </c>
      <c r="CT13" s="14">
        <f t="shared" si="39"/>
        <v>63000</v>
      </c>
      <c r="CU13" s="14">
        <f t="shared" si="39"/>
        <v>1102500</v>
      </c>
      <c r="CV13" s="14">
        <f t="shared" si="39"/>
        <v>189000</v>
      </c>
      <c r="CW13" s="14">
        <f t="shared" si="39"/>
        <v>63000</v>
      </c>
      <c r="CX13" s="16">
        <f t="shared" si="40"/>
        <v>661500</v>
      </c>
      <c r="CY13" s="16">
        <f t="shared" si="41"/>
        <v>1354500</v>
      </c>
      <c r="CZ13" s="14">
        <v>30000</v>
      </c>
      <c r="DA13" s="16">
        <f t="shared" si="42"/>
        <v>126000</v>
      </c>
      <c r="DB13" s="43">
        <f t="shared" si="49"/>
        <v>7600961.538461538</v>
      </c>
      <c r="DC13" s="15">
        <f t="shared" si="43"/>
        <v>0</v>
      </c>
      <c r="DD13" s="15">
        <v>0</v>
      </c>
      <c r="DE13" s="14">
        <f t="shared" si="44"/>
        <v>0</v>
      </c>
      <c r="DF13" s="14">
        <f t="shared" si="45"/>
        <v>0</v>
      </c>
      <c r="DG13" s="43">
        <f t="shared" si="46"/>
        <v>6909461.538461538</v>
      </c>
      <c r="DH13" s="14">
        <v>0</v>
      </c>
      <c r="DI13" s="14">
        <v>0</v>
      </c>
      <c r="DJ13" s="14">
        <v>0</v>
      </c>
      <c r="DK13" s="14">
        <v>0</v>
      </c>
      <c r="DL13" s="14">
        <f t="shared" si="47"/>
        <v>0</v>
      </c>
      <c r="DM13" s="14">
        <v>0</v>
      </c>
      <c r="DN13" s="44">
        <f t="shared" si="48"/>
        <v>6909462</v>
      </c>
      <c r="DO13" s="64"/>
      <c r="DP13" s="64"/>
      <c r="DQ13" s="64"/>
      <c r="DR13" s="64"/>
    </row>
    <row r="14" spans="1:122" s="13" customFormat="1" ht="46.15" customHeight="1">
      <c r="A14" s="37">
        <v>7</v>
      </c>
      <c r="B14" s="23" t="s">
        <v>160</v>
      </c>
      <c r="C14" s="23">
        <v>12</v>
      </c>
      <c r="D14" s="38" t="s">
        <v>110</v>
      </c>
      <c r="E14" s="24" t="s">
        <v>112</v>
      </c>
      <c r="F14" s="23" t="s">
        <v>141</v>
      </c>
      <c r="G14" s="23" t="s">
        <v>104</v>
      </c>
      <c r="H14" s="22">
        <v>34464</v>
      </c>
      <c r="I14" s="22">
        <v>44986</v>
      </c>
      <c r="J14" s="21">
        <f>+I14+5</f>
        <v>44991</v>
      </c>
      <c r="K14" s="20" t="s">
        <v>99</v>
      </c>
      <c r="L14" s="37">
        <f t="shared" si="0"/>
        <v>1</v>
      </c>
      <c r="M14" s="21"/>
      <c r="N14" s="21"/>
      <c r="O14" s="21"/>
      <c r="P14" s="21"/>
      <c r="Q14" s="21"/>
      <c r="R14" s="41">
        <v>26</v>
      </c>
      <c r="S14" s="25">
        <v>26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42">
        <f t="shared" si="1"/>
        <v>26</v>
      </c>
      <c r="AB14" s="25">
        <v>0</v>
      </c>
      <c r="AC14" s="25">
        <v>0</v>
      </c>
      <c r="AD14" s="25">
        <f t="shared" si="2"/>
        <v>26</v>
      </c>
      <c r="AE14" s="16">
        <v>4400000</v>
      </c>
      <c r="AF14" s="14">
        <f t="shared" si="3"/>
        <v>169230.76923076922</v>
      </c>
      <c r="AG14" s="14">
        <f t="shared" si="4"/>
        <v>21153.846153846152</v>
      </c>
      <c r="AH14" s="19">
        <f t="shared" si="5"/>
        <v>4400000</v>
      </c>
      <c r="AI14" s="14">
        <f t="shared" si="6"/>
        <v>35096.153846153844</v>
      </c>
      <c r="AJ14" s="14">
        <f t="shared" si="7"/>
        <v>6346.1538461538457</v>
      </c>
      <c r="AK14" s="19">
        <f t="shared" si="8"/>
        <v>0</v>
      </c>
      <c r="AL14" s="14">
        <f t="shared" si="9"/>
        <v>0</v>
      </c>
      <c r="AM14" s="14">
        <f t="shared" si="10"/>
        <v>1</v>
      </c>
      <c r="AN14" s="19">
        <f t="shared" si="11"/>
        <v>169230.76923076922</v>
      </c>
      <c r="AO14" s="14">
        <v>0</v>
      </c>
      <c r="AP14" s="14">
        <v>0</v>
      </c>
      <c r="AQ14" s="14">
        <v>0</v>
      </c>
      <c r="AR14" s="18">
        <f t="shared" si="12"/>
        <v>0</v>
      </c>
      <c r="AS14" s="16">
        <f t="shared" si="13"/>
        <v>4569230.769230769</v>
      </c>
      <c r="AT14" s="55">
        <v>0</v>
      </c>
      <c r="AU14" s="14">
        <f t="shared" si="14"/>
        <v>0</v>
      </c>
      <c r="AV14" s="55">
        <v>900000</v>
      </c>
      <c r="AW14" s="14">
        <f t="shared" si="15"/>
        <v>900000</v>
      </c>
      <c r="AX14" s="55">
        <v>0</v>
      </c>
      <c r="AY14" s="14">
        <f t="shared" si="16"/>
        <v>0</v>
      </c>
      <c r="AZ14" s="55">
        <v>2000000</v>
      </c>
      <c r="BA14" s="14">
        <f t="shared" si="17"/>
        <v>2000000</v>
      </c>
      <c r="BB14" s="65">
        <v>0</v>
      </c>
      <c r="BC14" s="14">
        <f t="shared" si="18"/>
        <v>0</v>
      </c>
      <c r="BD14" s="55">
        <v>0</v>
      </c>
      <c r="BE14" s="14">
        <f t="shared" si="19"/>
        <v>0</v>
      </c>
      <c r="BF14" s="55">
        <v>500000</v>
      </c>
      <c r="BG14" s="14">
        <f t="shared" si="20"/>
        <v>500000</v>
      </c>
      <c r="BH14" s="55">
        <v>150000</v>
      </c>
      <c r="BI14" s="14">
        <f t="shared" si="21"/>
        <v>150000</v>
      </c>
      <c r="BJ14" s="55">
        <v>150000</v>
      </c>
      <c r="BK14" s="14">
        <f t="shared" si="22"/>
        <v>150000</v>
      </c>
      <c r="BL14" s="55">
        <v>300000</v>
      </c>
      <c r="BM14" s="14">
        <f t="shared" si="23"/>
        <v>300000</v>
      </c>
      <c r="BN14" s="14"/>
      <c r="BO14" s="14">
        <f t="shared" si="24"/>
        <v>31730.769230769227</v>
      </c>
      <c r="BP14" s="16">
        <f t="shared" si="25"/>
        <v>4000000</v>
      </c>
      <c r="BQ14" s="16">
        <f t="shared" si="26"/>
        <v>4031730.769230769</v>
      </c>
      <c r="BR14" s="25"/>
      <c r="BS14" s="25"/>
      <c r="BT14" s="17">
        <f t="shared" si="27"/>
        <v>0</v>
      </c>
      <c r="BU14" s="14">
        <v>0</v>
      </c>
      <c r="BV14" s="14">
        <v>0</v>
      </c>
      <c r="BW14" s="17">
        <f t="shared" si="28"/>
        <v>0</v>
      </c>
      <c r="BX14" s="14">
        <v>0</v>
      </c>
      <c r="BY14" s="14">
        <v>0</v>
      </c>
      <c r="BZ14" s="17">
        <f t="shared" si="29"/>
        <v>0</v>
      </c>
      <c r="CA14" s="14">
        <v>0</v>
      </c>
      <c r="CB14" s="14">
        <v>0</v>
      </c>
      <c r="CC14" s="17">
        <f t="shared" si="30"/>
        <v>0</v>
      </c>
      <c r="CD14" s="14">
        <v>0</v>
      </c>
      <c r="CE14" s="14">
        <v>0</v>
      </c>
      <c r="CF14" s="17">
        <f t="shared" si="31"/>
        <v>0</v>
      </c>
      <c r="CG14" s="14">
        <v>0</v>
      </c>
      <c r="CH14" s="14">
        <v>0</v>
      </c>
      <c r="CI14" s="17">
        <f t="shared" si="32"/>
        <v>0</v>
      </c>
      <c r="CJ14" s="14">
        <v>0</v>
      </c>
      <c r="CK14" s="14">
        <v>0</v>
      </c>
      <c r="CL14" s="17">
        <f t="shared" si="33"/>
        <v>0</v>
      </c>
      <c r="CM14" s="56">
        <f t="shared" si="34"/>
        <v>0</v>
      </c>
      <c r="CN14" s="17">
        <f t="shared" si="35"/>
        <v>0</v>
      </c>
      <c r="CO14" s="14">
        <f t="shared" si="36"/>
        <v>0</v>
      </c>
      <c r="CP14" s="14">
        <f t="shared" si="37"/>
        <v>0</v>
      </c>
      <c r="CQ14" s="16">
        <f t="shared" si="38"/>
        <v>7300000</v>
      </c>
      <c r="CR14" s="14">
        <f t="shared" si="39"/>
        <v>584000</v>
      </c>
      <c r="CS14" s="14">
        <f t="shared" si="39"/>
        <v>109500</v>
      </c>
      <c r="CT14" s="14">
        <f t="shared" si="39"/>
        <v>73000</v>
      </c>
      <c r="CU14" s="14">
        <f t="shared" si="39"/>
        <v>1277500</v>
      </c>
      <c r="CV14" s="14">
        <f t="shared" si="39"/>
        <v>219000</v>
      </c>
      <c r="CW14" s="14">
        <f t="shared" si="39"/>
        <v>73000</v>
      </c>
      <c r="CX14" s="16">
        <f t="shared" si="40"/>
        <v>766500</v>
      </c>
      <c r="CY14" s="16">
        <f t="shared" si="41"/>
        <v>1569500</v>
      </c>
      <c r="CZ14" s="14">
        <v>30000</v>
      </c>
      <c r="DA14" s="16">
        <f t="shared" si="42"/>
        <v>146000</v>
      </c>
      <c r="DB14" s="43">
        <f t="shared" si="49"/>
        <v>8600961.538461538</v>
      </c>
      <c r="DC14" s="15">
        <f t="shared" si="43"/>
        <v>0</v>
      </c>
      <c r="DD14" s="15">
        <v>0</v>
      </c>
      <c r="DE14" s="14">
        <f t="shared" si="44"/>
        <v>0</v>
      </c>
      <c r="DF14" s="14">
        <f t="shared" si="45"/>
        <v>0</v>
      </c>
      <c r="DG14" s="43">
        <f t="shared" si="46"/>
        <v>7804461.538461538</v>
      </c>
      <c r="DH14" s="14">
        <v>0</v>
      </c>
      <c r="DI14" s="14">
        <v>0</v>
      </c>
      <c r="DJ14" s="14">
        <v>0</v>
      </c>
      <c r="DK14" s="14">
        <v>0</v>
      </c>
      <c r="DL14" s="14">
        <f t="shared" si="47"/>
        <v>0</v>
      </c>
      <c r="DM14" s="14">
        <v>0</v>
      </c>
      <c r="DN14" s="44">
        <f t="shared" si="48"/>
        <v>7804462</v>
      </c>
      <c r="DO14" s="64"/>
      <c r="DP14" s="64"/>
      <c r="DQ14" s="64"/>
      <c r="DR14" s="64"/>
    </row>
    <row r="15" spans="1:122" s="13" customFormat="1" ht="46.15" customHeight="1">
      <c r="A15" s="37">
        <v>8</v>
      </c>
      <c r="B15" s="23" t="s">
        <v>114</v>
      </c>
      <c r="C15" s="23">
        <v>30</v>
      </c>
      <c r="D15" s="38" t="s">
        <v>117</v>
      </c>
      <c r="E15" s="24" t="s">
        <v>120</v>
      </c>
      <c r="F15" s="23" t="s">
        <v>113</v>
      </c>
      <c r="G15" s="23" t="s">
        <v>104</v>
      </c>
      <c r="H15" s="22">
        <v>32522</v>
      </c>
      <c r="I15" s="22">
        <v>45040</v>
      </c>
      <c r="J15" s="21">
        <f>+I15+59</f>
        <v>45099</v>
      </c>
      <c r="K15" s="20" t="s">
        <v>99</v>
      </c>
      <c r="L15" s="37">
        <f t="shared" si="0"/>
        <v>1</v>
      </c>
      <c r="M15" s="21">
        <v>45039</v>
      </c>
      <c r="N15" s="21">
        <v>45323</v>
      </c>
      <c r="O15" s="21">
        <f>+N15+30*6</f>
        <v>45503</v>
      </c>
      <c r="P15" s="21"/>
      <c r="Q15" s="21"/>
      <c r="R15" s="41">
        <v>26</v>
      </c>
      <c r="S15" s="25">
        <v>26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42">
        <f t="shared" si="1"/>
        <v>26</v>
      </c>
      <c r="AB15" s="25">
        <v>0</v>
      </c>
      <c r="AC15" s="25">
        <v>0</v>
      </c>
      <c r="AD15" s="25">
        <f t="shared" si="2"/>
        <v>26</v>
      </c>
      <c r="AE15" s="16">
        <v>8700000</v>
      </c>
      <c r="AF15" s="14">
        <f t="shared" si="3"/>
        <v>334615.38461538462</v>
      </c>
      <c r="AG15" s="14">
        <f t="shared" si="4"/>
        <v>41826.923076923078</v>
      </c>
      <c r="AH15" s="19">
        <f t="shared" si="5"/>
        <v>8700000</v>
      </c>
      <c r="AI15" s="14">
        <f t="shared" si="6"/>
        <v>65865.38461538461</v>
      </c>
      <c r="AJ15" s="14">
        <f t="shared" si="7"/>
        <v>12548.076923076924</v>
      </c>
      <c r="AK15" s="19">
        <f t="shared" si="8"/>
        <v>0</v>
      </c>
      <c r="AL15" s="14">
        <f t="shared" si="9"/>
        <v>0</v>
      </c>
      <c r="AM15" s="14">
        <f t="shared" si="10"/>
        <v>1</v>
      </c>
      <c r="AN15" s="19">
        <f t="shared" si="11"/>
        <v>334615.38461538462</v>
      </c>
      <c r="AO15" s="14">
        <v>0</v>
      </c>
      <c r="AP15" s="14">
        <v>0</v>
      </c>
      <c r="AQ15" s="14">
        <v>0</v>
      </c>
      <c r="AR15" s="18">
        <f t="shared" si="12"/>
        <v>0</v>
      </c>
      <c r="AS15" s="16">
        <f t="shared" si="13"/>
        <v>9034615.384615384</v>
      </c>
      <c r="AT15" s="55">
        <v>0</v>
      </c>
      <c r="AU15" s="14">
        <f t="shared" si="14"/>
        <v>0</v>
      </c>
      <c r="AV15" s="55">
        <v>0</v>
      </c>
      <c r="AW15" s="14">
        <f t="shared" si="15"/>
        <v>0</v>
      </c>
      <c r="AX15" s="55">
        <v>4000000</v>
      </c>
      <c r="AY15" s="14">
        <f t="shared" si="16"/>
        <v>4000000</v>
      </c>
      <c r="AZ15" s="55">
        <v>0</v>
      </c>
      <c r="BA15" s="14">
        <f t="shared" si="17"/>
        <v>0</v>
      </c>
      <c r="BB15" s="65">
        <v>0</v>
      </c>
      <c r="BC15" s="14">
        <f t="shared" si="18"/>
        <v>0</v>
      </c>
      <c r="BD15" s="55">
        <v>1000000</v>
      </c>
      <c r="BE15" s="14">
        <f t="shared" si="19"/>
        <v>1000000</v>
      </c>
      <c r="BF15" s="55">
        <v>500000</v>
      </c>
      <c r="BG15" s="14">
        <f t="shared" si="20"/>
        <v>500000</v>
      </c>
      <c r="BH15" s="55">
        <v>150000</v>
      </c>
      <c r="BI15" s="14">
        <f t="shared" si="21"/>
        <v>150000</v>
      </c>
      <c r="BJ15" s="55">
        <v>200000</v>
      </c>
      <c r="BK15" s="14">
        <f t="shared" si="22"/>
        <v>200000</v>
      </c>
      <c r="BL15" s="55">
        <v>300000</v>
      </c>
      <c r="BM15" s="14">
        <f t="shared" si="23"/>
        <v>300000</v>
      </c>
      <c r="BN15" s="14"/>
      <c r="BO15" s="14">
        <f t="shared" si="24"/>
        <v>0</v>
      </c>
      <c r="BP15" s="16">
        <f t="shared" si="25"/>
        <v>6150000</v>
      </c>
      <c r="BQ15" s="16">
        <f t="shared" si="26"/>
        <v>6150000</v>
      </c>
      <c r="BR15" s="25"/>
      <c r="BS15" s="25"/>
      <c r="BT15" s="17">
        <f t="shared" si="27"/>
        <v>0</v>
      </c>
      <c r="BU15" s="14">
        <v>0</v>
      </c>
      <c r="BV15" s="14">
        <v>0</v>
      </c>
      <c r="BW15" s="17">
        <f t="shared" si="28"/>
        <v>0</v>
      </c>
      <c r="BX15" s="14">
        <v>0</v>
      </c>
      <c r="BY15" s="14">
        <v>0</v>
      </c>
      <c r="BZ15" s="17">
        <f t="shared" si="29"/>
        <v>0</v>
      </c>
      <c r="CA15" s="14">
        <v>0</v>
      </c>
      <c r="CB15" s="14">
        <v>0</v>
      </c>
      <c r="CC15" s="17">
        <f t="shared" si="30"/>
        <v>0</v>
      </c>
      <c r="CD15" s="14">
        <v>0</v>
      </c>
      <c r="CE15" s="14">
        <v>0</v>
      </c>
      <c r="CF15" s="17">
        <f t="shared" si="31"/>
        <v>0</v>
      </c>
      <c r="CG15" s="14">
        <v>0</v>
      </c>
      <c r="CH15" s="14">
        <v>0</v>
      </c>
      <c r="CI15" s="17">
        <f t="shared" si="32"/>
        <v>0</v>
      </c>
      <c r="CJ15" s="14">
        <v>0</v>
      </c>
      <c r="CK15" s="14">
        <v>0</v>
      </c>
      <c r="CL15" s="17">
        <f t="shared" si="33"/>
        <v>0</v>
      </c>
      <c r="CM15" s="56">
        <f t="shared" si="34"/>
        <v>0</v>
      </c>
      <c r="CN15" s="17">
        <f t="shared" si="35"/>
        <v>0</v>
      </c>
      <c r="CO15" s="14">
        <f t="shared" si="36"/>
        <v>0</v>
      </c>
      <c r="CP15" s="14">
        <f t="shared" si="37"/>
        <v>0</v>
      </c>
      <c r="CQ15" s="16">
        <f t="shared" si="38"/>
        <v>13700000</v>
      </c>
      <c r="CR15" s="14">
        <f t="shared" si="39"/>
        <v>1096000</v>
      </c>
      <c r="CS15" s="14">
        <f t="shared" si="39"/>
        <v>205500</v>
      </c>
      <c r="CT15" s="14">
        <f t="shared" si="39"/>
        <v>137000</v>
      </c>
      <c r="CU15" s="14">
        <f t="shared" si="39"/>
        <v>2397500</v>
      </c>
      <c r="CV15" s="14">
        <f t="shared" si="39"/>
        <v>411000</v>
      </c>
      <c r="CW15" s="14">
        <f t="shared" si="39"/>
        <v>137000</v>
      </c>
      <c r="CX15" s="16">
        <f t="shared" si="40"/>
        <v>1438500</v>
      </c>
      <c r="CY15" s="16">
        <f t="shared" si="41"/>
        <v>2945500</v>
      </c>
      <c r="CZ15" s="14">
        <v>30000</v>
      </c>
      <c r="DA15" s="16">
        <f t="shared" si="42"/>
        <v>274000</v>
      </c>
      <c r="DB15" s="43">
        <f t="shared" si="49"/>
        <v>15184615.384615384</v>
      </c>
      <c r="DC15" s="15">
        <f t="shared" si="43"/>
        <v>0</v>
      </c>
      <c r="DD15" s="15">
        <v>8800000</v>
      </c>
      <c r="DE15" s="14">
        <f t="shared" si="44"/>
        <v>0</v>
      </c>
      <c r="DF15" s="14">
        <f t="shared" si="45"/>
        <v>0</v>
      </c>
      <c r="DG15" s="43">
        <f t="shared" si="46"/>
        <v>13716115.384615384</v>
      </c>
      <c r="DH15" s="14">
        <v>0</v>
      </c>
      <c r="DI15" s="14">
        <v>0</v>
      </c>
      <c r="DJ15" s="14">
        <v>0</v>
      </c>
      <c r="DK15" s="14">
        <v>0</v>
      </c>
      <c r="DL15" s="14">
        <f t="shared" si="47"/>
        <v>0</v>
      </c>
      <c r="DM15" s="14">
        <v>0</v>
      </c>
      <c r="DN15" s="44">
        <f t="shared" si="48"/>
        <v>13716115</v>
      </c>
      <c r="DO15" s="64"/>
      <c r="DP15" s="64"/>
      <c r="DQ15" s="64"/>
      <c r="DR15" s="64"/>
    </row>
    <row r="16" spans="1:122" s="13" customFormat="1" ht="46.15" customHeight="1">
      <c r="A16" s="37">
        <v>9</v>
      </c>
      <c r="B16" s="23" t="s">
        <v>115</v>
      </c>
      <c r="C16" s="23">
        <v>31</v>
      </c>
      <c r="D16" s="38" t="s">
        <v>118</v>
      </c>
      <c r="E16" s="24" t="s">
        <v>121</v>
      </c>
      <c r="F16" s="23" t="s">
        <v>113</v>
      </c>
      <c r="G16" s="23" t="s">
        <v>3</v>
      </c>
      <c r="H16" s="22">
        <v>33110</v>
      </c>
      <c r="I16" s="22">
        <v>45040</v>
      </c>
      <c r="J16" s="21">
        <f>+I16+59</f>
        <v>45099</v>
      </c>
      <c r="K16" s="20" t="s">
        <v>99</v>
      </c>
      <c r="L16" s="37">
        <f t="shared" si="0"/>
        <v>1</v>
      </c>
      <c r="M16" s="21"/>
      <c r="N16" s="67"/>
      <c r="O16" s="67"/>
      <c r="P16" s="21"/>
      <c r="Q16" s="21"/>
      <c r="R16" s="41">
        <v>26</v>
      </c>
      <c r="S16" s="25">
        <v>26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42">
        <f t="shared" si="1"/>
        <v>26</v>
      </c>
      <c r="AB16" s="25">
        <v>0</v>
      </c>
      <c r="AC16" s="25">
        <v>0</v>
      </c>
      <c r="AD16" s="25">
        <f t="shared" si="2"/>
        <v>26</v>
      </c>
      <c r="AE16" s="16">
        <v>10450000</v>
      </c>
      <c r="AF16" s="14">
        <f t="shared" si="3"/>
        <v>401923.07692307694</v>
      </c>
      <c r="AG16" s="14">
        <f t="shared" si="4"/>
        <v>50240.384615384617</v>
      </c>
      <c r="AH16" s="19">
        <f t="shared" si="5"/>
        <v>10450000</v>
      </c>
      <c r="AI16" s="14">
        <f t="shared" si="6"/>
        <v>55048.076923076922</v>
      </c>
      <c r="AJ16" s="14">
        <f t="shared" si="7"/>
        <v>15072.115384615385</v>
      </c>
      <c r="AK16" s="19">
        <f t="shared" si="8"/>
        <v>0</v>
      </c>
      <c r="AL16" s="14">
        <f t="shared" si="9"/>
        <v>0</v>
      </c>
      <c r="AM16" s="14">
        <f t="shared" si="10"/>
        <v>1</v>
      </c>
      <c r="AN16" s="19">
        <f t="shared" si="11"/>
        <v>401923.07692307694</v>
      </c>
      <c r="AO16" s="14">
        <v>0</v>
      </c>
      <c r="AP16" s="14">
        <v>0</v>
      </c>
      <c r="AQ16" s="14">
        <v>0</v>
      </c>
      <c r="AR16" s="18">
        <f t="shared" si="12"/>
        <v>0</v>
      </c>
      <c r="AS16" s="16">
        <f t="shared" si="13"/>
        <v>10851923.076923076</v>
      </c>
      <c r="AT16" s="55">
        <v>0</v>
      </c>
      <c r="AU16" s="14">
        <f t="shared" si="14"/>
        <v>0</v>
      </c>
      <c r="AV16" s="55">
        <v>0</v>
      </c>
      <c r="AW16" s="14">
        <f t="shared" si="15"/>
        <v>0</v>
      </c>
      <c r="AX16" s="55">
        <v>0</v>
      </c>
      <c r="AY16" s="14">
        <f t="shared" si="16"/>
        <v>0</v>
      </c>
      <c r="AZ16" s="55">
        <v>0</v>
      </c>
      <c r="BA16" s="14">
        <f t="shared" si="17"/>
        <v>0</v>
      </c>
      <c r="BB16" s="65">
        <v>0</v>
      </c>
      <c r="BC16" s="14">
        <f t="shared" si="18"/>
        <v>0</v>
      </c>
      <c r="BD16" s="55">
        <v>1000000</v>
      </c>
      <c r="BE16" s="14">
        <f t="shared" si="19"/>
        <v>1000000</v>
      </c>
      <c r="BF16" s="55">
        <v>500000</v>
      </c>
      <c r="BG16" s="14">
        <f t="shared" si="20"/>
        <v>500000</v>
      </c>
      <c r="BH16" s="55">
        <v>150000</v>
      </c>
      <c r="BI16" s="14">
        <f t="shared" si="21"/>
        <v>150000</v>
      </c>
      <c r="BJ16" s="55">
        <v>200000</v>
      </c>
      <c r="BK16" s="14">
        <f t="shared" si="22"/>
        <v>200000</v>
      </c>
      <c r="BL16" s="55">
        <v>300000</v>
      </c>
      <c r="BM16" s="14">
        <f t="shared" si="23"/>
        <v>300000</v>
      </c>
      <c r="BN16" s="14"/>
      <c r="BO16" s="14">
        <f t="shared" si="24"/>
        <v>0</v>
      </c>
      <c r="BP16" s="16">
        <f t="shared" si="25"/>
        <v>2150000</v>
      </c>
      <c r="BQ16" s="16">
        <f t="shared" si="26"/>
        <v>2150000</v>
      </c>
      <c r="BR16" s="25"/>
      <c r="BS16" s="25"/>
      <c r="BT16" s="17">
        <f t="shared" si="27"/>
        <v>0</v>
      </c>
      <c r="BU16" s="14">
        <v>0</v>
      </c>
      <c r="BV16" s="14">
        <v>0</v>
      </c>
      <c r="BW16" s="17">
        <f t="shared" si="28"/>
        <v>0</v>
      </c>
      <c r="BX16" s="14">
        <v>0</v>
      </c>
      <c r="BY16" s="14">
        <v>0</v>
      </c>
      <c r="BZ16" s="17">
        <f t="shared" si="29"/>
        <v>0</v>
      </c>
      <c r="CA16" s="14">
        <v>0</v>
      </c>
      <c r="CB16" s="14">
        <v>0</v>
      </c>
      <c r="CC16" s="17">
        <f t="shared" si="30"/>
        <v>0</v>
      </c>
      <c r="CD16" s="14">
        <v>0</v>
      </c>
      <c r="CE16" s="14">
        <v>0</v>
      </c>
      <c r="CF16" s="17">
        <f t="shared" si="31"/>
        <v>0</v>
      </c>
      <c r="CG16" s="14">
        <v>0</v>
      </c>
      <c r="CH16" s="14">
        <v>0</v>
      </c>
      <c r="CI16" s="17">
        <f t="shared" si="32"/>
        <v>0</v>
      </c>
      <c r="CJ16" s="14">
        <v>0</v>
      </c>
      <c r="CK16" s="14">
        <v>0</v>
      </c>
      <c r="CL16" s="17">
        <f t="shared" si="33"/>
        <v>0</v>
      </c>
      <c r="CM16" s="56">
        <f t="shared" si="34"/>
        <v>0</v>
      </c>
      <c r="CN16" s="17">
        <f t="shared" si="35"/>
        <v>0</v>
      </c>
      <c r="CO16" s="14">
        <f t="shared" si="36"/>
        <v>0</v>
      </c>
      <c r="CP16" s="14">
        <f t="shared" si="37"/>
        <v>0</v>
      </c>
      <c r="CQ16" s="16">
        <f t="shared" si="38"/>
        <v>11450000</v>
      </c>
      <c r="CR16" s="14">
        <f t="shared" si="39"/>
        <v>916000</v>
      </c>
      <c r="CS16" s="14">
        <f t="shared" si="39"/>
        <v>171750</v>
      </c>
      <c r="CT16" s="14">
        <f t="shared" si="39"/>
        <v>114500</v>
      </c>
      <c r="CU16" s="14">
        <f t="shared" si="39"/>
        <v>2003749.9999999998</v>
      </c>
      <c r="CV16" s="14">
        <f t="shared" si="39"/>
        <v>343500</v>
      </c>
      <c r="CW16" s="14">
        <f t="shared" si="39"/>
        <v>114500</v>
      </c>
      <c r="CX16" s="16">
        <f t="shared" si="40"/>
        <v>1202250</v>
      </c>
      <c r="CY16" s="16">
        <f t="shared" si="41"/>
        <v>2461750</v>
      </c>
      <c r="CZ16" s="14">
        <v>30000</v>
      </c>
      <c r="DA16" s="16">
        <f t="shared" si="42"/>
        <v>229000</v>
      </c>
      <c r="DB16" s="43">
        <f t="shared" si="49"/>
        <v>13001923.076923076</v>
      </c>
      <c r="DC16" s="15">
        <f t="shared" si="43"/>
        <v>0</v>
      </c>
      <c r="DD16" s="15">
        <v>8800000</v>
      </c>
      <c r="DE16" s="14">
        <f t="shared" si="44"/>
        <v>0</v>
      </c>
      <c r="DF16" s="14">
        <f t="shared" si="45"/>
        <v>0</v>
      </c>
      <c r="DG16" s="43">
        <f t="shared" si="46"/>
        <v>11769673.076923076</v>
      </c>
      <c r="DH16" s="14">
        <v>0</v>
      </c>
      <c r="DI16" s="14">
        <v>0</v>
      </c>
      <c r="DJ16" s="14">
        <v>0</v>
      </c>
      <c r="DK16" s="14">
        <v>0</v>
      </c>
      <c r="DL16" s="14">
        <f t="shared" si="47"/>
        <v>0</v>
      </c>
      <c r="DM16" s="14">
        <v>0</v>
      </c>
      <c r="DN16" s="44">
        <f t="shared" si="48"/>
        <v>11769673</v>
      </c>
      <c r="DO16" s="64"/>
      <c r="DP16" s="64"/>
      <c r="DQ16" s="64"/>
      <c r="DR16" s="64"/>
    </row>
    <row r="17" spans="1:122" s="13" customFormat="1" ht="46.15" customHeight="1">
      <c r="A17" s="37">
        <v>10</v>
      </c>
      <c r="B17" s="23" t="s">
        <v>116</v>
      </c>
      <c r="C17" s="23">
        <v>32</v>
      </c>
      <c r="D17" s="38" t="s">
        <v>119</v>
      </c>
      <c r="E17" s="24" t="s">
        <v>122</v>
      </c>
      <c r="F17" s="23" t="s">
        <v>113</v>
      </c>
      <c r="G17" s="23" t="s">
        <v>3</v>
      </c>
      <c r="H17" s="22">
        <v>32933</v>
      </c>
      <c r="I17" s="22">
        <v>45040</v>
      </c>
      <c r="J17" s="21">
        <f>+I17+59</f>
        <v>45099</v>
      </c>
      <c r="K17" s="20" t="s">
        <v>99</v>
      </c>
      <c r="L17" s="37">
        <f t="shared" si="0"/>
        <v>1</v>
      </c>
      <c r="M17" s="21"/>
      <c r="N17" s="21"/>
      <c r="O17" s="21"/>
      <c r="P17" s="21"/>
      <c r="Q17" s="21"/>
      <c r="R17" s="41">
        <v>26</v>
      </c>
      <c r="S17" s="25">
        <v>26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42">
        <f t="shared" si="1"/>
        <v>26</v>
      </c>
      <c r="AB17" s="25">
        <v>0</v>
      </c>
      <c r="AC17" s="25">
        <v>0</v>
      </c>
      <c r="AD17" s="25">
        <f t="shared" si="2"/>
        <v>26</v>
      </c>
      <c r="AE17" s="16">
        <v>10450000</v>
      </c>
      <c r="AF17" s="14">
        <f t="shared" si="3"/>
        <v>401923.07692307694</v>
      </c>
      <c r="AG17" s="14">
        <f t="shared" si="4"/>
        <v>50240.384615384617</v>
      </c>
      <c r="AH17" s="19">
        <f t="shared" si="5"/>
        <v>10450000</v>
      </c>
      <c r="AI17" s="14">
        <f t="shared" si="6"/>
        <v>55048.076923076922</v>
      </c>
      <c r="AJ17" s="14">
        <f t="shared" si="7"/>
        <v>15072.115384615385</v>
      </c>
      <c r="AK17" s="19">
        <f t="shared" si="8"/>
        <v>0</v>
      </c>
      <c r="AL17" s="14">
        <f t="shared" si="9"/>
        <v>0</v>
      </c>
      <c r="AM17" s="14">
        <f t="shared" si="10"/>
        <v>1</v>
      </c>
      <c r="AN17" s="19">
        <f t="shared" si="11"/>
        <v>401923.07692307694</v>
      </c>
      <c r="AO17" s="14">
        <v>0</v>
      </c>
      <c r="AP17" s="14">
        <v>0</v>
      </c>
      <c r="AQ17" s="14">
        <v>0</v>
      </c>
      <c r="AR17" s="18">
        <f t="shared" si="12"/>
        <v>0</v>
      </c>
      <c r="AS17" s="16">
        <f t="shared" si="13"/>
        <v>10851923.076923076</v>
      </c>
      <c r="AT17" s="55">
        <v>0</v>
      </c>
      <c r="AU17" s="14">
        <f t="shared" si="14"/>
        <v>0</v>
      </c>
      <c r="AV17" s="55">
        <v>0</v>
      </c>
      <c r="AW17" s="14">
        <f t="shared" si="15"/>
        <v>0</v>
      </c>
      <c r="AX17" s="55">
        <v>0</v>
      </c>
      <c r="AY17" s="14">
        <f t="shared" si="16"/>
        <v>0</v>
      </c>
      <c r="AZ17" s="55">
        <v>0</v>
      </c>
      <c r="BA17" s="14">
        <f t="shared" si="17"/>
        <v>0</v>
      </c>
      <c r="BB17" s="65">
        <v>0</v>
      </c>
      <c r="BC17" s="14">
        <f t="shared" si="18"/>
        <v>0</v>
      </c>
      <c r="BD17" s="55">
        <v>1000000</v>
      </c>
      <c r="BE17" s="14">
        <f t="shared" si="19"/>
        <v>1000000</v>
      </c>
      <c r="BF17" s="55">
        <v>500000</v>
      </c>
      <c r="BG17" s="14">
        <f t="shared" si="20"/>
        <v>500000</v>
      </c>
      <c r="BH17" s="55">
        <v>150000</v>
      </c>
      <c r="BI17" s="14">
        <f t="shared" si="21"/>
        <v>150000</v>
      </c>
      <c r="BJ17" s="55">
        <v>200000</v>
      </c>
      <c r="BK17" s="14">
        <f t="shared" si="22"/>
        <v>200000</v>
      </c>
      <c r="BL17" s="55">
        <v>300000</v>
      </c>
      <c r="BM17" s="14">
        <f t="shared" si="23"/>
        <v>300000</v>
      </c>
      <c r="BN17" s="14"/>
      <c r="BO17" s="14">
        <f t="shared" si="24"/>
        <v>0</v>
      </c>
      <c r="BP17" s="16">
        <f t="shared" si="25"/>
        <v>2150000</v>
      </c>
      <c r="BQ17" s="16">
        <f t="shared" si="26"/>
        <v>2150000</v>
      </c>
      <c r="BR17" s="25"/>
      <c r="BS17" s="25"/>
      <c r="BT17" s="17">
        <f t="shared" si="27"/>
        <v>0</v>
      </c>
      <c r="BU17" s="14">
        <v>0</v>
      </c>
      <c r="BV17" s="14">
        <v>0</v>
      </c>
      <c r="BW17" s="17">
        <f t="shared" si="28"/>
        <v>0</v>
      </c>
      <c r="BX17" s="14">
        <v>0</v>
      </c>
      <c r="BY17" s="14">
        <v>0</v>
      </c>
      <c r="BZ17" s="17">
        <f t="shared" si="29"/>
        <v>0</v>
      </c>
      <c r="CA17" s="14">
        <v>0</v>
      </c>
      <c r="CB17" s="14">
        <v>0</v>
      </c>
      <c r="CC17" s="17">
        <f t="shared" si="30"/>
        <v>0</v>
      </c>
      <c r="CD17" s="14">
        <v>0</v>
      </c>
      <c r="CE17" s="14">
        <v>0</v>
      </c>
      <c r="CF17" s="17">
        <f t="shared" si="31"/>
        <v>0</v>
      </c>
      <c r="CG17" s="14">
        <v>0</v>
      </c>
      <c r="CH17" s="14">
        <v>0</v>
      </c>
      <c r="CI17" s="17">
        <f t="shared" si="32"/>
        <v>0</v>
      </c>
      <c r="CJ17" s="14">
        <v>0</v>
      </c>
      <c r="CK17" s="14">
        <v>0</v>
      </c>
      <c r="CL17" s="17">
        <f t="shared" si="33"/>
        <v>0</v>
      </c>
      <c r="CM17" s="56">
        <f t="shared" si="34"/>
        <v>0</v>
      </c>
      <c r="CN17" s="17">
        <f t="shared" si="35"/>
        <v>0</v>
      </c>
      <c r="CO17" s="14">
        <f t="shared" si="36"/>
        <v>0</v>
      </c>
      <c r="CP17" s="14">
        <f t="shared" si="37"/>
        <v>0</v>
      </c>
      <c r="CQ17" s="16">
        <f t="shared" si="38"/>
        <v>11450000</v>
      </c>
      <c r="CR17" s="14">
        <f t="shared" si="39"/>
        <v>916000</v>
      </c>
      <c r="CS17" s="14">
        <f t="shared" si="39"/>
        <v>171750</v>
      </c>
      <c r="CT17" s="14">
        <f t="shared" si="39"/>
        <v>114500</v>
      </c>
      <c r="CU17" s="14">
        <f t="shared" si="39"/>
        <v>2003749.9999999998</v>
      </c>
      <c r="CV17" s="14">
        <f t="shared" si="39"/>
        <v>343500</v>
      </c>
      <c r="CW17" s="14">
        <f t="shared" si="39"/>
        <v>114500</v>
      </c>
      <c r="CX17" s="16">
        <f t="shared" si="40"/>
        <v>1202250</v>
      </c>
      <c r="CY17" s="16">
        <f t="shared" si="41"/>
        <v>2461750</v>
      </c>
      <c r="CZ17" s="14">
        <v>30000</v>
      </c>
      <c r="DA17" s="16">
        <f t="shared" si="42"/>
        <v>229000</v>
      </c>
      <c r="DB17" s="43">
        <f t="shared" si="49"/>
        <v>13001923.076923076</v>
      </c>
      <c r="DC17" s="15">
        <f t="shared" si="43"/>
        <v>0</v>
      </c>
      <c r="DD17" s="15">
        <v>0</v>
      </c>
      <c r="DE17" s="14">
        <f t="shared" si="44"/>
        <v>769673.07692307606</v>
      </c>
      <c r="DF17" s="14">
        <f t="shared" si="45"/>
        <v>38483.653846153808</v>
      </c>
      <c r="DG17" s="43">
        <f t="shared" si="46"/>
        <v>11731189.423076922</v>
      </c>
      <c r="DH17" s="14">
        <v>0</v>
      </c>
      <c r="DI17" s="14">
        <v>0</v>
      </c>
      <c r="DJ17" s="14">
        <v>0</v>
      </c>
      <c r="DK17" s="14">
        <v>0</v>
      </c>
      <c r="DL17" s="14">
        <f t="shared" si="47"/>
        <v>0</v>
      </c>
      <c r="DM17" s="14">
        <v>0</v>
      </c>
      <c r="DN17" s="44">
        <f t="shared" si="48"/>
        <v>11731189</v>
      </c>
      <c r="DO17" s="64"/>
      <c r="DP17" s="64"/>
      <c r="DQ17" s="64"/>
      <c r="DR17" s="64"/>
    </row>
    <row r="18" spans="1:122" s="13" customFormat="1" ht="46.15" customHeight="1">
      <c r="A18" s="37">
        <v>11</v>
      </c>
      <c r="B18" s="23" t="s">
        <v>132</v>
      </c>
      <c r="C18" s="23">
        <v>37</v>
      </c>
      <c r="D18" s="38" t="s">
        <v>135</v>
      </c>
      <c r="E18" s="24" t="s">
        <v>138</v>
      </c>
      <c r="F18" s="23" t="s">
        <v>141</v>
      </c>
      <c r="G18" s="23" t="s">
        <v>104</v>
      </c>
      <c r="H18" s="22">
        <v>35335</v>
      </c>
      <c r="I18" s="22">
        <v>45064</v>
      </c>
      <c r="J18" s="22">
        <v>45069</v>
      </c>
      <c r="K18" s="20" t="s">
        <v>99</v>
      </c>
      <c r="L18" s="37">
        <f t="shared" si="0"/>
        <v>1</v>
      </c>
      <c r="M18" s="21"/>
      <c r="N18" s="21"/>
      <c r="O18" s="21"/>
      <c r="P18" s="21"/>
      <c r="Q18" s="21"/>
      <c r="R18" s="41">
        <v>26</v>
      </c>
      <c r="S18" s="25">
        <v>26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42">
        <f t="shared" si="1"/>
        <v>26</v>
      </c>
      <c r="AB18" s="25">
        <v>0</v>
      </c>
      <c r="AC18" s="25">
        <v>0</v>
      </c>
      <c r="AD18" s="25">
        <f t="shared" si="2"/>
        <v>26</v>
      </c>
      <c r="AE18" s="16">
        <v>4400000</v>
      </c>
      <c r="AF18" s="14">
        <f t="shared" si="3"/>
        <v>169230.76923076922</v>
      </c>
      <c r="AG18" s="14">
        <f t="shared" si="4"/>
        <v>21153.846153846152</v>
      </c>
      <c r="AH18" s="19">
        <f t="shared" si="5"/>
        <v>4400000</v>
      </c>
      <c r="AI18" s="14">
        <f t="shared" si="6"/>
        <v>31730.76923076923</v>
      </c>
      <c r="AJ18" s="14">
        <f t="shared" si="7"/>
        <v>6346.1538461538457</v>
      </c>
      <c r="AK18" s="19">
        <f t="shared" si="8"/>
        <v>0</v>
      </c>
      <c r="AL18" s="14">
        <f t="shared" si="9"/>
        <v>0</v>
      </c>
      <c r="AM18" s="14">
        <f t="shared" si="10"/>
        <v>1</v>
      </c>
      <c r="AN18" s="19">
        <f t="shared" si="11"/>
        <v>169230.76923076922</v>
      </c>
      <c r="AO18" s="14">
        <v>0</v>
      </c>
      <c r="AP18" s="14">
        <v>0</v>
      </c>
      <c r="AQ18" s="14">
        <v>0</v>
      </c>
      <c r="AR18" s="18">
        <f t="shared" si="12"/>
        <v>0</v>
      </c>
      <c r="AS18" s="16">
        <f t="shared" si="13"/>
        <v>4569230.769230769</v>
      </c>
      <c r="AT18" s="55">
        <v>0</v>
      </c>
      <c r="AU18" s="14">
        <f t="shared" si="14"/>
        <v>0</v>
      </c>
      <c r="AV18" s="55">
        <v>900000</v>
      </c>
      <c r="AW18" s="14">
        <f t="shared" si="15"/>
        <v>900000</v>
      </c>
      <c r="AX18" s="55">
        <v>0</v>
      </c>
      <c r="AY18" s="14">
        <f t="shared" si="16"/>
        <v>0</v>
      </c>
      <c r="AZ18" s="55">
        <v>1000000</v>
      </c>
      <c r="BA18" s="14">
        <f t="shared" si="17"/>
        <v>1000000</v>
      </c>
      <c r="BB18" s="65">
        <v>300000</v>
      </c>
      <c r="BC18" s="14">
        <f t="shared" si="18"/>
        <v>300000</v>
      </c>
      <c r="BD18" s="55">
        <v>0</v>
      </c>
      <c r="BE18" s="14">
        <f t="shared" si="19"/>
        <v>0</v>
      </c>
      <c r="BF18" s="55">
        <v>500000</v>
      </c>
      <c r="BG18" s="14">
        <f t="shared" si="20"/>
        <v>500000</v>
      </c>
      <c r="BH18" s="55">
        <v>150000</v>
      </c>
      <c r="BI18" s="14">
        <f t="shared" si="21"/>
        <v>150000</v>
      </c>
      <c r="BJ18" s="55">
        <v>150000</v>
      </c>
      <c r="BK18" s="14">
        <f t="shared" si="22"/>
        <v>150000</v>
      </c>
      <c r="BL18" s="55">
        <v>300000</v>
      </c>
      <c r="BM18" s="14">
        <f t="shared" si="23"/>
        <v>300000</v>
      </c>
      <c r="BN18" s="14"/>
      <c r="BO18" s="14">
        <f t="shared" si="24"/>
        <v>31730.769230769227</v>
      </c>
      <c r="BP18" s="16">
        <f t="shared" si="25"/>
        <v>3300000</v>
      </c>
      <c r="BQ18" s="16">
        <f t="shared" si="26"/>
        <v>3331730.769230769</v>
      </c>
      <c r="BR18" s="25"/>
      <c r="BS18" s="25"/>
      <c r="BT18" s="17">
        <f t="shared" si="27"/>
        <v>0</v>
      </c>
      <c r="BU18" s="14">
        <v>0</v>
      </c>
      <c r="BV18" s="14">
        <v>0</v>
      </c>
      <c r="BW18" s="17">
        <f t="shared" si="28"/>
        <v>0</v>
      </c>
      <c r="BX18" s="14">
        <v>0</v>
      </c>
      <c r="BY18" s="14">
        <v>0</v>
      </c>
      <c r="BZ18" s="17">
        <f t="shared" si="29"/>
        <v>0</v>
      </c>
      <c r="CA18" s="14">
        <v>0</v>
      </c>
      <c r="CB18" s="14">
        <v>0</v>
      </c>
      <c r="CC18" s="17">
        <f t="shared" si="30"/>
        <v>0</v>
      </c>
      <c r="CD18" s="14">
        <v>0</v>
      </c>
      <c r="CE18" s="14">
        <v>0</v>
      </c>
      <c r="CF18" s="17">
        <f t="shared" si="31"/>
        <v>0</v>
      </c>
      <c r="CG18" s="14">
        <v>0</v>
      </c>
      <c r="CH18" s="14">
        <v>0</v>
      </c>
      <c r="CI18" s="17">
        <f t="shared" si="32"/>
        <v>0</v>
      </c>
      <c r="CJ18" s="14">
        <v>0</v>
      </c>
      <c r="CK18" s="14">
        <v>0</v>
      </c>
      <c r="CL18" s="17">
        <f t="shared" si="33"/>
        <v>0</v>
      </c>
      <c r="CM18" s="56">
        <f t="shared" si="34"/>
        <v>0</v>
      </c>
      <c r="CN18" s="17">
        <f t="shared" si="35"/>
        <v>0</v>
      </c>
      <c r="CO18" s="14">
        <f t="shared" si="36"/>
        <v>0</v>
      </c>
      <c r="CP18" s="14">
        <f t="shared" si="37"/>
        <v>0</v>
      </c>
      <c r="CQ18" s="16">
        <f t="shared" si="38"/>
        <v>6600000</v>
      </c>
      <c r="CR18" s="14">
        <f t="shared" ref="CR18:CW23" si="50">+$CQ18*CR$4</f>
        <v>528000</v>
      </c>
      <c r="CS18" s="14">
        <f t="shared" si="50"/>
        <v>99000</v>
      </c>
      <c r="CT18" s="14">
        <f t="shared" si="50"/>
        <v>66000</v>
      </c>
      <c r="CU18" s="14">
        <f t="shared" si="50"/>
        <v>1155000</v>
      </c>
      <c r="CV18" s="14">
        <f t="shared" si="50"/>
        <v>198000</v>
      </c>
      <c r="CW18" s="14">
        <f t="shared" si="50"/>
        <v>66000</v>
      </c>
      <c r="CX18" s="16">
        <f t="shared" si="40"/>
        <v>693000</v>
      </c>
      <c r="CY18" s="16">
        <f t="shared" si="41"/>
        <v>1419000</v>
      </c>
      <c r="CZ18" s="14">
        <v>30000</v>
      </c>
      <c r="DA18" s="16">
        <f t="shared" si="42"/>
        <v>132000</v>
      </c>
      <c r="DB18" s="43">
        <f t="shared" si="49"/>
        <v>7900961.538461538</v>
      </c>
      <c r="DC18" s="15">
        <f t="shared" si="43"/>
        <v>0</v>
      </c>
      <c r="DD18" s="15">
        <v>0</v>
      </c>
      <c r="DE18" s="14">
        <f t="shared" si="44"/>
        <v>0</v>
      </c>
      <c r="DF18" s="14">
        <f t="shared" si="45"/>
        <v>0</v>
      </c>
      <c r="DG18" s="43">
        <f t="shared" si="46"/>
        <v>7177961.538461538</v>
      </c>
      <c r="DH18" s="14">
        <v>0</v>
      </c>
      <c r="DI18" s="14">
        <v>0</v>
      </c>
      <c r="DJ18" s="14">
        <v>0</v>
      </c>
      <c r="DK18" s="14">
        <v>0</v>
      </c>
      <c r="DL18" s="14">
        <f t="shared" si="47"/>
        <v>0</v>
      </c>
      <c r="DM18" s="14">
        <v>0</v>
      </c>
      <c r="DN18" s="44">
        <f t="shared" si="48"/>
        <v>7177962</v>
      </c>
      <c r="DO18" s="64"/>
      <c r="DP18" s="64"/>
      <c r="DQ18" s="64"/>
      <c r="DR18" s="64"/>
    </row>
    <row r="19" spans="1:122" s="13" customFormat="1" ht="46.15" customHeight="1">
      <c r="A19" s="37">
        <v>12</v>
      </c>
      <c r="B19" s="23" t="s">
        <v>133</v>
      </c>
      <c r="C19" s="23">
        <v>40</v>
      </c>
      <c r="D19" s="38" t="s">
        <v>136</v>
      </c>
      <c r="E19" s="24" t="s">
        <v>139</v>
      </c>
      <c r="F19" s="23" t="s">
        <v>113</v>
      </c>
      <c r="G19" s="23" t="s">
        <v>104</v>
      </c>
      <c r="H19" s="22">
        <v>33489</v>
      </c>
      <c r="I19" s="22">
        <v>45068</v>
      </c>
      <c r="J19" s="22">
        <v>45127</v>
      </c>
      <c r="K19" s="20" t="s">
        <v>99</v>
      </c>
      <c r="L19" s="37">
        <f t="shared" si="0"/>
        <v>1</v>
      </c>
      <c r="M19" s="21"/>
      <c r="N19" s="21"/>
      <c r="O19" s="21"/>
      <c r="P19" s="21"/>
      <c r="Q19" s="21"/>
      <c r="R19" s="41">
        <v>26</v>
      </c>
      <c r="S19" s="25">
        <v>26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42">
        <f t="shared" si="1"/>
        <v>26</v>
      </c>
      <c r="AB19" s="25">
        <v>0</v>
      </c>
      <c r="AC19" s="25">
        <v>0</v>
      </c>
      <c r="AD19" s="25">
        <f t="shared" si="2"/>
        <v>26</v>
      </c>
      <c r="AE19" s="16">
        <v>8080000</v>
      </c>
      <c r="AF19" s="14">
        <f t="shared" si="3"/>
        <v>310769.23076923075</v>
      </c>
      <c r="AG19" s="14">
        <f t="shared" si="4"/>
        <v>38846.153846153844</v>
      </c>
      <c r="AH19" s="19">
        <f t="shared" si="5"/>
        <v>8080000</v>
      </c>
      <c r="AI19" s="14">
        <f t="shared" si="6"/>
        <v>42692.307692307695</v>
      </c>
      <c r="AJ19" s="14">
        <f t="shared" si="7"/>
        <v>11653.846153846152</v>
      </c>
      <c r="AK19" s="19">
        <f t="shared" si="8"/>
        <v>0</v>
      </c>
      <c r="AL19" s="14">
        <f t="shared" si="9"/>
        <v>0</v>
      </c>
      <c r="AM19" s="14">
        <f t="shared" si="10"/>
        <v>1</v>
      </c>
      <c r="AN19" s="19">
        <f t="shared" si="11"/>
        <v>310769.23076923075</v>
      </c>
      <c r="AO19" s="14">
        <v>0</v>
      </c>
      <c r="AP19" s="14">
        <v>0</v>
      </c>
      <c r="AQ19" s="14">
        <v>0</v>
      </c>
      <c r="AR19" s="18">
        <f t="shared" si="12"/>
        <v>0</v>
      </c>
      <c r="AS19" s="16">
        <f t="shared" si="13"/>
        <v>8390769.2307692301</v>
      </c>
      <c r="AT19" s="55">
        <v>0</v>
      </c>
      <c r="AU19" s="14">
        <f t="shared" si="14"/>
        <v>0</v>
      </c>
      <c r="AV19" s="55">
        <v>0</v>
      </c>
      <c r="AW19" s="14">
        <f t="shared" si="15"/>
        <v>0</v>
      </c>
      <c r="AX19" s="55">
        <v>0</v>
      </c>
      <c r="AY19" s="14">
        <f t="shared" si="16"/>
        <v>0</v>
      </c>
      <c r="AZ19" s="55">
        <v>0</v>
      </c>
      <c r="BA19" s="14">
        <f t="shared" si="17"/>
        <v>0</v>
      </c>
      <c r="BB19" s="65">
        <v>0</v>
      </c>
      <c r="BC19" s="14">
        <f t="shared" si="18"/>
        <v>0</v>
      </c>
      <c r="BD19" s="55">
        <v>800000</v>
      </c>
      <c r="BE19" s="14">
        <f t="shared" si="19"/>
        <v>800000</v>
      </c>
      <c r="BF19" s="55">
        <v>500000</v>
      </c>
      <c r="BG19" s="14">
        <f t="shared" si="20"/>
        <v>500000</v>
      </c>
      <c r="BH19" s="55">
        <v>150000</v>
      </c>
      <c r="BI19" s="14">
        <f t="shared" si="21"/>
        <v>150000</v>
      </c>
      <c r="BJ19" s="55">
        <v>200000</v>
      </c>
      <c r="BK19" s="14">
        <f t="shared" si="22"/>
        <v>200000</v>
      </c>
      <c r="BL19" s="55">
        <v>300000</v>
      </c>
      <c r="BM19" s="14">
        <f t="shared" si="23"/>
        <v>300000</v>
      </c>
      <c r="BN19" s="14"/>
      <c r="BO19" s="14">
        <f t="shared" si="24"/>
        <v>58269.230769230766</v>
      </c>
      <c r="BP19" s="16">
        <f t="shared" si="25"/>
        <v>1950000</v>
      </c>
      <c r="BQ19" s="16">
        <f t="shared" si="26"/>
        <v>2008269.2307692308</v>
      </c>
      <c r="BR19" s="25"/>
      <c r="BS19" s="25"/>
      <c r="BT19" s="17">
        <f t="shared" si="27"/>
        <v>0</v>
      </c>
      <c r="BU19" s="14">
        <v>0</v>
      </c>
      <c r="BV19" s="14">
        <v>0</v>
      </c>
      <c r="BW19" s="17">
        <f t="shared" si="28"/>
        <v>0</v>
      </c>
      <c r="BX19" s="14">
        <v>0</v>
      </c>
      <c r="BY19" s="14">
        <v>0</v>
      </c>
      <c r="BZ19" s="17">
        <f t="shared" si="29"/>
        <v>0</v>
      </c>
      <c r="CA19" s="14">
        <v>0</v>
      </c>
      <c r="CB19" s="14">
        <v>0</v>
      </c>
      <c r="CC19" s="17">
        <f t="shared" si="30"/>
        <v>0</v>
      </c>
      <c r="CD19" s="14">
        <v>0</v>
      </c>
      <c r="CE19" s="14">
        <v>0</v>
      </c>
      <c r="CF19" s="17">
        <f t="shared" si="31"/>
        <v>0</v>
      </c>
      <c r="CG19" s="14">
        <v>0</v>
      </c>
      <c r="CH19" s="14">
        <v>0</v>
      </c>
      <c r="CI19" s="17">
        <f t="shared" si="32"/>
        <v>0</v>
      </c>
      <c r="CJ19" s="14">
        <v>0</v>
      </c>
      <c r="CK19" s="14">
        <v>0</v>
      </c>
      <c r="CL19" s="17">
        <f t="shared" si="33"/>
        <v>0</v>
      </c>
      <c r="CM19" s="56">
        <f t="shared" si="34"/>
        <v>0</v>
      </c>
      <c r="CN19" s="17">
        <f t="shared" si="35"/>
        <v>0</v>
      </c>
      <c r="CO19" s="14">
        <f t="shared" si="36"/>
        <v>0</v>
      </c>
      <c r="CP19" s="14">
        <f t="shared" si="37"/>
        <v>0</v>
      </c>
      <c r="CQ19" s="16">
        <f t="shared" si="38"/>
        <v>8880000</v>
      </c>
      <c r="CR19" s="14">
        <f t="shared" si="50"/>
        <v>710400</v>
      </c>
      <c r="CS19" s="14">
        <f t="shared" si="50"/>
        <v>133200</v>
      </c>
      <c r="CT19" s="14">
        <f t="shared" si="50"/>
        <v>88800</v>
      </c>
      <c r="CU19" s="14">
        <f t="shared" si="50"/>
        <v>1554000</v>
      </c>
      <c r="CV19" s="14">
        <f t="shared" si="50"/>
        <v>266400</v>
      </c>
      <c r="CW19" s="14">
        <f t="shared" si="50"/>
        <v>88800</v>
      </c>
      <c r="CX19" s="16">
        <f t="shared" si="40"/>
        <v>932400</v>
      </c>
      <c r="CY19" s="16">
        <f t="shared" si="41"/>
        <v>1909200</v>
      </c>
      <c r="CZ19" s="14">
        <v>30000</v>
      </c>
      <c r="DA19" s="16">
        <f t="shared" si="42"/>
        <v>177600</v>
      </c>
      <c r="DB19" s="43">
        <f t="shared" si="49"/>
        <v>10399038.46153846</v>
      </c>
      <c r="DC19" s="15">
        <f t="shared" si="43"/>
        <v>0</v>
      </c>
      <c r="DD19" s="15">
        <v>4400000</v>
      </c>
      <c r="DE19" s="14">
        <f t="shared" si="44"/>
        <v>0</v>
      </c>
      <c r="DF19" s="14">
        <f t="shared" si="45"/>
        <v>0</v>
      </c>
      <c r="DG19" s="43">
        <f t="shared" si="46"/>
        <v>9436638.4615384601</v>
      </c>
      <c r="DH19" s="14">
        <v>0</v>
      </c>
      <c r="DI19" s="14">
        <v>0</v>
      </c>
      <c r="DJ19" s="14">
        <v>0</v>
      </c>
      <c r="DK19" s="14">
        <v>0</v>
      </c>
      <c r="DL19" s="14">
        <f t="shared" si="47"/>
        <v>0</v>
      </c>
      <c r="DM19" s="14">
        <v>0</v>
      </c>
      <c r="DN19" s="44">
        <f t="shared" si="48"/>
        <v>9436638</v>
      </c>
      <c r="DO19" s="64"/>
      <c r="DP19" s="64"/>
      <c r="DQ19" s="64"/>
      <c r="DR19" s="64"/>
    </row>
    <row r="20" spans="1:122" s="13" customFormat="1" ht="46.15" customHeight="1">
      <c r="A20" s="37">
        <v>13</v>
      </c>
      <c r="B20" s="23" t="s">
        <v>134</v>
      </c>
      <c r="C20" s="23">
        <v>41</v>
      </c>
      <c r="D20" s="38" t="s">
        <v>137</v>
      </c>
      <c r="E20" s="24" t="s">
        <v>140</v>
      </c>
      <c r="F20" s="23" t="s">
        <v>113</v>
      </c>
      <c r="G20" s="23" t="s">
        <v>3</v>
      </c>
      <c r="H20" s="22">
        <v>36620</v>
      </c>
      <c r="I20" s="22">
        <v>45068</v>
      </c>
      <c r="J20" s="22">
        <v>45127</v>
      </c>
      <c r="K20" s="20" t="s">
        <v>99</v>
      </c>
      <c r="L20" s="37">
        <f t="shared" si="0"/>
        <v>1</v>
      </c>
      <c r="M20" s="21"/>
      <c r="N20" s="21"/>
      <c r="O20" s="21"/>
      <c r="P20" s="21"/>
      <c r="Q20" s="21"/>
      <c r="R20" s="41">
        <v>26</v>
      </c>
      <c r="S20" s="25">
        <v>26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42">
        <f t="shared" si="1"/>
        <v>26</v>
      </c>
      <c r="AB20" s="25">
        <v>0</v>
      </c>
      <c r="AC20" s="25">
        <v>0</v>
      </c>
      <c r="AD20" s="25">
        <f t="shared" si="2"/>
        <v>26</v>
      </c>
      <c r="AE20" s="16">
        <v>7900000</v>
      </c>
      <c r="AF20" s="14">
        <f t="shared" si="3"/>
        <v>303846.15384615387</v>
      </c>
      <c r="AG20" s="14">
        <f t="shared" si="4"/>
        <v>37980.769230769234</v>
      </c>
      <c r="AH20" s="19">
        <f t="shared" si="5"/>
        <v>7900000.0000000009</v>
      </c>
      <c r="AI20" s="14">
        <f t="shared" si="6"/>
        <v>41826.923076923078</v>
      </c>
      <c r="AJ20" s="14">
        <f t="shared" si="7"/>
        <v>11394.23076923077</v>
      </c>
      <c r="AK20" s="19">
        <f t="shared" si="8"/>
        <v>0</v>
      </c>
      <c r="AL20" s="14">
        <f t="shared" si="9"/>
        <v>0</v>
      </c>
      <c r="AM20" s="14">
        <f t="shared" si="10"/>
        <v>1</v>
      </c>
      <c r="AN20" s="19">
        <f t="shared" si="11"/>
        <v>303846.15384615387</v>
      </c>
      <c r="AO20" s="14">
        <v>0</v>
      </c>
      <c r="AP20" s="14">
        <v>0</v>
      </c>
      <c r="AQ20" s="14">
        <v>0</v>
      </c>
      <c r="AR20" s="18">
        <f t="shared" si="12"/>
        <v>0</v>
      </c>
      <c r="AS20" s="16">
        <f t="shared" si="13"/>
        <v>8203846.1538461549</v>
      </c>
      <c r="AT20" s="55">
        <v>0</v>
      </c>
      <c r="AU20" s="14">
        <f t="shared" si="14"/>
        <v>0</v>
      </c>
      <c r="AV20" s="55">
        <v>0</v>
      </c>
      <c r="AW20" s="14">
        <f t="shared" si="15"/>
        <v>0</v>
      </c>
      <c r="AX20" s="55">
        <v>0</v>
      </c>
      <c r="AY20" s="14">
        <f t="shared" si="16"/>
        <v>0</v>
      </c>
      <c r="AZ20" s="55">
        <v>0</v>
      </c>
      <c r="BA20" s="14">
        <f t="shared" si="17"/>
        <v>0</v>
      </c>
      <c r="BB20" s="65">
        <v>0</v>
      </c>
      <c r="BC20" s="14">
        <f t="shared" si="18"/>
        <v>0</v>
      </c>
      <c r="BD20" s="55">
        <v>800000</v>
      </c>
      <c r="BE20" s="14">
        <f t="shared" si="19"/>
        <v>800000</v>
      </c>
      <c r="BF20" s="55">
        <v>500000</v>
      </c>
      <c r="BG20" s="14">
        <f t="shared" si="20"/>
        <v>500000</v>
      </c>
      <c r="BH20" s="55">
        <v>150000</v>
      </c>
      <c r="BI20" s="14">
        <f t="shared" si="21"/>
        <v>150000</v>
      </c>
      <c r="BJ20" s="55">
        <v>200000</v>
      </c>
      <c r="BK20" s="14">
        <f t="shared" si="22"/>
        <v>200000</v>
      </c>
      <c r="BL20" s="55">
        <v>300000</v>
      </c>
      <c r="BM20" s="14">
        <f t="shared" si="23"/>
        <v>300000</v>
      </c>
      <c r="BN20" s="14"/>
      <c r="BO20" s="14">
        <f t="shared" si="24"/>
        <v>0</v>
      </c>
      <c r="BP20" s="16">
        <f t="shared" si="25"/>
        <v>1950000</v>
      </c>
      <c r="BQ20" s="16">
        <f t="shared" si="26"/>
        <v>1950000</v>
      </c>
      <c r="BR20" s="25"/>
      <c r="BS20" s="25"/>
      <c r="BT20" s="17">
        <f t="shared" si="27"/>
        <v>0</v>
      </c>
      <c r="BU20" s="14">
        <v>0</v>
      </c>
      <c r="BV20" s="14">
        <v>0</v>
      </c>
      <c r="BW20" s="17">
        <f t="shared" si="28"/>
        <v>0</v>
      </c>
      <c r="BX20" s="14">
        <v>0</v>
      </c>
      <c r="BY20" s="14">
        <v>0</v>
      </c>
      <c r="BZ20" s="17">
        <f t="shared" si="29"/>
        <v>0</v>
      </c>
      <c r="CA20" s="14">
        <v>0</v>
      </c>
      <c r="CB20" s="14">
        <v>0</v>
      </c>
      <c r="CC20" s="17">
        <f t="shared" si="30"/>
        <v>0</v>
      </c>
      <c r="CD20" s="14">
        <v>0</v>
      </c>
      <c r="CE20" s="14">
        <v>0</v>
      </c>
      <c r="CF20" s="17">
        <f t="shared" si="31"/>
        <v>0</v>
      </c>
      <c r="CG20" s="14">
        <v>0</v>
      </c>
      <c r="CH20" s="14">
        <v>0</v>
      </c>
      <c r="CI20" s="17">
        <f t="shared" si="32"/>
        <v>0</v>
      </c>
      <c r="CJ20" s="14">
        <v>0</v>
      </c>
      <c r="CK20" s="14">
        <v>0</v>
      </c>
      <c r="CL20" s="17">
        <f t="shared" si="33"/>
        <v>0</v>
      </c>
      <c r="CM20" s="56">
        <f t="shared" si="34"/>
        <v>0</v>
      </c>
      <c r="CN20" s="17">
        <f t="shared" si="35"/>
        <v>0</v>
      </c>
      <c r="CO20" s="14">
        <f t="shared" si="36"/>
        <v>0</v>
      </c>
      <c r="CP20" s="14">
        <f t="shared" si="37"/>
        <v>0</v>
      </c>
      <c r="CQ20" s="16">
        <f t="shared" si="38"/>
        <v>8700000</v>
      </c>
      <c r="CR20" s="14">
        <f t="shared" si="50"/>
        <v>696000</v>
      </c>
      <c r="CS20" s="14">
        <f t="shared" si="50"/>
        <v>130500</v>
      </c>
      <c r="CT20" s="14">
        <f t="shared" si="50"/>
        <v>87000</v>
      </c>
      <c r="CU20" s="14">
        <f t="shared" si="50"/>
        <v>1522500</v>
      </c>
      <c r="CV20" s="14">
        <f t="shared" si="50"/>
        <v>261000</v>
      </c>
      <c r="CW20" s="14">
        <f t="shared" si="50"/>
        <v>87000</v>
      </c>
      <c r="CX20" s="16">
        <f t="shared" si="40"/>
        <v>913500</v>
      </c>
      <c r="CY20" s="16">
        <f t="shared" si="41"/>
        <v>1870500</v>
      </c>
      <c r="CZ20" s="14">
        <v>30000</v>
      </c>
      <c r="DA20" s="16">
        <f t="shared" si="42"/>
        <v>174000</v>
      </c>
      <c r="DB20" s="43">
        <f t="shared" si="49"/>
        <v>10153846.153846156</v>
      </c>
      <c r="DC20" s="15">
        <f t="shared" si="43"/>
        <v>0</v>
      </c>
      <c r="DD20" s="15">
        <v>0</v>
      </c>
      <c r="DE20" s="14">
        <f t="shared" si="44"/>
        <v>0</v>
      </c>
      <c r="DF20" s="14">
        <f t="shared" si="45"/>
        <v>0</v>
      </c>
      <c r="DG20" s="43">
        <f t="shared" si="46"/>
        <v>9210346.1538461559</v>
      </c>
      <c r="DH20" s="14">
        <v>0</v>
      </c>
      <c r="DI20" s="14">
        <v>0</v>
      </c>
      <c r="DJ20" s="14">
        <v>0</v>
      </c>
      <c r="DK20" s="14">
        <v>0</v>
      </c>
      <c r="DL20" s="14">
        <f t="shared" si="47"/>
        <v>0</v>
      </c>
      <c r="DM20" s="14">
        <v>0</v>
      </c>
      <c r="DN20" s="44">
        <f t="shared" si="48"/>
        <v>9210346</v>
      </c>
      <c r="DO20" s="64"/>
      <c r="DP20" s="64"/>
      <c r="DQ20" s="64"/>
      <c r="DR20" s="64"/>
    </row>
    <row r="21" spans="1:122" s="13" customFormat="1" ht="46.15" customHeight="1">
      <c r="A21" s="37">
        <v>14</v>
      </c>
      <c r="B21" s="23" t="s">
        <v>143</v>
      </c>
      <c r="C21" s="23">
        <v>50</v>
      </c>
      <c r="D21" s="38" t="s">
        <v>144</v>
      </c>
      <c r="E21" s="24" t="s">
        <v>147</v>
      </c>
      <c r="F21" s="23" t="s">
        <v>141</v>
      </c>
      <c r="G21" s="23" t="s">
        <v>104</v>
      </c>
      <c r="H21" s="22">
        <v>36497</v>
      </c>
      <c r="I21" s="22">
        <v>45096</v>
      </c>
      <c r="J21" s="22">
        <f>+I21+5</f>
        <v>45101</v>
      </c>
      <c r="K21" s="20" t="s">
        <v>99</v>
      </c>
      <c r="L21" s="37">
        <f t="shared" si="0"/>
        <v>1</v>
      </c>
      <c r="M21" s="21"/>
      <c r="N21" s="21"/>
      <c r="O21" s="21"/>
      <c r="P21" s="21"/>
      <c r="Q21" s="21"/>
      <c r="R21" s="41">
        <v>26</v>
      </c>
      <c r="S21" s="25">
        <v>26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42">
        <f t="shared" si="1"/>
        <v>26</v>
      </c>
      <c r="AB21" s="25">
        <v>0</v>
      </c>
      <c r="AC21" s="25">
        <v>0</v>
      </c>
      <c r="AD21" s="25">
        <f t="shared" si="2"/>
        <v>26</v>
      </c>
      <c r="AE21" s="16">
        <v>4400000</v>
      </c>
      <c r="AF21" s="14">
        <f t="shared" si="3"/>
        <v>169230.76923076922</v>
      </c>
      <c r="AG21" s="14">
        <f t="shared" si="4"/>
        <v>21153.846153846152</v>
      </c>
      <c r="AH21" s="19">
        <f t="shared" si="5"/>
        <v>4400000</v>
      </c>
      <c r="AI21" s="14">
        <f t="shared" si="6"/>
        <v>26923.076923076922</v>
      </c>
      <c r="AJ21" s="14">
        <f t="shared" si="7"/>
        <v>6346.1538461538457</v>
      </c>
      <c r="AK21" s="19">
        <f t="shared" si="8"/>
        <v>0</v>
      </c>
      <c r="AL21" s="14">
        <f t="shared" si="9"/>
        <v>0</v>
      </c>
      <c r="AM21" s="14">
        <f t="shared" si="10"/>
        <v>1</v>
      </c>
      <c r="AN21" s="19">
        <f t="shared" si="11"/>
        <v>169230.76923076922</v>
      </c>
      <c r="AO21" s="14">
        <v>0</v>
      </c>
      <c r="AP21" s="14">
        <v>0</v>
      </c>
      <c r="AQ21" s="14">
        <v>0</v>
      </c>
      <c r="AR21" s="18">
        <f t="shared" si="12"/>
        <v>0</v>
      </c>
      <c r="AS21" s="16">
        <f t="shared" si="13"/>
        <v>4569230.769230769</v>
      </c>
      <c r="AT21" s="55">
        <v>0</v>
      </c>
      <c r="AU21" s="14">
        <f t="shared" si="14"/>
        <v>0</v>
      </c>
      <c r="AV21" s="55">
        <v>900000</v>
      </c>
      <c r="AW21" s="14">
        <f t="shared" si="15"/>
        <v>900000</v>
      </c>
      <c r="AX21" s="55">
        <v>0</v>
      </c>
      <c r="AY21" s="14">
        <f t="shared" si="16"/>
        <v>0</v>
      </c>
      <c r="AZ21" s="55">
        <v>0</v>
      </c>
      <c r="BA21" s="14">
        <f t="shared" si="17"/>
        <v>0</v>
      </c>
      <c r="BB21" s="65">
        <v>300000</v>
      </c>
      <c r="BC21" s="14">
        <f t="shared" si="18"/>
        <v>300000</v>
      </c>
      <c r="BD21" s="55">
        <v>0</v>
      </c>
      <c r="BE21" s="14">
        <f t="shared" si="19"/>
        <v>0</v>
      </c>
      <c r="BF21" s="55">
        <v>500000</v>
      </c>
      <c r="BG21" s="14">
        <f t="shared" si="20"/>
        <v>500000</v>
      </c>
      <c r="BH21" s="55">
        <v>150000</v>
      </c>
      <c r="BI21" s="14">
        <f t="shared" si="21"/>
        <v>150000</v>
      </c>
      <c r="BJ21" s="55">
        <v>150000</v>
      </c>
      <c r="BK21" s="14">
        <f t="shared" si="22"/>
        <v>150000</v>
      </c>
      <c r="BL21" s="55">
        <v>300000</v>
      </c>
      <c r="BM21" s="14">
        <f t="shared" si="23"/>
        <v>300000</v>
      </c>
      <c r="BN21" s="14"/>
      <c r="BO21" s="14">
        <f t="shared" si="24"/>
        <v>31730.769230769227</v>
      </c>
      <c r="BP21" s="16">
        <f t="shared" si="25"/>
        <v>2300000</v>
      </c>
      <c r="BQ21" s="16">
        <f t="shared" si="26"/>
        <v>2331730.769230769</v>
      </c>
      <c r="BR21" s="25"/>
      <c r="BS21" s="25"/>
      <c r="BT21" s="17">
        <f t="shared" si="27"/>
        <v>0</v>
      </c>
      <c r="BU21" s="14">
        <v>0</v>
      </c>
      <c r="BV21" s="14">
        <v>0</v>
      </c>
      <c r="BW21" s="17">
        <f t="shared" si="28"/>
        <v>0</v>
      </c>
      <c r="BX21" s="14">
        <v>0</v>
      </c>
      <c r="BY21" s="14">
        <v>0</v>
      </c>
      <c r="BZ21" s="17">
        <f t="shared" si="29"/>
        <v>0</v>
      </c>
      <c r="CA21" s="14">
        <v>0</v>
      </c>
      <c r="CB21" s="14">
        <v>0</v>
      </c>
      <c r="CC21" s="17">
        <f t="shared" si="30"/>
        <v>0</v>
      </c>
      <c r="CD21" s="14">
        <v>0</v>
      </c>
      <c r="CE21" s="14">
        <v>0</v>
      </c>
      <c r="CF21" s="17">
        <f t="shared" si="31"/>
        <v>0</v>
      </c>
      <c r="CG21" s="14">
        <v>0</v>
      </c>
      <c r="CH21" s="14">
        <v>0</v>
      </c>
      <c r="CI21" s="17">
        <f t="shared" si="32"/>
        <v>0</v>
      </c>
      <c r="CJ21" s="14">
        <v>0</v>
      </c>
      <c r="CK21" s="14">
        <v>0</v>
      </c>
      <c r="CL21" s="17">
        <f t="shared" si="33"/>
        <v>0</v>
      </c>
      <c r="CM21" s="56">
        <f t="shared" si="34"/>
        <v>0</v>
      </c>
      <c r="CN21" s="17">
        <f t="shared" si="35"/>
        <v>0</v>
      </c>
      <c r="CO21" s="14">
        <f t="shared" si="36"/>
        <v>0</v>
      </c>
      <c r="CP21" s="14">
        <f t="shared" si="37"/>
        <v>0</v>
      </c>
      <c r="CQ21" s="16">
        <f t="shared" si="38"/>
        <v>5600000</v>
      </c>
      <c r="CR21" s="14">
        <f t="shared" si="50"/>
        <v>448000</v>
      </c>
      <c r="CS21" s="14">
        <f t="shared" si="50"/>
        <v>84000</v>
      </c>
      <c r="CT21" s="14">
        <f t="shared" si="50"/>
        <v>56000</v>
      </c>
      <c r="CU21" s="14">
        <f t="shared" si="50"/>
        <v>979999.99999999988</v>
      </c>
      <c r="CV21" s="14">
        <f t="shared" si="50"/>
        <v>168000</v>
      </c>
      <c r="CW21" s="14">
        <f t="shared" si="50"/>
        <v>56000</v>
      </c>
      <c r="CX21" s="16">
        <f t="shared" si="40"/>
        <v>588000</v>
      </c>
      <c r="CY21" s="16">
        <f t="shared" si="41"/>
        <v>1204000</v>
      </c>
      <c r="CZ21" s="14">
        <v>30000</v>
      </c>
      <c r="DA21" s="16">
        <f t="shared" si="42"/>
        <v>112000</v>
      </c>
      <c r="DB21" s="43">
        <f t="shared" si="49"/>
        <v>6900961.538461538</v>
      </c>
      <c r="DC21" s="15">
        <f t="shared" si="43"/>
        <v>0</v>
      </c>
      <c r="DD21" s="15">
        <v>0</v>
      </c>
      <c r="DE21" s="14">
        <f t="shared" si="44"/>
        <v>0</v>
      </c>
      <c r="DF21" s="14">
        <f t="shared" si="45"/>
        <v>0</v>
      </c>
      <c r="DG21" s="43">
        <f t="shared" si="46"/>
        <v>6282961.538461538</v>
      </c>
      <c r="DH21" s="14">
        <v>0</v>
      </c>
      <c r="DI21" s="14">
        <v>0</v>
      </c>
      <c r="DJ21" s="14">
        <v>0</v>
      </c>
      <c r="DK21" s="14">
        <v>0</v>
      </c>
      <c r="DL21" s="14">
        <f t="shared" si="47"/>
        <v>0</v>
      </c>
      <c r="DM21" s="14">
        <v>0</v>
      </c>
      <c r="DN21" s="44">
        <f t="shared" si="48"/>
        <v>6282962</v>
      </c>
      <c r="DO21" s="64"/>
      <c r="DP21" s="64"/>
      <c r="DQ21" s="64"/>
      <c r="DR21" s="64"/>
    </row>
    <row r="22" spans="1:122" s="13" customFormat="1" ht="46.15" customHeight="1">
      <c r="A22" s="37">
        <v>15</v>
      </c>
      <c r="B22" s="23" t="s">
        <v>145</v>
      </c>
      <c r="C22" s="23">
        <v>52</v>
      </c>
      <c r="D22" s="38" t="s">
        <v>146</v>
      </c>
      <c r="E22" s="24" t="s">
        <v>148</v>
      </c>
      <c r="F22" s="23" t="s">
        <v>141</v>
      </c>
      <c r="G22" s="23" t="s">
        <v>104</v>
      </c>
      <c r="H22" s="22">
        <v>37605</v>
      </c>
      <c r="I22" s="22">
        <v>45097</v>
      </c>
      <c r="J22" s="22">
        <f>+I22+5</f>
        <v>45102</v>
      </c>
      <c r="K22" s="20" t="s">
        <v>99</v>
      </c>
      <c r="L22" s="37">
        <f t="shared" si="0"/>
        <v>1</v>
      </c>
      <c r="M22" s="21"/>
      <c r="N22" s="21"/>
      <c r="O22" s="21"/>
      <c r="P22" s="21"/>
      <c r="Q22" s="21"/>
      <c r="R22" s="41">
        <v>26</v>
      </c>
      <c r="S22" s="25">
        <v>26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42">
        <f t="shared" si="1"/>
        <v>26</v>
      </c>
      <c r="AB22" s="25">
        <v>0</v>
      </c>
      <c r="AC22" s="25">
        <v>0</v>
      </c>
      <c r="AD22" s="25">
        <f t="shared" si="2"/>
        <v>26</v>
      </c>
      <c r="AE22" s="16">
        <v>4400000</v>
      </c>
      <c r="AF22" s="14">
        <f t="shared" si="3"/>
        <v>169230.76923076922</v>
      </c>
      <c r="AG22" s="14">
        <f t="shared" si="4"/>
        <v>21153.846153846152</v>
      </c>
      <c r="AH22" s="19">
        <f t="shared" si="5"/>
        <v>4400000</v>
      </c>
      <c r="AI22" s="14">
        <f t="shared" si="6"/>
        <v>26923.076923076922</v>
      </c>
      <c r="AJ22" s="14">
        <f t="shared" si="7"/>
        <v>6346.1538461538457</v>
      </c>
      <c r="AK22" s="19">
        <f t="shared" si="8"/>
        <v>0</v>
      </c>
      <c r="AL22" s="14">
        <f t="shared" si="9"/>
        <v>0</v>
      </c>
      <c r="AM22" s="14">
        <f t="shared" si="10"/>
        <v>1</v>
      </c>
      <c r="AN22" s="19">
        <f t="shared" si="11"/>
        <v>169230.76923076922</v>
      </c>
      <c r="AO22" s="14">
        <v>0</v>
      </c>
      <c r="AP22" s="14">
        <v>0</v>
      </c>
      <c r="AQ22" s="14">
        <v>0</v>
      </c>
      <c r="AR22" s="18">
        <f t="shared" si="12"/>
        <v>0</v>
      </c>
      <c r="AS22" s="16">
        <f t="shared" si="13"/>
        <v>4569230.769230769</v>
      </c>
      <c r="AT22" s="55">
        <v>0</v>
      </c>
      <c r="AU22" s="14">
        <f t="shared" si="14"/>
        <v>0</v>
      </c>
      <c r="AV22" s="55">
        <v>900000</v>
      </c>
      <c r="AW22" s="14">
        <f t="shared" si="15"/>
        <v>900000</v>
      </c>
      <c r="AX22" s="55">
        <v>0</v>
      </c>
      <c r="AY22" s="14">
        <f t="shared" si="16"/>
        <v>0</v>
      </c>
      <c r="AZ22" s="55">
        <v>0</v>
      </c>
      <c r="BA22" s="14">
        <f t="shared" si="17"/>
        <v>0</v>
      </c>
      <c r="BB22" s="65">
        <v>300000</v>
      </c>
      <c r="BC22" s="14">
        <f t="shared" si="18"/>
        <v>300000</v>
      </c>
      <c r="BD22" s="55">
        <v>0</v>
      </c>
      <c r="BE22" s="14">
        <f t="shared" si="19"/>
        <v>0</v>
      </c>
      <c r="BF22" s="55">
        <v>500000</v>
      </c>
      <c r="BG22" s="14">
        <f t="shared" si="20"/>
        <v>500000</v>
      </c>
      <c r="BH22" s="55">
        <v>150000</v>
      </c>
      <c r="BI22" s="14">
        <f t="shared" si="21"/>
        <v>150000</v>
      </c>
      <c r="BJ22" s="55">
        <v>150000</v>
      </c>
      <c r="BK22" s="14">
        <f t="shared" si="22"/>
        <v>150000</v>
      </c>
      <c r="BL22" s="55">
        <v>300000</v>
      </c>
      <c r="BM22" s="14">
        <f t="shared" si="23"/>
        <v>300000</v>
      </c>
      <c r="BN22" s="14"/>
      <c r="BO22" s="14">
        <f t="shared" si="24"/>
        <v>31730.769230769227</v>
      </c>
      <c r="BP22" s="16">
        <f t="shared" si="25"/>
        <v>2300000</v>
      </c>
      <c r="BQ22" s="16">
        <f t="shared" si="26"/>
        <v>2331730.769230769</v>
      </c>
      <c r="BR22" s="25"/>
      <c r="BS22" s="25"/>
      <c r="BT22" s="17">
        <f t="shared" si="27"/>
        <v>0</v>
      </c>
      <c r="BU22" s="14">
        <v>0</v>
      </c>
      <c r="BV22" s="14">
        <v>0</v>
      </c>
      <c r="BW22" s="17">
        <f t="shared" si="28"/>
        <v>0</v>
      </c>
      <c r="BX22" s="14">
        <v>0</v>
      </c>
      <c r="BY22" s="14">
        <v>0</v>
      </c>
      <c r="BZ22" s="17">
        <f t="shared" si="29"/>
        <v>0</v>
      </c>
      <c r="CA22" s="14">
        <v>0</v>
      </c>
      <c r="CB22" s="14">
        <v>0</v>
      </c>
      <c r="CC22" s="17">
        <f t="shared" si="30"/>
        <v>0</v>
      </c>
      <c r="CD22" s="14">
        <v>0</v>
      </c>
      <c r="CE22" s="14">
        <v>0</v>
      </c>
      <c r="CF22" s="17">
        <f t="shared" si="31"/>
        <v>0</v>
      </c>
      <c r="CG22" s="14">
        <v>0</v>
      </c>
      <c r="CH22" s="14">
        <v>0</v>
      </c>
      <c r="CI22" s="17">
        <f t="shared" si="32"/>
        <v>0</v>
      </c>
      <c r="CJ22" s="14">
        <v>0</v>
      </c>
      <c r="CK22" s="14">
        <v>0</v>
      </c>
      <c r="CL22" s="17">
        <f t="shared" si="33"/>
        <v>0</v>
      </c>
      <c r="CM22" s="56">
        <f t="shared" si="34"/>
        <v>0</v>
      </c>
      <c r="CN22" s="17">
        <f t="shared" si="35"/>
        <v>0</v>
      </c>
      <c r="CO22" s="14">
        <f t="shared" si="36"/>
        <v>0</v>
      </c>
      <c r="CP22" s="14">
        <f t="shared" si="37"/>
        <v>0</v>
      </c>
      <c r="CQ22" s="16">
        <f t="shared" si="38"/>
        <v>5600000</v>
      </c>
      <c r="CR22" s="14">
        <f t="shared" si="50"/>
        <v>448000</v>
      </c>
      <c r="CS22" s="14">
        <f t="shared" si="50"/>
        <v>84000</v>
      </c>
      <c r="CT22" s="14">
        <f t="shared" si="50"/>
        <v>56000</v>
      </c>
      <c r="CU22" s="14">
        <f t="shared" si="50"/>
        <v>979999.99999999988</v>
      </c>
      <c r="CV22" s="14">
        <f t="shared" si="50"/>
        <v>168000</v>
      </c>
      <c r="CW22" s="14">
        <f t="shared" si="50"/>
        <v>56000</v>
      </c>
      <c r="CX22" s="16">
        <f t="shared" si="40"/>
        <v>588000</v>
      </c>
      <c r="CY22" s="16">
        <f t="shared" si="41"/>
        <v>1204000</v>
      </c>
      <c r="CZ22" s="14">
        <v>30000</v>
      </c>
      <c r="DA22" s="16">
        <f t="shared" si="42"/>
        <v>112000</v>
      </c>
      <c r="DB22" s="43">
        <f t="shared" si="49"/>
        <v>6900961.538461538</v>
      </c>
      <c r="DC22" s="15">
        <f t="shared" si="43"/>
        <v>0</v>
      </c>
      <c r="DD22" s="15">
        <v>0</v>
      </c>
      <c r="DE22" s="14">
        <f t="shared" si="44"/>
        <v>0</v>
      </c>
      <c r="DF22" s="14">
        <f t="shared" si="45"/>
        <v>0</v>
      </c>
      <c r="DG22" s="43">
        <f t="shared" si="46"/>
        <v>6282961.538461538</v>
      </c>
      <c r="DH22" s="14">
        <v>0</v>
      </c>
      <c r="DI22" s="14">
        <v>0</v>
      </c>
      <c r="DJ22" s="14">
        <v>0</v>
      </c>
      <c r="DK22" s="14">
        <v>0</v>
      </c>
      <c r="DL22" s="14">
        <f t="shared" si="47"/>
        <v>0</v>
      </c>
      <c r="DM22" s="14">
        <v>0</v>
      </c>
      <c r="DN22" s="44">
        <f t="shared" si="48"/>
        <v>6282962</v>
      </c>
      <c r="DO22" s="64"/>
      <c r="DP22" s="64"/>
      <c r="DQ22" s="64"/>
      <c r="DR22" s="64"/>
    </row>
    <row r="23" spans="1:122" s="13" customFormat="1" ht="46.15" customHeight="1">
      <c r="A23" s="37">
        <v>16</v>
      </c>
      <c r="B23" s="23" t="s">
        <v>149</v>
      </c>
      <c r="C23" s="23">
        <v>53</v>
      </c>
      <c r="D23" s="38" t="s">
        <v>152</v>
      </c>
      <c r="E23" s="24" t="s">
        <v>155</v>
      </c>
      <c r="F23" s="23" t="s">
        <v>113</v>
      </c>
      <c r="G23" s="23" t="s">
        <v>3</v>
      </c>
      <c r="H23" s="22">
        <v>33365</v>
      </c>
      <c r="I23" s="22">
        <v>45117</v>
      </c>
      <c r="J23" s="22">
        <f>+I23+59</f>
        <v>45176</v>
      </c>
      <c r="K23" s="20" t="s">
        <v>99</v>
      </c>
      <c r="L23" s="37">
        <f t="shared" si="0"/>
        <v>1</v>
      </c>
      <c r="M23" s="21"/>
      <c r="N23" s="21"/>
      <c r="O23" s="21"/>
      <c r="P23" s="21"/>
      <c r="Q23" s="21"/>
      <c r="R23" s="41">
        <v>26</v>
      </c>
      <c r="S23" s="25">
        <v>26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42">
        <f t="shared" si="1"/>
        <v>26</v>
      </c>
      <c r="AB23" s="25">
        <v>0</v>
      </c>
      <c r="AC23" s="25">
        <v>0</v>
      </c>
      <c r="AD23" s="25">
        <f t="shared" si="2"/>
        <v>26</v>
      </c>
      <c r="AE23" s="16">
        <v>10450000</v>
      </c>
      <c r="AF23" s="14">
        <f t="shared" si="3"/>
        <v>401923.07692307694</v>
      </c>
      <c r="AG23" s="14">
        <f t="shared" si="4"/>
        <v>50240.384615384617</v>
      </c>
      <c r="AH23" s="19">
        <f t="shared" si="5"/>
        <v>10450000</v>
      </c>
      <c r="AI23" s="14">
        <f t="shared" si="6"/>
        <v>69471.153846153844</v>
      </c>
      <c r="AJ23" s="14">
        <f t="shared" si="7"/>
        <v>15072.115384615385</v>
      </c>
      <c r="AK23" s="19">
        <f t="shared" si="8"/>
        <v>0</v>
      </c>
      <c r="AL23" s="14">
        <f t="shared" si="9"/>
        <v>0</v>
      </c>
      <c r="AM23" s="14">
        <f t="shared" si="10"/>
        <v>1</v>
      </c>
      <c r="AN23" s="19">
        <f t="shared" si="11"/>
        <v>401923.07692307694</v>
      </c>
      <c r="AO23" s="14">
        <v>0</v>
      </c>
      <c r="AP23" s="14">
        <v>0</v>
      </c>
      <c r="AQ23" s="14">
        <v>0</v>
      </c>
      <c r="AR23" s="18">
        <f t="shared" si="12"/>
        <v>0</v>
      </c>
      <c r="AS23" s="16">
        <f t="shared" si="13"/>
        <v>10851923.076923076</v>
      </c>
      <c r="AT23" s="55">
        <v>0</v>
      </c>
      <c r="AU23" s="14">
        <f t="shared" si="14"/>
        <v>0</v>
      </c>
      <c r="AV23" s="55">
        <v>0</v>
      </c>
      <c r="AW23" s="14">
        <f t="shared" si="15"/>
        <v>0</v>
      </c>
      <c r="AX23" s="55">
        <v>3000000</v>
      </c>
      <c r="AY23" s="14">
        <f t="shared" si="16"/>
        <v>3000000</v>
      </c>
      <c r="AZ23" s="55">
        <v>0</v>
      </c>
      <c r="BA23" s="14">
        <f t="shared" si="17"/>
        <v>0</v>
      </c>
      <c r="BB23" s="65">
        <v>0</v>
      </c>
      <c r="BC23" s="14">
        <f t="shared" si="18"/>
        <v>0</v>
      </c>
      <c r="BD23" s="55">
        <v>1000000</v>
      </c>
      <c r="BE23" s="14">
        <f t="shared" si="19"/>
        <v>1000000</v>
      </c>
      <c r="BF23" s="55">
        <v>500000</v>
      </c>
      <c r="BG23" s="14">
        <f t="shared" si="20"/>
        <v>500000</v>
      </c>
      <c r="BH23" s="55">
        <v>150000</v>
      </c>
      <c r="BI23" s="14">
        <f t="shared" si="21"/>
        <v>150000</v>
      </c>
      <c r="BJ23" s="55">
        <v>200000</v>
      </c>
      <c r="BK23" s="14">
        <f t="shared" si="22"/>
        <v>200000</v>
      </c>
      <c r="BL23" s="55">
        <v>300000</v>
      </c>
      <c r="BM23" s="14">
        <f t="shared" si="23"/>
        <v>300000</v>
      </c>
      <c r="BN23" s="14"/>
      <c r="BO23" s="14">
        <f t="shared" si="24"/>
        <v>0</v>
      </c>
      <c r="BP23" s="16">
        <f t="shared" si="25"/>
        <v>5150000</v>
      </c>
      <c r="BQ23" s="16">
        <f t="shared" si="26"/>
        <v>5150000</v>
      </c>
      <c r="BR23" s="25"/>
      <c r="BS23" s="25"/>
      <c r="BT23" s="17">
        <f t="shared" si="27"/>
        <v>0</v>
      </c>
      <c r="BU23" s="14">
        <v>0</v>
      </c>
      <c r="BV23" s="14">
        <v>0</v>
      </c>
      <c r="BW23" s="17">
        <f t="shared" si="28"/>
        <v>0</v>
      </c>
      <c r="BX23" s="14">
        <v>0</v>
      </c>
      <c r="BY23" s="14">
        <v>0</v>
      </c>
      <c r="BZ23" s="17">
        <f t="shared" si="29"/>
        <v>0</v>
      </c>
      <c r="CA23" s="14">
        <v>0</v>
      </c>
      <c r="CB23" s="14">
        <v>0</v>
      </c>
      <c r="CC23" s="17">
        <f t="shared" si="30"/>
        <v>0</v>
      </c>
      <c r="CD23" s="14">
        <v>0</v>
      </c>
      <c r="CE23" s="14">
        <v>0</v>
      </c>
      <c r="CF23" s="17">
        <f t="shared" si="31"/>
        <v>0</v>
      </c>
      <c r="CG23" s="14">
        <v>0</v>
      </c>
      <c r="CH23" s="14">
        <v>0</v>
      </c>
      <c r="CI23" s="17">
        <f t="shared" si="32"/>
        <v>0</v>
      </c>
      <c r="CJ23" s="14">
        <v>0</v>
      </c>
      <c r="CK23" s="14">
        <v>0</v>
      </c>
      <c r="CL23" s="17">
        <f t="shared" si="33"/>
        <v>0</v>
      </c>
      <c r="CM23" s="56">
        <f t="shared" si="34"/>
        <v>0</v>
      </c>
      <c r="CN23" s="17">
        <f t="shared" si="35"/>
        <v>0</v>
      </c>
      <c r="CO23" s="14">
        <f t="shared" si="36"/>
        <v>0</v>
      </c>
      <c r="CP23" s="14">
        <f t="shared" si="37"/>
        <v>0</v>
      </c>
      <c r="CQ23" s="16">
        <f t="shared" si="38"/>
        <v>14450000</v>
      </c>
      <c r="CR23" s="14">
        <f t="shared" si="50"/>
        <v>1156000</v>
      </c>
      <c r="CS23" s="14">
        <f t="shared" si="50"/>
        <v>216750</v>
      </c>
      <c r="CT23" s="14">
        <f t="shared" si="50"/>
        <v>144500</v>
      </c>
      <c r="CU23" s="14">
        <f t="shared" si="50"/>
        <v>2528750</v>
      </c>
      <c r="CV23" s="14">
        <f t="shared" si="50"/>
        <v>433500</v>
      </c>
      <c r="CW23" s="14">
        <f t="shared" si="50"/>
        <v>144500</v>
      </c>
      <c r="CX23" s="16">
        <f t="shared" si="40"/>
        <v>1517250</v>
      </c>
      <c r="CY23" s="16">
        <f t="shared" si="41"/>
        <v>3106750</v>
      </c>
      <c r="CZ23" s="14">
        <v>30000</v>
      </c>
      <c r="DA23" s="16">
        <f t="shared" si="42"/>
        <v>289000</v>
      </c>
      <c r="DB23" s="43">
        <f t="shared" si="49"/>
        <v>16001923.076923076</v>
      </c>
      <c r="DC23" s="15">
        <f t="shared" si="43"/>
        <v>0</v>
      </c>
      <c r="DD23" s="15">
        <v>0</v>
      </c>
      <c r="DE23" s="14">
        <f t="shared" si="44"/>
        <v>3454673.0769230761</v>
      </c>
      <c r="DF23" s="14">
        <f t="shared" si="45"/>
        <v>172733.65384615381</v>
      </c>
      <c r="DG23" s="43">
        <f t="shared" si="46"/>
        <v>14281939.423076922</v>
      </c>
      <c r="DH23" s="14">
        <v>0</v>
      </c>
      <c r="DI23" s="14">
        <v>0</v>
      </c>
      <c r="DJ23" s="14">
        <v>0</v>
      </c>
      <c r="DK23" s="14">
        <v>0</v>
      </c>
      <c r="DL23" s="14">
        <f t="shared" si="47"/>
        <v>0</v>
      </c>
      <c r="DM23" s="14">
        <v>0</v>
      </c>
      <c r="DN23" s="44">
        <f t="shared" si="48"/>
        <v>14281939</v>
      </c>
      <c r="DO23" s="64"/>
      <c r="DP23" s="64"/>
      <c r="DQ23" s="64"/>
      <c r="DR23" s="64"/>
    </row>
    <row r="24" spans="1:122" s="13" customFormat="1" ht="46.15" customHeight="1">
      <c r="A24" s="37">
        <v>17</v>
      </c>
      <c r="B24" s="23" t="s">
        <v>150</v>
      </c>
      <c r="C24" s="23">
        <v>54</v>
      </c>
      <c r="D24" s="38" t="s">
        <v>153</v>
      </c>
      <c r="E24" s="24" t="s">
        <v>156</v>
      </c>
      <c r="F24" s="23" t="s">
        <v>113</v>
      </c>
      <c r="G24" s="23" t="s">
        <v>104</v>
      </c>
      <c r="H24" s="22">
        <v>33174</v>
      </c>
      <c r="I24" s="22">
        <v>45131</v>
      </c>
      <c r="J24" s="22">
        <f>+I24+59</f>
        <v>45190</v>
      </c>
      <c r="K24" s="20" t="s">
        <v>99</v>
      </c>
      <c r="L24" s="37">
        <f t="shared" si="0"/>
        <v>1</v>
      </c>
      <c r="M24" s="21">
        <v>45206</v>
      </c>
      <c r="N24" s="21">
        <f>+M24+284</f>
        <v>45490</v>
      </c>
      <c r="O24" s="21">
        <f>+N24+180</f>
        <v>45670</v>
      </c>
      <c r="P24" s="21"/>
      <c r="Q24" s="21"/>
      <c r="R24" s="41">
        <v>26</v>
      </c>
      <c r="S24" s="25">
        <v>26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42">
        <f t="shared" si="1"/>
        <v>26</v>
      </c>
      <c r="AB24" s="25">
        <v>0</v>
      </c>
      <c r="AC24" s="25">
        <v>0</v>
      </c>
      <c r="AD24" s="25">
        <f t="shared" si="2"/>
        <v>26</v>
      </c>
      <c r="AE24" s="16">
        <v>12200000</v>
      </c>
      <c r="AF24" s="14">
        <f t="shared" si="3"/>
        <v>469230.76923076925</v>
      </c>
      <c r="AG24" s="14">
        <f t="shared" si="4"/>
        <v>58653.846153846156</v>
      </c>
      <c r="AH24" s="19">
        <f t="shared" si="5"/>
        <v>12200000</v>
      </c>
      <c r="AI24" s="14">
        <f t="shared" si="6"/>
        <v>90625</v>
      </c>
      <c r="AJ24" s="14">
        <f t="shared" si="7"/>
        <v>17596.153846153848</v>
      </c>
      <c r="AK24" s="19">
        <f t="shared" si="8"/>
        <v>0</v>
      </c>
      <c r="AL24" s="14">
        <f t="shared" si="9"/>
        <v>0</v>
      </c>
      <c r="AM24" s="14">
        <f t="shared" si="10"/>
        <v>1</v>
      </c>
      <c r="AN24" s="19">
        <f t="shared" si="11"/>
        <v>469230.76923076925</v>
      </c>
      <c r="AO24" s="14">
        <v>0</v>
      </c>
      <c r="AP24" s="14">
        <v>0</v>
      </c>
      <c r="AQ24" s="14">
        <v>0</v>
      </c>
      <c r="AR24" s="18">
        <f t="shared" si="12"/>
        <v>0</v>
      </c>
      <c r="AS24" s="16">
        <f t="shared" si="13"/>
        <v>12669230.76923077</v>
      </c>
      <c r="AT24" s="55">
        <v>0</v>
      </c>
      <c r="AU24" s="14">
        <f t="shared" si="14"/>
        <v>0</v>
      </c>
      <c r="AV24" s="55">
        <v>0</v>
      </c>
      <c r="AW24" s="14">
        <f t="shared" si="15"/>
        <v>0</v>
      </c>
      <c r="AX24" s="55">
        <v>5000000</v>
      </c>
      <c r="AY24" s="14">
        <f t="shared" si="16"/>
        <v>5000000</v>
      </c>
      <c r="AZ24" s="55">
        <v>0</v>
      </c>
      <c r="BA24" s="14">
        <f t="shared" si="17"/>
        <v>0</v>
      </c>
      <c r="BB24" s="65">
        <v>0</v>
      </c>
      <c r="BC24" s="14">
        <f t="shared" si="18"/>
        <v>0</v>
      </c>
      <c r="BD24" s="55">
        <v>1650000</v>
      </c>
      <c r="BE24" s="14">
        <f t="shared" si="19"/>
        <v>1650000</v>
      </c>
      <c r="BF24" s="55">
        <v>500000</v>
      </c>
      <c r="BG24" s="14">
        <f t="shared" si="20"/>
        <v>500000</v>
      </c>
      <c r="BH24" s="55">
        <v>150000</v>
      </c>
      <c r="BI24" s="14">
        <f t="shared" si="21"/>
        <v>150000</v>
      </c>
      <c r="BJ24" s="55">
        <v>200000</v>
      </c>
      <c r="BK24" s="14">
        <f t="shared" si="22"/>
        <v>200000</v>
      </c>
      <c r="BL24" s="55">
        <v>300000</v>
      </c>
      <c r="BM24" s="14">
        <f t="shared" si="23"/>
        <v>300000</v>
      </c>
      <c r="BN24" s="14"/>
      <c r="BO24" s="14">
        <f t="shared" si="24"/>
        <v>0</v>
      </c>
      <c r="BP24" s="16">
        <f t="shared" si="25"/>
        <v>7800000</v>
      </c>
      <c r="BQ24" s="16">
        <f t="shared" si="26"/>
        <v>7800000</v>
      </c>
      <c r="BR24" s="25"/>
      <c r="BS24" s="25"/>
      <c r="BT24" s="17">
        <f t="shared" si="27"/>
        <v>0</v>
      </c>
      <c r="BU24" s="14">
        <v>0</v>
      </c>
      <c r="BV24" s="14">
        <v>0</v>
      </c>
      <c r="BW24" s="17">
        <f t="shared" si="28"/>
        <v>0</v>
      </c>
      <c r="BX24" s="14">
        <v>0</v>
      </c>
      <c r="BY24" s="14">
        <v>0</v>
      </c>
      <c r="BZ24" s="17">
        <f t="shared" si="29"/>
        <v>0</v>
      </c>
      <c r="CA24" s="14">
        <v>0</v>
      </c>
      <c r="CB24" s="14">
        <v>0</v>
      </c>
      <c r="CC24" s="17">
        <f t="shared" si="30"/>
        <v>0</v>
      </c>
      <c r="CD24" s="14">
        <v>0</v>
      </c>
      <c r="CE24" s="14">
        <v>0</v>
      </c>
      <c r="CF24" s="17">
        <f t="shared" si="31"/>
        <v>0</v>
      </c>
      <c r="CG24" s="14">
        <v>0</v>
      </c>
      <c r="CH24" s="14">
        <v>0</v>
      </c>
      <c r="CI24" s="17">
        <f t="shared" si="32"/>
        <v>0</v>
      </c>
      <c r="CJ24" s="14">
        <v>0</v>
      </c>
      <c r="CK24" s="14">
        <v>0</v>
      </c>
      <c r="CL24" s="17">
        <f t="shared" si="33"/>
        <v>0</v>
      </c>
      <c r="CM24" s="56">
        <f t="shared" si="34"/>
        <v>0</v>
      </c>
      <c r="CN24" s="17">
        <f t="shared" si="35"/>
        <v>0</v>
      </c>
      <c r="CO24" s="14">
        <f t="shared" si="36"/>
        <v>0</v>
      </c>
      <c r="CP24" s="14">
        <f t="shared" si="37"/>
        <v>0</v>
      </c>
      <c r="CQ24" s="16">
        <f t="shared" si="38"/>
        <v>18850000</v>
      </c>
      <c r="CR24" s="14">
        <f t="shared" ref="CR24:CW48" si="51">+$CQ24*CR$4</f>
        <v>1508000</v>
      </c>
      <c r="CS24" s="14">
        <f t="shared" si="51"/>
        <v>282750</v>
      </c>
      <c r="CT24" s="14">
        <f t="shared" si="51"/>
        <v>188500</v>
      </c>
      <c r="CU24" s="14">
        <f t="shared" si="51"/>
        <v>3298750</v>
      </c>
      <c r="CV24" s="14">
        <f t="shared" si="51"/>
        <v>565500</v>
      </c>
      <c r="CW24" s="14">
        <f t="shared" si="51"/>
        <v>188500</v>
      </c>
      <c r="CX24" s="16">
        <f t="shared" si="40"/>
        <v>1979250</v>
      </c>
      <c r="CY24" s="16">
        <f t="shared" si="41"/>
        <v>4052750</v>
      </c>
      <c r="CZ24" s="14">
        <v>30000</v>
      </c>
      <c r="DA24" s="16">
        <f t="shared" si="42"/>
        <v>377000</v>
      </c>
      <c r="DB24" s="43">
        <f t="shared" si="49"/>
        <v>20469230.769230768</v>
      </c>
      <c r="DC24" s="15">
        <f t="shared" si="43"/>
        <v>0</v>
      </c>
      <c r="DD24" s="15">
        <v>4400000</v>
      </c>
      <c r="DE24" s="14">
        <f t="shared" si="44"/>
        <v>3059980.7692307681</v>
      </c>
      <c r="DF24" s="14">
        <f t="shared" si="45"/>
        <v>152999.03846153841</v>
      </c>
      <c r="DG24" s="43">
        <f t="shared" si="46"/>
        <v>18306981.730769228</v>
      </c>
      <c r="DH24" s="14">
        <v>0</v>
      </c>
      <c r="DI24" s="14">
        <v>0</v>
      </c>
      <c r="DJ24" s="14">
        <v>0</v>
      </c>
      <c r="DK24" s="14">
        <v>0</v>
      </c>
      <c r="DL24" s="14">
        <f t="shared" si="47"/>
        <v>0</v>
      </c>
      <c r="DM24" s="14">
        <v>0</v>
      </c>
      <c r="DN24" s="44">
        <f t="shared" si="48"/>
        <v>18306982</v>
      </c>
      <c r="DO24" s="64"/>
      <c r="DP24" s="64"/>
      <c r="DQ24" s="64"/>
      <c r="DR24" s="64"/>
    </row>
    <row r="25" spans="1:122" s="13" customFormat="1" ht="46.15" customHeight="1">
      <c r="A25" s="37">
        <v>18</v>
      </c>
      <c r="B25" s="23" t="s">
        <v>151</v>
      </c>
      <c r="C25" s="23">
        <v>55</v>
      </c>
      <c r="D25" s="38" t="s">
        <v>154</v>
      </c>
      <c r="E25" s="24" t="s">
        <v>157</v>
      </c>
      <c r="F25" s="23" t="s">
        <v>113</v>
      </c>
      <c r="G25" s="23" t="s">
        <v>104</v>
      </c>
      <c r="H25" s="22">
        <v>33389</v>
      </c>
      <c r="I25" s="22">
        <v>45131</v>
      </c>
      <c r="J25" s="22">
        <f>+I25+59</f>
        <v>45190</v>
      </c>
      <c r="K25" s="20" t="s">
        <v>99</v>
      </c>
      <c r="L25" s="37">
        <f t="shared" si="0"/>
        <v>1</v>
      </c>
      <c r="M25" s="21"/>
      <c r="N25" s="21"/>
      <c r="O25" s="21"/>
      <c r="P25" s="21"/>
      <c r="Q25" s="21"/>
      <c r="R25" s="41">
        <v>26</v>
      </c>
      <c r="S25" s="25">
        <v>26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42">
        <f t="shared" si="1"/>
        <v>26</v>
      </c>
      <c r="AB25" s="25">
        <v>0</v>
      </c>
      <c r="AC25" s="25">
        <v>0</v>
      </c>
      <c r="AD25" s="25">
        <f t="shared" si="2"/>
        <v>26</v>
      </c>
      <c r="AE25" s="16">
        <v>8910000</v>
      </c>
      <c r="AF25" s="14">
        <f t="shared" si="3"/>
        <v>342692.30769230769</v>
      </c>
      <c r="AG25" s="14">
        <f t="shared" si="4"/>
        <v>42836.538461538461</v>
      </c>
      <c r="AH25" s="19">
        <f t="shared" si="5"/>
        <v>8910000</v>
      </c>
      <c r="AI25" s="14">
        <f t="shared" si="6"/>
        <v>66875</v>
      </c>
      <c r="AJ25" s="14">
        <f t="shared" si="7"/>
        <v>12850.961538461537</v>
      </c>
      <c r="AK25" s="19">
        <f t="shared" si="8"/>
        <v>0</v>
      </c>
      <c r="AL25" s="14">
        <f t="shared" si="9"/>
        <v>0</v>
      </c>
      <c r="AM25" s="14">
        <f t="shared" si="10"/>
        <v>1</v>
      </c>
      <c r="AN25" s="19">
        <f t="shared" si="11"/>
        <v>342692.30769230769</v>
      </c>
      <c r="AO25" s="14">
        <v>0</v>
      </c>
      <c r="AP25" s="14">
        <v>0</v>
      </c>
      <c r="AQ25" s="14">
        <v>0</v>
      </c>
      <c r="AR25" s="18">
        <f t="shared" si="12"/>
        <v>0</v>
      </c>
      <c r="AS25" s="16">
        <f t="shared" si="13"/>
        <v>9252692.307692308</v>
      </c>
      <c r="AT25" s="55">
        <v>0</v>
      </c>
      <c r="AU25" s="14">
        <f t="shared" si="14"/>
        <v>0</v>
      </c>
      <c r="AV25" s="55">
        <v>0</v>
      </c>
      <c r="AW25" s="14">
        <f t="shared" si="15"/>
        <v>0</v>
      </c>
      <c r="AX25" s="55">
        <v>4000000</v>
      </c>
      <c r="AY25" s="14">
        <f t="shared" si="16"/>
        <v>4000000</v>
      </c>
      <c r="AZ25" s="55">
        <v>0</v>
      </c>
      <c r="BA25" s="14">
        <f t="shared" si="17"/>
        <v>0</v>
      </c>
      <c r="BB25" s="65">
        <v>0</v>
      </c>
      <c r="BC25" s="14">
        <f t="shared" si="18"/>
        <v>0</v>
      </c>
      <c r="BD25" s="55">
        <v>1000000</v>
      </c>
      <c r="BE25" s="14">
        <f t="shared" si="19"/>
        <v>1000000</v>
      </c>
      <c r="BF25" s="55">
        <v>500000</v>
      </c>
      <c r="BG25" s="14">
        <f t="shared" si="20"/>
        <v>500000</v>
      </c>
      <c r="BH25" s="55">
        <v>150000</v>
      </c>
      <c r="BI25" s="14">
        <f t="shared" si="21"/>
        <v>150000</v>
      </c>
      <c r="BJ25" s="55">
        <v>200000</v>
      </c>
      <c r="BK25" s="14">
        <f t="shared" si="22"/>
        <v>200000</v>
      </c>
      <c r="BL25" s="55">
        <v>300000</v>
      </c>
      <c r="BM25" s="14">
        <f t="shared" si="23"/>
        <v>300000</v>
      </c>
      <c r="BN25" s="14"/>
      <c r="BO25" s="14">
        <f t="shared" si="24"/>
        <v>64254.807692307688</v>
      </c>
      <c r="BP25" s="16">
        <f t="shared" si="25"/>
        <v>6150000</v>
      </c>
      <c r="BQ25" s="16">
        <f t="shared" si="26"/>
        <v>6214254.807692308</v>
      </c>
      <c r="BR25" s="25"/>
      <c r="BS25" s="25"/>
      <c r="BT25" s="17">
        <f t="shared" si="27"/>
        <v>0</v>
      </c>
      <c r="BU25" s="14">
        <v>0</v>
      </c>
      <c r="BV25" s="14">
        <v>0</v>
      </c>
      <c r="BW25" s="17">
        <f t="shared" si="28"/>
        <v>0</v>
      </c>
      <c r="BX25" s="14">
        <v>0</v>
      </c>
      <c r="BY25" s="14">
        <v>0</v>
      </c>
      <c r="BZ25" s="17">
        <f t="shared" si="29"/>
        <v>0</v>
      </c>
      <c r="CA25" s="14">
        <v>0</v>
      </c>
      <c r="CB25" s="14">
        <v>0</v>
      </c>
      <c r="CC25" s="17">
        <f t="shared" si="30"/>
        <v>0</v>
      </c>
      <c r="CD25" s="14">
        <v>0</v>
      </c>
      <c r="CE25" s="14">
        <v>0</v>
      </c>
      <c r="CF25" s="17">
        <f t="shared" si="31"/>
        <v>0</v>
      </c>
      <c r="CG25" s="14">
        <v>0</v>
      </c>
      <c r="CH25" s="14">
        <v>0</v>
      </c>
      <c r="CI25" s="17">
        <f t="shared" si="32"/>
        <v>0</v>
      </c>
      <c r="CJ25" s="14">
        <v>0</v>
      </c>
      <c r="CK25" s="14">
        <v>0</v>
      </c>
      <c r="CL25" s="17">
        <f t="shared" si="33"/>
        <v>0</v>
      </c>
      <c r="CM25" s="56">
        <f t="shared" si="34"/>
        <v>0</v>
      </c>
      <c r="CN25" s="17">
        <f t="shared" si="35"/>
        <v>0</v>
      </c>
      <c r="CO25" s="14">
        <f t="shared" si="36"/>
        <v>0</v>
      </c>
      <c r="CP25" s="14">
        <f t="shared" si="37"/>
        <v>0</v>
      </c>
      <c r="CQ25" s="16">
        <f t="shared" si="38"/>
        <v>13910000</v>
      </c>
      <c r="CR25" s="14">
        <f t="shared" si="51"/>
        <v>1112800</v>
      </c>
      <c r="CS25" s="14">
        <f t="shared" si="51"/>
        <v>208650</v>
      </c>
      <c r="CT25" s="14">
        <f t="shared" si="51"/>
        <v>139100</v>
      </c>
      <c r="CU25" s="14">
        <f t="shared" si="51"/>
        <v>2434250</v>
      </c>
      <c r="CV25" s="14">
        <f t="shared" si="51"/>
        <v>417300</v>
      </c>
      <c r="CW25" s="14">
        <f t="shared" si="51"/>
        <v>139100</v>
      </c>
      <c r="CX25" s="16">
        <f t="shared" si="40"/>
        <v>1460550</v>
      </c>
      <c r="CY25" s="16">
        <f t="shared" si="41"/>
        <v>2990650</v>
      </c>
      <c r="CZ25" s="14">
        <v>30000</v>
      </c>
      <c r="DA25" s="16">
        <f t="shared" si="42"/>
        <v>278200</v>
      </c>
      <c r="DB25" s="43">
        <f t="shared" si="49"/>
        <v>15466947.115384616</v>
      </c>
      <c r="DC25" s="15">
        <f t="shared" si="43"/>
        <v>0</v>
      </c>
      <c r="DD25" s="15">
        <v>8800000</v>
      </c>
      <c r="DE25" s="14">
        <f t="shared" si="44"/>
        <v>0</v>
      </c>
      <c r="DF25" s="14">
        <f t="shared" si="45"/>
        <v>0</v>
      </c>
      <c r="DG25" s="43">
        <f t="shared" si="46"/>
        <v>13976397.115384616</v>
      </c>
      <c r="DH25" s="14">
        <v>0</v>
      </c>
      <c r="DI25" s="14">
        <v>0</v>
      </c>
      <c r="DJ25" s="14">
        <v>0</v>
      </c>
      <c r="DK25" s="14">
        <v>0</v>
      </c>
      <c r="DL25" s="14">
        <f t="shared" si="47"/>
        <v>0</v>
      </c>
      <c r="DM25" s="14">
        <v>0</v>
      </c>
      <c r="DN25" s="44">
        <f t="shared" si="48"/>
        <v>13976397</v>
      </c>
      <c r="DO25" s="64"/>
      <c r="DP25" s="64"/>
      <c r="DQ25" s="64"/>
      <c r="DR25" s="64"/>
    </row>
    <row r="26" spans="1:122" s="13" customFormat="1" ht="46.15" customHeight="1">
      <c r="A26" s="37">
        <v>19</v>
      </c>
      <c r="B26" s="23" t="s">
        <v>167</v>
      </c>
      <c r="C26" s="23">
        <v>62</v>
      </c>
      <c r="D26" s="38" t="s">
        <v>179</v>
      </c>
      <c r="E26" s="24" t="s">
        <v>191</v>
      </c>
      <c r="F26" s="23" t="s">
        <v>203</v>
      </c>
      <c r="G26" s="23" t="s">
        <v>3</v>
      </c>
      <c r="H26" s="22">
        <v>35607</v>
      </c>
      <c r="I26" s="22">
        <v>45177</v>
      </c>
      <c r="J26" s="22">
        <v>45182</v>
      </c>
      <c r="K26" s="20" t="s">
        <v>99</v>
      </c>
      <c r="L26" s="37">
        <f t="shared" si="0"/>
        <v>1</v>
      </c>
      <c r="M26" s="21"/>
      <c r="N26" s="21"/>
      <c r="O26" s="21"/>
      <c r="P26" s="21"/>
      <c r="Q26" s="21"/>
      <c r="R26" s="41">
        <v>26</v>
      </c>
      <c r="S26" s="25">
        <v>26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42">
        <f t="shared" si="1"/>
        <v>26</v>
      </c>
      <c r="AB26" s="25">
        <v>0</v>
      </c>
      <c r="AC26" s="25">
        <v>0</v>
      </c>
      <c r="AD26" s="25">
        <f t="shared" si="2"/>
        <v>26</v>
      </c>
      <c r="AE26" s="16">
        <v>4400000</v>
      </c>
      <c r="AF26" s="14">
        <f t="shared" si="3"/>
        <v>169230.76923076922</v>
      </c>
      <c r="AG26" s="14">
        <f t="shared" si="4"/>
        <v>21153.846153846152</v>
      </c>
      <c r="AH26" s="19">
        <f t="shared" si="5"/>
        <v>4400000</v>
      </c>
      <c r="AI26" s="14">
        <f t="shared" si="6"/>
        <v>24519.23076923077</v>
      </c>
      <c r="AJ26" s="14">
        <f t="shared" si="7"/>
        <v>6346.1538461538457</v>
      </c>
      <c r="AK26" s="19">
        <f t="shared" si="8"/>
        <v>0</v>
      </c>
      <c r="AL26" s="14">
        <f t="shared" si="9"/>
        <v>0</v>
      </c>
      <c r="AM26" s="14">
        <f t="shared" si="10"/>
        <v>1</v>
      </c>
      <c r="AN26" s="19">
        <f t="shared" si="11"/>
        <v>169230.76923076922</v>
      </c>
      <c r="AO26" s="14">
        <v>0</v>
      </c>
      <c r="AP26" s="14">
        <v>0</v>
      </c>
      <c r="AQ26" s="14">
        <v>0</v>
      </c>
      <c r="AR26" s="18">
        <f t="shared" si="12"/>
        <v>0</v>
      </c>
      <c r="AS26" s="16">
        <f t="shared" si="13"/>
        <v>4569230.769230769</v>
      </c>
      <c r="AT26" s="55">
        <v>0</v>
      </c>
      <c r="AU26" s="14">
        <f t="shared" si="14"/>
        <v>0</v>
      </c>
      <c r="AV26" s="55">
        <v>700000</v>
      </c>
      <c r="AW26" s="14">
        <f t="shared" si="15"/>
        <v>700000</v>
      </c>
      <c r="AX26" s="55">
        <v>0</v>
      </c>
      <c r="AY26" s="14">
        <f t="shared" si="16"/>
        <v>0</v>
      </c>
      <c r="AZ26" s="55">
        <v>0</v>
      </c>
      <c r="BA26" s="14">
        <f t="shared" si="17"/>
        <v>0</v>
      </c>
      <c r="BB26" s="65">
        <v>0</v>
      </c>
      <c r="BC26" s="14">
        <f t="shared" si="18"/>
        <v>0</v>
      </c>
      <c r="BD26" s="55">
        <v>0</v>
      </c>
      <c r="BE26" s="14">
        <f t="shared" si="19"/>
        <v>0</v>
      </c>
      <c r="BF26" s="55">
        <v>500000</v>
      </c>
      <c r="BG26" s="14">
        <f t="shared" si="20"/>
        <v>500000</v>
      </c>
      <c r="BH26" s="55">
        <v>150000</v>
      </c>
      <c r="BI26" s="14">
        <f t="shared" si="21"/>
        <v>150000</v>
      </c>
      <c r="BJ26" s="55">
        <v>150000</v>
      </c>
      <c r="BK26" s="14">
        <f t="shared" si="22"/>
        <v>150000</v>
      </c>
      <c r="BL26" s="55">
        <v>300000</v>
      </c>
      <c r="BM26" s="14">
        <f t="shared" si="23"/>
        <v>300000</v>
      </c>
      <c r="BN26" s="14"/>
      <c r="BO26" s="14">
        <f t="shared" si="24"/>
        <v>0</v>
      </c>
      <c r="BP26" s="16">
        <f t="shared" si="25"/>
        <v>1800000</v>
      </c>
      <c r="BQ26" s="16">
        <f t="shared" si="26"/>
        <v>1800000</v>
      </c>
      <c r="BR26" s="25"/>
      <c r="BS26" s="25"/>
      <c r="BT26" s="17">
        <f t="shared" si="27"/>
        <v>0</v>
      </c>
      <c r="BU26" s="14">
        <v>0</v>
      </c>
      <c r="BV26" s="14">
        <v>0</v>
      </c>
      <c r="BW26" s="17">
        <f t="shared" si="28"/>
        <v>0</v>
      </c>
      <c r="BX26" s="14">
        <v>0</v>
      </c>
      <c r="BY26" s="14">
        <v>0</v>
      </c>
      <c r="BZ26" s="17">
        <f t="shared" si="29"/>
        <v>0</v>
      </c>
      <c r="CA26" s="14">
        <v>0</v>
      </c>
      <c r="CB26" s="14">
        <v>0</v>
      </c>
      <c r="CC26" s="17">
        <f t="shared" si="30"/>
        <v>0</v>
      </c>
      <c r="CD26" s="14">
        <v>0</v>
      </c>
      <c r="CE26" s="14">
        <v>0</v>
      </c>
      <c r="CF26" s="17">
        <f t="shared" si="31"/>
        <v>0</v>
      </c>
      <c r="CG26" s="14">
        <v>0</v>
      </c>
      <c r="CH26" s="14">
        <v>0</v>
      </c>
      <c r="CI26" s="17">
        <f t="shared" si="32"/>
        <v>0</v>
      </c>
      <c r="CJ26" s="14">
        <v>0</v>
      </c>
      <c r="CK26" s="14">
        <v>0</v>
      </c>
      <c r="CL26" s="17">
        <f t="shared" si="33"/>
        <v>0</v>
      </c>
      <c r="CM26" s="56">
        <f t="shared" si="34"/>
        <v>0</v>
      </c>
      <c r="CN26" s="17">
        <f t="shared" si="35"/>
        <v>0</v>
      </c>
      <c r="CO26" s="14">
        <f t="shared" si="36"/>
        <v>0</v>
      </c>
      <c r="CP26" s="14">
        <f t="shared" si="37"/>
        <v>0</v>
      </c>
      <c r="CQ26" s="16">
        <f t="shared" si="38"/>
        <v>5100000</v>
      </c>
      <c r="CR26" s="14">
        <f t="shared" si="51"/>
        <v>408000</v>
      </c>
      <c r="CS26" s="14">
        <f t="shared" si="51"/>
        <v>76500</v>
      </c>
      <c r="CT26" s="14">
        <f t="shared" si="51"/>
        <v>51000</v>
      </c>
      <c r="CU26" s="14">
        <f t="shared" si="51"/>
        <v>892500</v>
      </c>
      <c r="CV26" s="14">
        <f t="shared" si="51"/>
        <v>153000</v>
      </c>
      <c r="CW26" s="14">
        <f t="shared" si="51"/>
        <v>51000</v>
      </c>
      <c r="CX26" s="16">
        <f t="shared" si="40"/>
        <v>535500</v>
      </c>
      <c r="CY26" s="16">
        <f t="shared" si="41"/>
        <v>1096500</v>
      </c>
      <c r="CZ26" s="14">
        <v>30000</v>
      </c>
      <c r="DA26" s="16">
        <f t="shared" si="42"/>
        <v>102000</v>
      </c>
      <c r="DB26" s="43">
        <f t="shared" si="49"/>
        <v>6369230.769230769</v>
      </c>
      <c r="DC26" s="15">
        <f t="shared" si="43"/>
        <v>0</v>
      </c>
      <c r="DD26" s="15">
        <v>0</v>
      </c>
      <c r="DE26" s="14">
        <f t="shared" si="44"/>
        <v>0</v>
      </c>
      <c r="DF26" s="14">
        <f t="shared" si="45"/>
        <v>0</v>
      </c>
      <c r="DG26" s="43">
        <f t="shared" si="46"/>
        <v>5803730.769230769</v>
      </c>
      <c r="DH26" s="14">
        <v>0</v>
      </c>
      <c r="DI26" s="14">
        <v>0</v>
      </c>
      <c r="DJ26" s="14">
        <v>0</v>
      </c>
      <c r="DK26" s="14">
        <v>0</v>
      </c>
      <c r="DL26" s="14">
        <f t="shared" si="47"/>
        <v>0</v>
      </c>
      <c r="DM26" s="14">
        <v>0</v>
      </c>
      <c r="DN26" s="44">
        <f t="shared" si="48"/>
        <v>5803731</v>
      </c>
      <c r="DO26" s="64"/>
      <c r="DP26" s="64"/>
      <c r="DQ26" s="64"/>
      <c r="DR26" s="64"/>
    </row>
    <row r="27" spans="1:122" s="13" customFormat="1" ht="46.15" customHeight="1">
      <c r="A27" s="37">
        <v>20</v>
      </c>
      <c r="B27" s="23" t="s">
        <v>168</v>
      </c>
      <c r="C27" s="23">
        <v>67</v>
      </c>
      <c r="D27" s="38" t="s">
        <v>180</v>
      </c>
      <c r="E27" s="24" t="s">
        <v>192</v>
      </c>
      <c r="F27" s="23" t="s">
        <v>141</v>
      </c>
      <c r="G27" s="23" t="s">
        <v>104</v>
      </c>
      <c r="H27" s="22">
        <v>32050</v>
      </c>
      <c r="I27" s="22">
        <v>45181</v>
      </c>
      <c r="J27" s="22">
        <v>45186</v>
      </c>
      <c r="K27" s="20" t="s">
        <v>99</v>
      </c>
      <c r="L27" s="37">
        <f t="shared" si="0"/>
        <v>1</v>
      </c>
      <c r="M27" s="21"/>
      <c r="N27" s="21"/>
      <c r="O27" s="21"/>
      <c r="P27" s="21"/>
      <c r="Q27" s="21"/>
      <c r="R27" s="41">
        <v>26</v>
      </c>
      <c r="S27" s="25">
        <v>26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42">
        <f t="shared" si="1"/>
        <v>26</v>
      </c>
      <c r="AB27" s="25">
        <v>0</v>
      </c>
      <c r="AC27" s="25">
        <v>0</v>
      </c>
      <c r="AD27" s="25">
        <f t="shared" si="2"/>
        <v>26</v>
      </c>
      <c r="AE27" s="16">
        <v>4400000</v>
      </c>
      <c r="AF27" s="14">
        <f t="shared" si="3"/>
        <v>169230.76923076922</v>
      </c>
      <c r="AG27" s="14">
        <f t="shared" si="4"/>
        <v>21153.846153846152</v>
      </c>
      <c r="AH27" s="19">
        <f t="shared" si="5"/>
        <v>4400000</v>
      </c>
      <c r="AI27" s="14">
        <f t="shared" si="6"/>
        <v>25961.538461538461</v>
      </c>
      <c r="AJ27" s="14">
        <f t="shared" si="7"/>
        <v>6346.1538461538457</v>
      </c>
      <c r="AK27" s="19">
        <f t="shared" si="8"/>
        <v>0</v>
      </c>
      <c r="AL27" s="14">
        <f t="shared" si="9"/>
        <v>0</v>
      </c>
      <c r="AM27" s="14">
        <f t="shared" si="10"/>
        <v>1</v>
      </c>
      <c r="AN27" s="19">
        <f t="shared" si="11"/>
        <v>169230.76923076922</v>
      </c>
      <c r="AO27" s="14">
        <v>0</v>
      </c>
      <c r="AP27" s="14">
        <v>0</v>
      </c>
      <c r="AQ27" s="14">
        <v>0</v>
      </c>
      <c r="AR27" s="18">
        <f t="shared" si="12"/>
        <v>0</v>
      </c>
      <c r="AS27" s="16">
        <f t="shared" si="13"/>
        <v>4569230.769230769</v>
      </c>
      <c r="AT27" s="55">
        <v>0</v>
      </c>
      <c r="AU27" s="14">
        <f t="shared" si="14"/>
        <v>0</v>
      </c>
      <c r="AV27" s="55">
        <v>700000</v>
      </c>
      <c r="AW27" s="14">
        <f t="shared" si="15"/>
        <v>700000</v>
      </c>
      <c r="AX27" s="55">
        <v>0</v>
      </c>
      <c r="AY27" s="14">
        <f t="shared" si="16"/>
        <v>0</v>
      </c>
      <c r="AZ27" s="55">
        <v>0</v>
      </c>
      <c r="BA27" s="14">
        <f t="shared" si="17"/>
        <v>0</v>
      </c>
      <c r="BB27" s="65">
        <v>300000</v>
      </c>
      <c r="BC27" s="14">
        <f t="shared" si="18"/>
        <v>300000</v>
      </c>
      <c r="BD27" s="55">
        <v>0</v>
      </c>
      <c r="BE27" s="14">
        <f t="shared" si="19"/>
        <v>0</v>
      </c>
      <c r="BF27" s="55">
        <v>500000</v>
      </c>
      <c r="BG27" s="14">
        <f t="shared" si="20"/>
        <v>500000</v>
      </c>
      <c r="BH27" s="55">
        <v>150000</v>
      </c>
      <c r="BI27" s="14">
        <f t="shared" si="21"/>
        <v>150000</v>
      </c>
      <c r="BJ27" s="55">
        <v>150000</v>
      </c>
      <c r="BK27" s="14">
        <f t="shared" si="22"/>
        <v>150000</v>
      </c>
      <c r="BL27" s="55">
        <v>300000</v>
      </c>
      <c r="BM27" s="14">
        <f t="shared" si="23"/>
        <v>300000</v>
      </c>
      <c r="BN27" s="14"/>
      <c r="BO27" s="14">
        <f t="shared" si="24"/>
        <v>31730.769230769227</v>
      </c>
      <c r="BP27" s="16">
        <f t="shared" si="25"/>
        <v>2100000</v>
      </c>
      <c r="BQ27" s="16">
        <f t="shared" si="26"/>
        <v>2131730.769230769</v>
      </c>
      <c r="BR27" s="25"/>
      <c r="BS27" s="25"/>
      <c r="BT27" s="17">
        <f t="shared" si="27"/>
        <v>0</v>
      </c>
      <c r="BU27" s="14">
        <v>0</v>
      </c>
      <c r="BV27" s="14">
        <v>0</v>
      </c>
      <c r="BW27" s="17">
        <f t="shared" si="28"/>
        <v>0</v>
      </c>
      <c r="BX27" s="14">
        <v>0</v>
      </c>
      <c r="BY27" s="14">
        <v>0</v>
      </c>
      <c r="BZ27" s="17">
        <f t="shared" si="29"/>
        <v>0</v>
      </c>
      <c r="CA27" s="14">
        <v>0</v>
      </c>
      <c r="CB27" s="14">
        <v>0</v>
      </c>
      <c r="CC27" s="17">
        <f t="shared" si="30"/>
        <v>0</v>
      </c>
      <c r="CD27" s="14">
        <v>0</v>
      </c>
      <c r="CE27" s="14">
        <v>0</v>
      </c>
      <c r="CF27" s="17">
        <f t="shared" si="31"/>
        <v>0</v>
      </c>
      <c r="CG27" s="14">
        <v>0</v>
      </c>
      <c r="CH27" s="14">
        <v>0</v>
      </c>
      <c r="CI27" s="17">
        <f t="shared" si="32"/>
        <v>0</v>
      </c>
      <c r="CJ27" s="14">
        <v>0</v>
      </c>
      <c r="CK27" s="14">
        <v>0</v>
      </c>
      <c r="CL27" s="17">
        <f t="shared" si="33"/>
        <v>0</v>
      </c>
      <c r="CM27" s="56">
        <f t="shared" si="34"/>
        <v>0</v>
      </c>
      <c r="CN27" s="17">
        <f t="shared" si="35"/>
        <v>0</v>
      </c>
      <c r="CO27" s="14">
        <f t="shared" si="36"/>
        <v>0</v>
      </c>
      <c r="CP27" s="14">
        <f t="shared" si="37"/>
        <v>0</v>
      </c>
      <c r="CQ27" s="16">
        <f t="shared" si="38"/>
        <v>5400000</v>
      </c>
      <c r="CR27" s="14">
        <f t="shared" si="51"/>
        <v>432000</v>
      </c>
      <c r="CS27" s="14">
        <f t="shared" si="51"/>
        <v>81000</v>
      </c>
      <c r="CT27" s="14">
        <f t="shared" si="51"/>
        <v>54000</v>
      </c>
      <c r="CU27" s="14">
        <f t="shared" si="51"/>
        <v>944999.99999999988</v>
      </c>
      <c r="CV27" s="14">
        <f t="shared" si="51"/>
        <v>162000</v>
      </c>
      <c r="CW27" s="14">
        <f t="shared" si="51"/>
        <v>54000</v>
      </c>
      <c r="CX27" s="16">
        <f t="shared" si="40"/>
        <v>567000</v>
      </c>
      <c r="CY27" s="16">
        <f t="shared" si="41"/>
        <v>1161000</v>
      </c>
      <c r="CZ27" s="14">
        <v>30000</v>
      </c>
      <c r="DA27" s="16">
        <f t="shared" si="42"/>
        <v>108000</v>
      </c>
      <c r="DB27" s="43">
        <f t="shared" si="49"/>
        <v>6700961.538461538</v>
      </c>
      <c r="DC27" s="15">
        <f t="shared" si="43"/>
        <v>0</v>
      </c>
      <c r="DD27" s="15">
        <v>0</v>
      </c>
      <c r="DE27" s="14">
        <f t="shared" si="44"/>
        <v>0</v>
      </c>
      <c r="DF27" s="14">
        <f t="shared" si="45"/>
        <v>0</v>
      </c>
      <c r="DG27" s="43">
        <f t="shared" si="46"/>
        <v>6103961.538461538</v>
      </c>
      <c r="DH27" s="14">
        <v>0</v>
      </c>
      <c r="DI27" s="14">
        <v>0</v>
      </c>
      <c r="DJ27" s="14">
        <v>0</v>
      </c>
      <c r="DK27" s="14">
        <v>0</v>
      </c>
      <c r="DL27" s="14">
        <f t="shared" si="47"/>
        <v>0</v>
      </c>
      <c r="DM27" s="14">
        <v>0</v>
      </c>
      <c r="DN27" s="44">
        <f t="shared" si="48"/>
        <v>6103962</v>
      </c>
      <c r="DO27" s="64"/>
      <c r="DP27" s="64"/>
      <c r="DQ27" s="64"/>
      <c r="DR27" s="64"/>
    </row>
    <row r="28" spans="1:122" s="13" customFormat="1" ht="46.15" customHeight="1">
      <c r="A28" s="37">
        <v>21</v>
      </c>
      <c r="B28" s="23" t="s">
        <v>169</v>
      </c>
      <c r="C28" s="23">
        <v>69</v>
      </c>
      <c r="D28" s="38" t="s">
        <v>181</v>
      </c>
      <c r="E28" s="24" t="s">
        <v>193</v>
      </c>
      <c r="F28" s="23" t="s">
        <v>141</v>
      </c>
      <c r="G28" s="23" t="s">
        <v>104</v>
      </c>
      <c r="H28" s="22">
        <v>36934</v>
      </c>
      <c r="I28" s="22">
        <v>45183</v>
      </c>
      <c r="J28" s="22">
        <v>45188</v>
      </c>
      <c r="K28" s="20" t="s">
        <v>99</v>
      </c>
      <c r="L28" s="37">
        <f t="shared" si="0"/>
        <v>1</v>
      </c>
      <c r="M28" s="21"/>
      <c r="N28" s="21"/>
      <c r="O28" s="21"/>
      <c r="P28" s="21"/>
      <c r="Q28" s="21"/>
      <c r="R28" s="41">
        <v>26</v>
      </c>
      <c r="S28" s="25">
        <v>26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42">
        <f t="shared" si="1"/>
        <v>26</v>
      </c>
      <c r="AB28" s="25">
        <v>0</v>
      </c>
      <c r="AC28" s="25">
        <v>0</v>
      </c>
      <c r="AD28" s="25">
        <f t="shared" si="2"/>
        <v>26</v>
      </c>
      <c r="AE28" s="16">
        <v>4400000</v>
      </c>
      <c r="AF28" s="14">
        <f t="shared" si="3"/>
        <v>169230.76923076922</v>
      </c>
      <c r="AG28" s="14">
        <f t="shared" si="4"/>
        <v>21153.846153846152</v>
      </c>
      <c r="AH28" s="19">
        <f t="shared" si="5"/>
        <v>4400000</v>
      </c>
      <c r="AI28" s="14">
        <f t="shared" si="6"/>
        <v>25961.538461538461</v>
      </c>
      <c r="AJ28" s="14">
        <f t="shared" si="7"/>
        <v>6346.1538461538457</v>
      </c>
      <c r="AK28" s="19">
        <f t="shared" si="8"/>
        <v>0</v>
      </c>
      <c r="AL28" s="14">
        <f t="shared" si="9"/>
        <v>0</v>
      </c>
      <c r="AM28" s="14">
        <f t="shared" si="10"/>
        <v>1</v>
      </c>
      <c r="AN28" s="19">
        <f t="shared" si="11"/>
        <v>169230.76923076922</v>
      </c>
      <c r="AO28" s="14">
        <v>0</v>
      </c>
      <c r="AP28" s="14">
        <v>0</v>
      </c>
      <c r="AQ28" s="14">
        <v>0</v>
      </c>
      <c r="AR28" s="18">
        <f t="shared" si="12"/>
        <v>0</v>
      </c>
      <c r="AS28" s="16">
        <f t="shared" si="13"/>
        <v>4569230.769230769</v>
      </c>
      <c r="AT28" s="55">
        <v>0</v>
      </c>
      <c r="AU28" s="14">
        <f t="shared" si="14"/>
        <v>0</v>
      </c>
      <c r="AV28" s="55">
        <v>700000</v>
      </c>
      <c r="AW28" s="14">
        <f t="shared" si="15"/>
        <v>700000</v>
      </c>
      <c r="AX28" s="55">
        <v>0</v>
      </c>
      <c r="AY28" s="14">
        <f t="shared" si="16"/>
        <v>0</v>
      </c>
      <c r="AZ28" s="55">
        <v>0</v>
      </c>
      <c r="BA28" s="14">
        <f t="shared" si="17"/>
        <v>0</v>
      </c>
      <c r="BB28" s="65">
        <v>300000</v>
      </c>
      <c r="BC28" s="14">
        <f t="shared" si="18"/>
        <v>300000</v>
      </c>
      <c r="BD28" s="55">
        <v>0</v>
      </c>
      <c r="BE28" s="14">
        <f t="shared" si="19"/>
        <v>0</v>
      </c>
      <c r="BF28" s="55">
        <v>500000</v>
      </c>
      <c r="BG28" s="14">
        <f t="shared" si="20"/>
        <v>500000</v>
      </c>
      <c r="BH28" s="55">
        <v>150000</v>
      </c>
      <c r="BI28" s="14">
        <f t="shared" si="21"/>
        <v>150000</v>
      </c>
      <c r="BJ28" s="55">
        <v>150000</v>
      </c>
      <c r="BK28" s="14">
        <f t="shared" si="22"/>
        <v>150000</v>
      </c>
      <c r="BL28" s="55">
        <v>300000</v>
      </c>
      <c r="BM28" s="14">
        <f t="shared" si="23"/>
        <v>300000</v>
      </c>
      <c r="BN28" s="14"/>
      <c r="BO28" s="14">
        <f t="shared" si="24"/>
        <v>31730.769230769227</v>
      </c>
      <c r="BP28" s="16">
        <f t="shared" si="25"/>
        <v>2100000</v>
      </c>
      <c r="BQ28" s="16">
        <f t="shared" si="26"/>
        <v>2131730.769230769</v>
      </c>
      <c r="BR28" s="25"/>
      <c r="BS28" s="25"/>
      <c r="BT28" s="17">
        <f t="shared" si="27"/>
        <v>0</v>
      </c>
      <c r="BU28" s="14">
        <v>0</v>
      </c>
      <c r="BV28" s="14">
        <v>0</v>
      </c>
      <c r="BW28" s="17">
        <f t="shared" si="28"/>
        <v>0</v>
      </c>
      <c r="BX28" s="14">
        <v>0</v>
      </c>
      <c r="BY28" s="14">
        <v>0</v>
      </c>
      <c r="BZ28" s="17">
        <f t="shared" si="29"/>
        <v>0</v>
      </c>
      <c r="CA28" s="14">
        <v>0</v>
      </c>
      <c r="CB28" s="14">
        <v>0</v>
      </c>
      <c r="CC28" s="17">
        <f t="shared" si="30"/>
        <v>0</v>
      </c>
      <c r="CD28" s="14">
        <v>0</v>
      </c>
      <c r="CE28" s="14">
        <v>0</v>
      </c>
      <c r="CF28" s="17">
        <f t="shared" si="31"/>
        <v>0</v>
      </c>
      <c r="CG28" s="14">
        <v>0</v>
      </c>
      <c r="CH28" s="14">
        <v>0</v>
      </c>
      <c r="CI28" s="17">
        <f t="shared" si="32"/>
        <v>0</v>
      </c>
      <c r="CJ28" s="14">
        <v>0</v>
      </c>
      <c r="CK28" s="14">
        <v>0</v>
      </c>
      <c r="CL28" s="17">
        <f t="shared" si="33"/>
        <v>0</v>
      </c>
      <c r="CM28" s="56">
        <f t="shared" si="34"/>
        <v>0</v>
      </c>
      <c r="CN28" s="17">
        <f t="shared" si="35"/>
        <v>0</v>
      </c>
      <c r="CO28" s="14">
        <f t="shared" si="36"/>
        <v>0</v>
      </c>
      <c r="CP28" s="14">
        <f t="shared" si="37"/>
        <v>0</v>
      </c>
      <c r="CQ28" s="16">
        <f t="shared" si="38"/>
        <v>5400000</v>
      </c>
      <c r="CR28" s="14">
        <f t="shared" si="51"/>
        <v>432000</v>
      </c>
      <c r="CS28" s="14">
        <f t="shared" si="51"/>
        <v>81000</v>
      </c>
      <c r="CT28" s="14">
        <f t="shared" si="51"/>
        <v>54000</v>
      </c>
      <c r="CU28" s="14">
        <f t="shared" si="51"/>
        <v>944999.99999999988</v>
      </c>
      <c r="CV28" s="14">
        <f t="shared" si="51"/>
        <v>162000</v>
      </c>
      <c r="CW28" s="14">
        <f t="shared" si="51"/>
        <v>54000</v>
      </c>
      <c r="CX28" s="16">
        <f t="shared" si="40"/>
        <v>567000</v>
      </c>
      <c r="CY28" s="16">
        <f t="shared" si="41"/>
        <v>1161000</v>
      </c>
      <c r="CZ28" s="14">
        <v>30000</v>
      </c>
      <c r="DA28" s="16">
        <f t="shared" si="42"/>
        <v>108000</v>
      </c>
      <c r="DB28" s="43">
        <f t="shared" si="49"/>
        <v>6700961.538461538</v>
      </c>
      <c r="DC28" s="15">
        <f t="shared" si="43"/>
        <v>0</v>
      </c>
      <c r="DD28" s="15">
        <v>0</v>
      </c>
      <c r="DE28" s="14">
        <f t="shared" si="44"/>
        <v>0</v>
      </c>
      <c r="DF28" s="14">
        <f t="shared" si="45"/>
        <v>0</v>
      </c>
      <c r="DG28" s="43">
        <f t="shared" si="46"/>
        <v>6103961.538461538</v>
      </c>
      <c r="DH28" s="14">
        <v>0</v>
      </c>
      <c r="DI28" s="14">
        <v>0</v>
      </c>
      <c r="DJ28" s="14">
        <v>0</v>
      </c>
      <c r="DK28" s="14">
        <v>0</v>
      </c>
      <c r="DL28" s="14">
        <f t="shared" si="47"/>
        <v>0</v>
      </c>
      <c r="DM28" s="14">
        <v>0</v>
      </c>
      <c r="DN28" s="44">
        <f t="shared" si="48"/>
        <v>6103962</v>
      </c>
      <c r="DO28" s="64"/>
      <c r="DP28" s="64"/>
      <c r="DQ28" s="64"/>
      <c r="DR28" s="64"/>
    </row>
    <row r="29" spans="1:122" s="13" customFormat="1" ht="46.15" customHeight="1">
      <c r="A29" s="37">
        <v>22</v>
      </c>
      <c r="B29" s="23" t="s">
        <v>170</v>
      </c>
      <c r="C29" s="23">
        <v>70</v>
      </c>
      <c r="D29" s="38" t="s">
        <v>182</v>
      </c>
      <c r="E29" s="24" t="s">
        <v>194</v>
      </c>
      <c r="F29" s="23" t="s">
        <v>203</v>
      </c>
      <c r="G29" s="23" t="s">
        <v>3</v>
      </c>
      <c r="H29" s="22">
        <v>36685</v>
      </c>
      <c r="I29" s="22">
        <v>45183</v>
      </c>
      <c r="J29" s="22">
        <v>45188</v>
      </c>
      <c r="K29" s="20" t="s">
        <v>99</v>
      </c>
      <c r="L29" s="37">
        <f t="shared" si="0"/>
        <v>1</v>
      </c>
      <c r="M29" s="21"/>
      <c r="N29" s="21"/>
      <c r="O29" s="21"/>
      <c r="P29" s="21"/>
      <c r="Q29" s="21"/>
      <c r="R29" s="41">
        <v>26</v>
      </c>
      <c r="S29" s="25">
        <v>26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42">
        <f t="shared" si="1"/>
        <v>26</v>
      </c>
      <c r="AB29" s="25">
        <v>0</v>
      </c>
      <c r="AC29" s="25">
        <v>0</v>
      </c>
      <c r="AD29" s="25">
        <f t="shared" si="2"/>
        <v>26</v>
      </c>
      <c r="AE29" s="16">
        <v>4400000</v>
      </c>
      <c r="AF29" s="14">
        <f t="shared" si="3"/>
        <v>169230.76923076922</v>
      </c>
      <c r="AG29" s="14">
        <f t="shared" si="4"/>
        <v>21153.846153846152</v>
      </c>
      <c r="AH29" s="19">
        <f t="shared" si="5"/>
        <v>4400000</v>
      </c>
      <c r="AI29" s="14">
        <f t="shared" si="6"/>
        <v>25961.538461538461</v>
      </c>
      <c r="AJ29" s="14">
        <f t="shared" si="7"/>
        <v>6346.1538461538457</v>
      </c>
      <c r="AK29" s="19">
        <f t="shared" si="8"/>
        <v>0</v>
      </c>
      <c r="AL29" s="14">
        <f t="shared" si="9"/>
        <v>0</v>
      </c>
      <c r="AM29" s="14">
        <f t="shared" si="10"/>
        <v>1</v>
      </c>
      <c r="AN29" s="19">
        <f t="shared" si="11"/>
        <v>169230.76923076922</v>
      </c>
      <c r="AO29" s="14">
        <v>0</v>
      </c>
      <c r="AP29" s="14">
        <v>0</v>
      </c>
      <c r="AQ29" s="14">
        <v>0</v>
      </c>
      <c r="AR29" s="18">
        <f t="shared" si="12"/>
        <v>0</v>
      </c>
      <c r="AS29" s="16">
        <f t="shared" si="13"/>
        <v>4569230.769230769</v>
      </c>
      <c r="AT29" s="55">
        <v>0</v>
      </c>
      <c r="AU29" s="14">
        <f t="shared" si="14"/>
        <v>0</v>
      </c>
      <c r="AV29" s="55">
        <v>700000</v>
      </c>
      <c r="AW29" s="14">
        <f t="shared" si="15"/>
        <v>700000</v>
      </c>
      <c r="AX29" s="55">
        <v>0</v>
      </c>
      <c r="AY29" s="14">
        <f t="shared" si="16"/>
        <v>0</v>
      </c>
      <c r="AZ29" s="55">
        <v>0</v>
      </c>
      <c r="BA29" s="14">
        <f t="shared" si="17"/>
        <v>0</v>
      </c>
      <c r="BB29" s="65">
        <v>300000</v>
      </c>
      <c r="BC29" s="14">
        <f t="shared" si="18"/>
        <v>300000</v>
      </c>
      <c r="BD29" s="55">
        <v>0</v>
      </c>
      <c r="BE29" s="14">
        <f t="shared" si="19"/>
        <v>0</v>
      </c>
      <c r="BF29" s="55">
        <v>500000</v>
      </c>
      <c r="BG29" s="14">
        <f t="shared" si="20"/>
        <v>500000</v>
      </c>
      <c r="BH29" s="55">
        <v>150000</v>
      </c>
      <c r="BI29" s="14">
        <f t="shared" si="21"/>
        <v>150000</v>
      </c>
      <c r="BJ29" s="55">
        <v>150000</v>
      </c>
      <c r="BK29" s="14">
        <f t="shared" si="22"/>
        <v>150000</v>
      </c>
      <c r="BL29" s="55">
        <v>300000</v>
      </c>
      <c r="BM29" s="14">
        <f t="shared" si="23"/>
        <v>300000</v>
      </c>
      <c r="BN29" s="14"/>
      <c r="BO29" s="14">
        <f t="shared" si="24"/>
        <v>0</v>
      </c>
      <c r="BP29" s="16">
        <f t="shared" si="25"/>
        <v>2100000</v>
      </c>
      <c r="BQ29" s="16">
        <f t="shared" si="26"/>
        <v>2100000</v>
      </c>
      <c r="BR29" s="25"/>
      <c r="BS29" s="25"/>
      <c r="BT29" s="17">
        <f t="shared" si="27"/>
        <v>0</v>
      </c>
      <c r="BU29" s="14">
        <v>0</v>
      </c>
      <c r="BV29" s="14">
        <v>0</v>
      </c>
      <c r="BW29" s="17">
        <f t="shared" si="28"/>
        <v>0</v>
      </c>
      <c r="BX29" s="14">
        <v>0</v>
      </c>
      <c r="BY29" s="14">
        <v>0</v>
      </c>
      <c r="BZ29" s="17">
        <f t="shared" si="29"/>
        <v>0</v>
      </c>
      <c r="CA29" s="14">
        <v>0</v>
      </c>
      <c r="CB29" s="14">
        <v>0</v>
      </c>
      <c r="CC29" s="17">
        <f t="shared" si="30"/>
        <v>0</v>
      </c>
      <c r="CD29" s="14">
        <v>0</v>
      </c>
      <c r="CE29" s="14">
        <v>0</v>
      </c>
      <c r="CF29" s="17">
        <f t="shared" si="31"/>
        <v>0</v>
      </c>
      <c r="CG29" s="14">
        <v>0</v>
      </c>
      <c r="CH29" s="14">
        <v>0</v>
      </c>
      <c r="CI29" s="17">
        <f t="shared" si="32"/>
        <v>0</v>
      </c>
      <c r="CJ29" s="14">
        <v>0</v>
      </c>
      <c r="CK29" s="14">
        <v>0</v>
      </c>
      <c r="CL29" s="17">
        <f t="shared" si="33"/>
        <v>0</v>
      </c>
      <c r="CM29" s="56">
        <f t="shared" si="34"/>
        <v>0</v>
      </c>
      <c r="CN29" s="17">
        <f t="shared" si="35"/>
        <v>0</v>
      </c>
      <c r="CO29" s="14">
        <f t="shared" si="36"/>
        <v>0</v>
      </c>
      <c r="CP29" s="14">
        <f t="shared" si="37"/>
        <v>0</v>
      </c>
      <c r="CQ29" s="16">
        <f t="shared" si="38"/>
        <v>5400000</v>
      </c>
      <c r="CR29" s="14">
        <f t="shared" si="51"/>
        <v>432000</v>
      </c>
      <c r="CS29" s="14">
        <f t="shared" si="51"/>
        <v>81000</v>
      </c>
      <c r="CT29" s="14">
        <f t="shared" si="51"/>
        <v>54000</v>
      </c>
      <c r="CU29" s="14">
        <f t="shared" si="51"/>
        <v>944999.99999999988</v>
      </c>
      <c r="CV29" s="14">
        <f t="shared" si="51"/>
        <v>162000</v>
      </c>
      <c r="CW29" s="14">
        <f t="shared" si="51"/>
        <v>54000</v>
      </c>
      <c r="CX29" s="16">
        <f t="shared" si="40"/>
        <v>567000</v>
      </c>
      <c r="CY29" s="16">
        <f t="shared" si="41"/>
        <v>1161000</v>
      </c>
      <c r="CZ29" s="14">
        <v>30000</v>
      </c>
      <c r="DA29" s="16">
        <f t="shared" si="42"/>
        <v>108000</v>
      </c>
      <c r="DB29" s="43">
        <f t="shared" si="49"/>
        <v>6669230.769230769</v>
      </c>
      <c r="DC29" s="15">
        <f t="shared" si="43"/>
        <v>0</v>
      </c>
      <c r="DD29" s="15">
        <v>0</v>
      </c>
      <c r="DE29" s="14">
        <f t="shared" si="44"/>
        <v>0</v>
      </c>
      <c r="DF29" s="14">
        <f t="shared" si="45"/>
        <v>0</v>
      </c>
      <c r="DG29" s="43">
        <f t="shared" si="46"/>
        <v>6072230.769230769</v>
      </c>
      <c r="DH29" s="14">
        <v>0</v>
      </c>
      <c r="DI29" s="14">
        <v>0</v>
      </c>
      <c r="DJ29" s="14">
        <v>0</v>
      </c>
      <c r="DK29" s="14">
        <v>0</v>
      </c>
      <c r="DL29" s="14">
        <f t="shared" si="47"/>
        <v>0</v>
      </c>
      <c r="DM29" s="14">
        <v>0</v>
      </c>
      <c r="DN29" s="44">
        <f t="shared" si="48"/>
        <v>6072231</v>
      </c>
      <c r="DO29" s="64"/>
      <c r="DP29" s="64"/>
      <c r="DQ29" s="64"/>
      <c r="DR29" s="64"/>
    </row>
    <row r="30" spans="1:122" s="13" customFormat="1" ht="46.15" customHeight="1">
      <c r="A30" s="37">
        <v>23</v>
      </c>
      <c r="B30" s="23" t="s">
        <v>171</v>
      </c>
      <c r="C30" s="23">
        <v>74</v>
      </c>
      <c r="D30" s="38" t="s">
        <v>183</v>
      </c>
      <c r="E30" s="24" t="s">
        <v>195</v>
      </c>
      <c r="F30" s="23" t="s">
        <v>141</v>
      </c>
      <c r="G30" s="23" t="s">
        <v>104</v>
      </c>
      <c r="H30" s="22">
        <v>34716</v>
      </c>
      <c r="I30" s="22">
        <v>45189</v>
      </c>
      <c r="J30" s="22">
        <v>45194</v>
      </c>
      <c r="K30" s="20" t="s">
        <v>99</v>
      </c>
      <c r="L30" s="37">
        <f t="shared" si="0"/>
        <v>1</v>
      </c>
      <c r="M30" s="21"/>
      <c r="N30" s="21"/>
      <c r="O30" s="21"/>
      <c r="P30" s="21"/>
      <c r="Q30" s="21"/>
      <c r="R30" s="41">
        <v>26</v>
      </c>
      <c r="S30" s="25">
        <v>26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42">
        <f t="shared" si="1"/>
        <v>26</v>
      </c>
      <c r="AB30" s="25">
        <v>0</v>
      </c>
      <c r="AC30" s="25">
        <v>0</v>
      </c>
      <c r="AD30" s="25">
        <f t="shared" si="2"/>
        <v>26</v>
      </c>
      <c r="AE30" s="16">
        <v>4400000</v>
      </c>
      <c r="AF30" s="14">
        <f t="shared" si="3"/>
        <v>169230.76923076922</v>
      </c>
      <c r="AG30" s="14">
        <f t="shared" si="4"/>
        <v>21153.846153846152</v>
      </c>
      <c r="AH30" s="19">
        <f t="shared" si="5"/>
        <v>4400000</v>
      </c>
      <c r="AI30" s="14">
        <f t="shared" si="6"/>
        <v>25961.538461538461</v>
      </c>
      <c r="AJ30" s="14">
        <f t="shared" si="7"/>
        <v>6346.1538461538457</v>
      </c>
      <c r="AK30" s="19">
        <f t="shared" si="8"/>
        <v>0</v>
      </c>
      <c r="AL30" s="14">
        <f t="shared" si="9"/>
        <v>0</v>
      </c>
      <c r="AM30" s="14">
        <f t="shared" si="10"/>
        <v>1</v>
      </c>
      <c r="AN30" s="19">
        <f t="shared" si="11"/>
        <v>169230.76923076922</v>
      </c>
      <c r="AO30" s="14">
        <v>0</v>
      </c>
      <c r="AP30" s="14">
        <v>0</v>
      </c>
      <c r="AQ30" s="14">
        <v>0</v>
      </c>
      <c r="AR30" s="18">
        <f t="shared" si="12"/>
        <v>0</v>
      </c>
      <c r="AS30" s="16">
        <f t="shared" si="13"/>
        <v>4569230.769230769</v>
      </c>
      <c r="AT30" s="55">
        <v>0</v>
      </c>
      <c r="AU30" s="14">
        <f t="shared" si="14"/>
        <v>0</v>
      </c>
      <c r="AV30" s="55">
        <v>700000</v>
      </c>
      <c r="AW30" s="14">
        <f t="shared" si="15"/>
        <v>700000</v>
      </c>
      <c r="AX30" s="55">
        <v>0</v>
      </c>
      <c r="AY30" s="14">
        <f t="shared" si="16"/>
        <v>0</v>
      </c>
      <c r="AZ30" s="55">
        <v>0</v>
      </c>
      <c r="BA30" s="14">
        <f t="shared" si="17"/>
        <v>0</v>
      </c>
      <c r="BB30" s="65">
        <v>300000</v>
      </c>
      <c r="BC30" s="14">
        <f t="shared" si="18"/>
        <v>300000</v>
      </c>
      <c r="BD30" s="55">
        <v>0</v>
      </c>
      <c r="BE30" s="14">
        <f t="shared" si="19"/>
        <v>0</v>
      </c>
      <c r="BF30" s="55">
        <v>500000</v>
      </c>
      <c r="BG30" s="14">
        <f t="shared" si="20"/>
        <v>500000</v>
      </c>
      <c r="BH30" s="55">
        <v>150000</v>
      </c>
      <c r="BI30" s="14">
        <f t="shared" si="21"/>
        <v>150000</v>
      </c>
      <c r="BJ30" s="55">
        <v>150000</v>
      </c>
      <c r="BK30" s="14">
        <f t="shared" si="22"/>
        <v>150000</v>
      </c>
      <c r="BL30" s="55">
        <v>300000</v>
      </c>
      <c r="BM30" s="14">
        <f t="shared" si="23"/>
        <v>300000</v>
      </c>
      <c r="BN30" s="14"/>
      <c r="BO30" s="14">
        <f t="shared" si="24"/>
        <v>31730.769230769227</v>
      </c>
      <c r="BP30" s="16">
        <f t="shared" si="25"/>
        <v>2100000</v>
      </c>
      <c r="BQ30" s="16">
        <f t="shared" si="26"/>
        <v>2131730.769230769</v>
      </c>
      <c r="BR30" s="25"/>
      <c r="BS30" s="25"/>
      <c r="BT30" s="17">
        <f t="shared" si="27"/>
        <v>0</v>
      </c>
      <c r="BU30" s="14">
        <v>0</v>
      </c>
      <c r="BV30" s="14">
        <v>0</v>
      </c>
      <c r="BW30" s="17">
        <f t="shared" si="28"/>
        <v>0</v>
      </c>
      <c r="BX30" s="14">
        <v>0</v>
      </c>
      <c r="BY30" s="14">
        <v>0</v>
      </c>
      <c r="BZ30" s="17">
        <f t="shared" si="29"/>
        <v>0</v>
      </c>
      <c r="CA30" s="14">
        <v>0</v>
      </c>
      <c r="CB30" s="14">
        <v>0</v>
      </c>
      <c r="CC30" s="17">
        <f t="shared" si="30"/>
        <v>0</v>
      </c>
      <c r="CD30" s="14">
        <v>0</v>
      </c>
      <c r="CE30" s="14">
        <v>0</v>
      </c>
      <c r="CF30" s="17">
        <f t="shared" si="31"/>
        <v>0</v>
      </c>
      <c r="CG30" s="14">
        <v>0</v>
      </c>
      <c r="CH30" s="14">
        <v>0</v>
      </c>
      <c r="CI30" s="17">
        <f t="shared" si="32"/>
        <v>0</v>
      </c>
      <c r="CJ30" s="14">
        <v>0</v>
      </c>
      <c r="CK30" s="14">
        <v>0</v>
      </c>
      <c r="CL30" s="17">
        <f t="shared" si="33"/>
        <v>0</v>
      </c>
      <c r="CM30" s="56">
        <f t="shared" si="34"/>
        <v>0</v>
      </c>
      <c r="CN30" s="17">
        <f t="shared" si="35"/>
        <v>0</v>
      </c>
      <c r="CO30" s="14">
        <f t="shared" si="36"/>
        <v>0</v>
      </c>
      <c r="CP30" s="14">
        <f t="shared" si="37"/>
        <v>0</v>
      </c>
      <c r="CQ30" s="16">
        <f t="shared" si="38"/>
        <v>5400000</v>
      </c>
      <c r="CR30" s="14">
        <f t="shared" si="51"/>
        <v>432000</v>
      </c>
      <c r="CS30" s="14">
        <f t="shared" si="51"/>
        <v>81000</v>
      </c>
      <c r="CT30" s="14">
        <f t="shared" si="51"/>
        <v>54000</v>
      </c>
      <c r="CU30" s="14">
        <f t="shared" si="51"/>
        <v>944999.99999999988</v>
      </c>
      <c r="CV30" s="14">
        <f t="shared" si="51"/>
        <v>162000</v>
      </c>
      <c r="CW30" s="14">
        <f t="shared" si="51"/>
        <v>54000</v>
      </c>
      <c r="CX30" s="16">
        <f t="shared" si="40"/>
        <v>567000</v>
      </c>
      <c r="CY30" s="16">
        <f t="shared" si="41"/>
        <v>1161000</v>
      </c>
      <c r="CZ30" s="14">
        <v>30000</v>
      </c>
      <c r="DA30" s="16">
        <f t="shared" si="42"/>
        <v>108000</v>
      </c>
      <c r="DB30" s="43">
        <f t="shared" si="49"/>
        <v>6700961.538461538</v>
      </c>
      <c r="DC30" s="15">
        <f t="shared" si="43"/>
        <v>0</v>
      </c>
      <c r="DD30" s="15">
        <v>0</v>
      </c>
      <c r="DE30" s="14">
        <f t="shared" si="44"/>
        <v>0</v>
      </c>
      <c r="DF30" s="14">
        <f t="shared" si="45"/>
        <v>0</v>
      </c>
      <c r="DG30" s="43">
        <f t="shared" si="46"/>
        <v>6103961.538461538</v>
      </c>
      <c r="DH30" s="14">
        <v>0</v>
      </c>
      <c r="DI30" s="14">
        <v>0</v>
      </c>
      <c r="DJ30" s="14">
        <v>0</v>
      </c>
      <c r="DK30" s="14">
        <v>0</v>
      </c>
      <c r="DL30" s="14">
        <f t="shared" si="47"/>
        <v>0</v>
      </c>
      <c r="DM30" s="14">
        <v>0</v>
      </c>
      <c r="DN30" s="44">
        <f t="shared" si="48"/>
        <v>6103962</v>
      </c>
      <c r="DO30" s="64"/>
      <c r="DP30" s="64"/>
      <c r="DQ30" s="64"/>
      <c r="DR30" s="64"/>
    </row>
    <row r="31" spans="1:122" s="13" customFormat="1" ht="46.15" customHeight="1">
      <c r="A31" s="37">
        <v>24</v>
      </c>
      <c r="B31" s="23" t="s">
        <v>172</v>
      </c>
      <c r="C31" s="23">
        <v>76</v>
      </c>
      <c r="D31" s="38" t="s">
        <v>184</v>
      </c>
      <c r="E31" s="24" t="s">
        <v>196</v>
      </c>
      <c r="F31" s="23" t="s">
        <v>141</v>
      </c>
      <c r="G31" s="23" t="s">
        <v>104</v>
      </c>
      <c r="H31" s="22">
        <v>35937</v>
      </c>
      <c r="I31" s="22">
        <v>45194</v>
      </c>
      <c r="J31" s="22">
        <v>45199</v>
      </c>
      <c r="K31" s="20" t="s">
        <v>99</v>
      </c>
      <c r="L31" s="37">
        <f t="shared" si="0"/>
        <v>1</v>
      </c>
      <c r="M31" s="21"/>
      <c r="N31" s="21"/>
      <c r="O31" s="21"/>
      <c r="P31" s="21"/>
      <c r="Q31" s="21"/>
      <c r="R31" s="41">
        <v>26</v>
      </c>
      <c r="S31" s="25">
        <v>26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42">
        <f t="shared" si="1"/>
        <v>26</v>
      </c>
      <c r="AB31" s="25">
        <v>0</v>
      </c>
      <c r="AC31" s="25">
        <v>0</v>
      </c>
      <c r="AD31" s="25">
        <f t="shared" si="2"/>
        <v>26</v>
      </c>
      <c r="AE31" s="16">
        <v>4400000</v>
      </c>
      <c r="AF31" s="14">
        <f t="shared" si="3"/>
        <v>169230.76923076922</v>
      </c>
      <c r="AG31" s="14">
        <f t="shared" si="4"/>
        <v>21153.846153846152</v>
      </c>
      <c r="AH31" s="19">
        <f t="shared" si="5"/>
        <v>4400000</v>
      </c>
      <c r="AI31" s="14">
        <f t="shared" si="6"/>
        <v>25961.538461538461</v>
      </c>
      <c r="AJ31" s="14">
        <f t="shared" si="7"/>
        <v>6346.1538461538457</v>
      </c>
      <c r="AK31" s="19">
        <f t="shared" si="8"/>
        <v>0</v>
      </c>
      <c r="AL31" s="14">
        <f t="shared" si="9"/>
        <v>0</v>
      </c>
      <c r="AM31" s="14">
        <f t="shared" si="10"/>
        <v>1</v>
      </c>
      <c r="AN31" s="19">
        <f t="shared" si="11"/>
        <v>169230.76923076922</v>
      </c>
      <c r="AO31" s="14">
        <v>0</v>
      </c>
      <c r="AP31" s="14">
        <v>0</v>
      </c>
      <c r="AQ31" s="14">
        <v>0</v>
      </c>
      <c r="AR31" s="18">
        <f t="shared" si="12"/>
        <v>0</v>
      </c>
      <c r="AS31" s="16">
        <f t="shared" si="13"/>
        <v>4569230.769230769</v>
      </c>
      <c r="AT31" s="55">
        <v>0</v>
      </c>
      <c r="AU31" s="14">
        <f t="shared" si="14"/>
        <v>0</v>
      </c>
      <c r="AV31" s="55">
        <v>700000</v>
      </c>
      <c r="AW31" s="14">
        <f t="shared" si="15"/>
        <v>700000</v>
      </c>
      <c r="AX31" s="55">
        <v>0</v>
      </c>
      <c r="AY31" s="14">
        <f t="shared" si="16"/>
        <v>0</v>
      </c>
      <c r="AZ31" s="55">
        <v>0</v>
      </c>
      <c r="BA31" s="14">
        <f t="shared" si="17"/>
        <v>0</v>
      </c>
      <c r="BB31" s="65">
        <v>300000</v>
      </c>
      <c r="BC31" s="14">
        <f t="shared" si="18"/>
        <v>300000</v>
      </c>
      <c r="BD31" s="55">
        <v>0</v>
      </c>
      <c r="BE31" s="14">
        <f t="shared" si="19"/>
        <v>0</v>
      </c>
      <c r="BF31" s="55">
        <v>500000</v>
      </c>
      <c r="BG31" s="14">
        <f t="shared" si="20"/>
        <v>500000</v>
      </c>
      <c r="BH31" s="55">
        <v>150000</v>
      </c>
      <c r="BI31" s="14">
        <f t="shared" si="21"/>
        <v>150000</v>
      </c>
      <c r="BJ31" s="55">
        <v>150000</v>
      </c>
      <c r="BK31" s="14">
        <f t="shared" si="22"/>
        <v>150000</v>
      </c>
      <c r="BL31" s="55">
        <v>300000</v>
      </c>
      <c r="BM31" s="14">
        <f t="shared" si="23"/>
        <v>300000</v>
      </c>
      <c r="BN31" s="14"/>
      <c r="BO31" s="14">
        <f t="shared" si="24"/>
        <v>31730.769230769227</v>
      </c>
      <c r="BP31" s="16">
        <f t="shared" si="25"/>
        <v>2100000</v>
      </c>
      <c r="BQ31" s="16">
        <f t="shared" si="26"/>
        <v>2131730.769230769</v>
      </c>
      <c r="BR31" s="25"/>
      <c r="BS31" s="25"/>
      <c r="BT31" s="17">
        <f t="shared" si="27"/>
        <v>0</v>
      </c>
      <c r="BU31" s="14">
        <v>0</v>
      </c>
      <c r="BV31" s="14">
        <v>0</v>
      </c>
      <c r="BW31" s="17">
        <f t="shared" si="28"/>
        <v>0</v>
      </c>
      <c r="BX31" s="14">
        <v>0</v>
      </c>
      <c r="BY31" s="14">
        <v>0</v>
      </c>
      <c r="BZ31" s="17">
        <f t="shared" si="29"/>
        <v>0</v>
      </c>
      <c r="CA31" s="14">
        <v>0</v>
      </c>
      <c r="CB31" s="14">
        <v>0</v>
      </c>
      <c r="CC31" s="17">
        <f t="shared" si="30"/>
        <v>0</v>
      </c>
      <c r="CD31" s="14">
        <v>0</v>
      </c>
      <c r="CE31" s="14">
        <v>0</v>
      </c>
      <c r="CF31" s="17">
        <f t="shared" si="31"/>
        <v>0</v>
      </c>
      <c r="CG31" s="14">
        <v>0</v>
      </c>
      <c r="CH31" s="14">
        <v>0</v>
      </c>
      <c r="CI31" s="17">
        <f t="shared" si="32"/>
        <v>0</v>
      </c>
      <c r="CJ31" s="14">
        <v>0</v>
      </c>
      <c r="CK31" s="14">
        <v>0</v>
      </c>
      <c r="CL31" s="17">
        <f t="shared" si="33"/>
        <v>0</v>
      </c>
      <c r="CM31" s="56">
        <f t="shared" si="34"/>
        <v>0</v>
      </c>
      <c r="CN31" s="17">
        <f t="shared" si="35"/>
        <v>0</v>
      </c>
      <c r="CO31" s="14">
        <f t="shared" si="36"/>
        <v>0</v>
      </c>
      <c r="CP31" s="14">
        <f t="shared" si="37"/>
        <v>0</v>
      </c>
      <c r="CQ31" s="16">
        <f t="shared" si="38"/>
        <v>5400000</v>
      </c>
      <c r="CR31" s="14">
        <f t="shared" si="51"/>
        <v>432000</v>
      </c>
      <c r="CS31" s="14">
        <f t="shared" si="51"/>
        <v>81000</v>
      </c>
      <c r="CT31" s="14">
        <f t="shared" si="51"/>
        <v>54000</v>
      </c>
      <c r="CU31" s="14">
        <f t="shared" si="51"/>
        <v>944999.99999999988</v>
      </c>
      <c r="CV31" s="14">
        <f t="shared" si="51"/>
        <v>162000</v>
      </c>
      <c r="CW31" s="14">
        <f t="shared" si="51"/>
        <v>54000</v>
      </c>
      <c r="CX31" s="16">
        <f t="shared" si="40"/>
        <v>567000</v>
      </c>
      <c r="CY31" s="16">
        <f t="shared" si="41"/>
        <v>1161000</v>
      </c>
      <c r="CZ31" s="14">
        <v>30000</v>
      </c>
      <c r="DA31" s="16">
        <f t="shared" si="42"/>
        <v>108000</v>
      </c>
      <c r="DB31" s="43">
        <f t="shared" si="49"/>
        <v>6700961.538461538</v>
      </c>
      <c r="DC31" s="15">
        <f t="shared" si="43"/>
        <v>0</v>
      </c>
      <c r="DD31" s="15">
        <v>0</v>
      </c>
      <c r="DE31" s="14">
        <f t="shared" si="44"/>
        <v>0</v>
      </c>
      <c r="DF31" s="14">
        <f t="shared" si="45"/>
        <v>0</v>
      </c>
      <c r="DG31" s="43">
        <f t="shared" si="46"/>
        <v>6103961.538461538</v>
      </c>
      <c r="DH31" s="14">
        <v>0</v>
      </c>
      <c r="DI31" s="14">
        <v>0</v>
      </c>
      <c r="DJ31" s="14">
        <v>0</v>
      </c>
      <c r="DK31" s="14">
        <v>0</v>
      </c>
      <c r="DL31" s="14">
        <f t="shared" si="47"/>
        <v>0</v>
      </c>
      <c r="DM31" s="14">
        <v>0</v>
      </c>
      <c r="DN31" s="44">
        <f t="shared" si="48"/>
        <v>6103962</v>
      </c>
      <c r="DO31" s="64"/>
      <c r="DP31" s="64"/>
      <c r="DQ31" s="64"/>
      <c r="DR31" s="64"/>
    </row>
    <row r="32" spans="1:122" s="13" customFormat="1" ht="46.15" customHeight="1">
      <c r="A32" s="37">
        <v>25</v>
      </c>
      <c r="B32" s="23" t="s">
        <v>173</v>
      </c>
      <c r="C32" s="23">
        <v>77</v>
      </c>
      <c r="D32" s="38" t="s">
        <v>185</v>
      </c>
      <c r="E32" s="24" t="s">
        <v>197</v>
      </c>
      <c r="F32" s="23" t="s">
        <v>141</v>
      </c>
      <c r="G32" s="23" t="s">
        <v>104</v>
      </c>
      <c r="H32" s="22">
        <v>37854</v>
      </c>
      <c r="I32" s="22">
        <v>45194</v>
      </c>
      <c r="J32" s="22">
        <v>45199</v>
      </c>
      <c r="K32" s="20" t="s">
        <v>99</v>
      </c>
      <c r="L32" s="37">
        <f t="shared" si="0"/>
        <v>1</v>
      </c>
      <c r="M32" s="21"/>
      <c r="N32" s="21"/>
      <c r="O32" s="21"/>
      <c r="P32" s="21"/>
      <c r="Q32" s="21"/>
      <c r="R32" s="41">
        <v>26</v>
      </c>
      <c r="S32" s="25">
        <v>26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42">
        <f t="shared" si="1"/>
        <v>26</v>
      </c>
      <c r="AB32" s="25">
        <v>0</v>
      </c>
      <c r="AC32" s="25">
        <v>0</v>
      </c>
      <c r="AD32" s="25">
        <f t="shared" si="2"/>
        <v>26</v>
      </c>
      <c r="AE32" s="16">
        <v>4400000</v>
      </c>
      <c r="AF32" s="14">
        <f t="shared" si="3"/>
        <v>169230.76923076922</v>
      </c>
      <c r="AG32" s="14">
        <f t="shared" si="4"/>
        <v>21153.846153846152</v>
      </c>
      <c r="AH32" s="19">
        <f t="shared" si="5"/>
        <v>4400000</v>
      </c>
      <c r="AI32" s="14">
        <f t="shared" si="6"/>
        <v>25961.538461538461</v>
      </c>
      <c r="AJ32" s="14">
        <f t="shared" si="7"/>
        <v>6346.1538461538457</v>
      </c>
      <c r="AK32" s="19">
        <f t="shared" si="8"/>
        <v>0</v>
      </c>
      <c r="AL32" s="14">
        <f t="shared" si="9"/>
        <v>0</v>
      </c>
      <c r="AM32" s="14">
        <f t="shared" si="10"/>
        <v>1</v>
      </c>
      <c r="AN32" s="19">
        <f t="shared" si="11"/>
        <v>169230.76923076922</v>
      </c>
      <c r="AO32" s="14">
        <v>0</v>
      </c>
      <c r="AP32" s="14">
        <v>0</v>
      </c>
      <c r="AQ32" s="14">
        <v>0</v>
      </c>
      <c r="AR32" s="18">
        <f t="shared" si="12"/>
        <v>0</v>
      </c>
      <c r="AS32" s="16">
        <f t="shared" si="13"/>
        <v>4569230.769230769</v>
      </c>
      <c r="AT32" s="55">
        <v>0</v>
      </c>
      <c r="AU32" s="14">
        <f t="shared" si="14"/>
        <v>0</v>
      </c>
      <c r="AV32" s="55">
        <v>700000</v>
      </c>
      <c r="AW32" s="14">
        <f t="shared" si="15"/>
        <v>700000</v>
      </c>
      <c r="AX32" s="55">
        <v>0</v>
      </c>
      <c r="AY32" s="14">
        <f t="shared" si="16"/>
        <v>0</v>
      </c>
      <c r="AZ32" s="55">
        <v>0</v>
      </c>
      <c r="BA32" s="14">
        <f t="shared" si="17"/>
        <v>0</v>
      </c>
      <c r="BB32" s="65">
        <v>300000</v>
      </c>
      <c r="BC32" s="14">
        <f t="shared" si="18"/>
        <v>300000</v>
      </c>
      <c r="BD32" s="55">
        <v>0</v>
      </c>
      <c r="BE32" s="14">
        <f t="shared" si="19"/>
        <v>0</v>
      </c>
      <c r="BF32" s="55">
        <v>500000</v>
      </c>
      <c r="BG32" s="14">
        <f t="shared" si="20"/>
        <v>500000</v>
      </c>
      <c r="BH32" s="55">
        <v>150000</v>
      </c>
      <c r="BI32" s="14">
        <f t="shared" si="21"/>
        <v>150000</v>
      </c>
      <c r="BJ32" s="55">
        <v>150000</v>
      </c>
      <c r="BK32" s="14">
        <f t="shared" si="22"/>
        <v>150000</v>
      </c>
      <c r="BL32" s="55">
        <v>300000</v>
      </c>
      <c r="BM32" s="14">
        <f t="shared" si="23"/>
        <v>300000</v>
      </c>
      <c r="BN32" s="14"/>
      <c r="BO32" s="14">
        <f t="shared" si="24"/>
        <v>31730.769230769227</v>
      </c>
      <c r="BP32" s="16">
        <f t="shared" si="25"/>
        <v>2100000</v>
      </c>
      <c r="BQ32" s="16">
        <f t="shared" si="26"/>
        <v>2131730.769230769</v>
      </c>
      <c r="BR32" s="25"/>
      <c r="BS32" s="25"/>
      <c r="BT32" s="17">
        <f t="shared" si="27"/>
        <v>0</v>
      </c>
      <c r="BU32" s="14">
        <v>0</v>
      </c>
      <c r="BV32" s="14">
        <v>0</v>
      </c>
      <c r="BW32" s="17">
        <f t="shared" si="28"/>
        <v>0</v>
      </c>
      <c r="BX32" s="14">
        <v>0</v>
      </c>
      <c r="BY32" s="14">
        <v>0</v>
      </c>
      <c r="BZ32" s="17">
        <f t="shared" si="29"/>
        <v>0</v>
      </c>
      <c r="CA32" s="14">
        <v>0</v>
      </c>
      <c r="CB32" s="14">
        <v>0</v>
      </c>
      <c r="CC32" s="17">
        <f t="shared" si="30"/>
        <v>0</v>
      </c>
      <c r="CD32" s="14">
        <v>0</v>
      </c>
      <c r="CE32" s="14">
        <v>0</v>
      </c>
      <c r="CF32" s="17">
        <f t="shared" si="31"/>
        <v>0</v>
      </c>
      <c r="CG32" s="14">
        <v>0</v>
      </c>
      <c r="CH32" s="14">
        <v>0</v>
      </c>
      <c r="CI32" s="17">
        <f t="shared" si="32"/>
        <v>0</v>
      </c>
      <c r="CJ32" s="14">
        <v>0</v>
      </c>
      <c r="CK32" s="14">
        <v>0</v>
      </c>
      <c r="CL32" s="17">
        <f t="shared" si="33"/>
        <v>0</v>
      </c>
      <c r="CM32" s="56">
        <f t="shared" si="34"/>
        <v>0</v>
      </c>
      <c r="CN32" s="17">
        <f t="shared" si="35"/>
        <v>0</v>
      </c>
      <c r="CO32" s="14">
        <f t="shared" si="36"/>
        <v>0</v>
      </c>
      <c r="CP32" s="14">
        <f t="shared" si="37"/>
        <v>0</v>
      </c>
      <c r="CQ32" s="16">
        <f t="shared" si="38"/>
        <v>5400000</v>
      </c>
      <c r="CR32" s="14">
        <f t="shared" si="51"/>
        <v>432000</v>
      </c>
      <c r="CS32" s="14">
        <f t="shared" si="51"/>
        <v>81000</v>
      </c>
      <c r="CT32" s="14">
        <f t="shared" si="51"/>
        <v>54000</v>
      </c>
      <c r="CU32" s="14">
        <f t="shared" si="51"/>
        <v>944999.99999999988</v>
      </c>
      <c r="CV32" s="14">
        <f t="shared" si="51"/>
        <v>162000</v>
      </c>
      <c r="CW32" s="14">
        <f t="shared" si="51"/>
        <v>54000</v>
      </c>
      <c r="CX32" s="16">
        <f t="shared" si="40"/>
        <v>567000</v>
      </c>
      <c r="CY32" s="16">
        <f t="shared" si="41"/>
        <v>1161000</v>
      </c>
      <c r="CZ32" s="14">
        <v>30000</v>
      </c>
      <c r="DA32" s="16">
        <f t="shared" si="42"/>
        <v>108000</v>
      </c>
      <c r="DB32" s="43">
        <f t="shared" si="49"/>
        <v>6700961.538461538</v>
      </c>
      <c r="DC32" s="15">
        <f t="shared" si="43"/>
        <v>0</v>
      </c>
      <c r="DD32" s="15">
        <v>0</v>
      </c>
      <c r="DE32" s="14">
        <f t="shared" si="44"/>
        <v>0</v>
      </c>
      <c r="DF32" s="14">
        <f t="shared" si="45"/>
        <v>0</v>
      </c>
      <c r="DG32" s="43">
        <f t="shared" si="46"/>
        <v>6103961.538461538</v>
      </c>
      <c r="DH32" s="14">
        <v>0</v>
      </c>
      <c r="DI32" s="14">
        <v>0</v>
      </c>
      <c r="DJ32" s="14">
        <v>0</v>
      </c>
      <c r="DK32" s="14">
        <v>0</v>
      </c>
      <c r="DL32" s="14">
        <f t="shared" si="47"/>
        <v>0</v>
      </c>
      <c r="DM32" s="14">
        <v>0</v>
      </c>
      <c r="DN32" s="44">
        <f t="shared" si="48"/>
        <v>6103962</v>
      </c>
      <c r="DO32" s="64"/>
      <c r="DP32" s="64"/>
      <c r="DQ32" s="64"/>
      <c r="DR32" s="64"/>
    </row>
    <row r="33" spans="1:122" s="13" customFormat="1" ht="46.15" customHeight="1">
      <c r="A33" s="37">
        <v>26</v>
      </c>
      <c r="B33" s="23" t="s">
        <v>174</v>
      </c>
      <c r="C33" s="23">
        <v>78</v>
      </c>
      <c r="D33" s="38" t="s">
        <v>186</v>
      </c>
      <c r="E33" s="24" t="s">
        <v>198</v>
      </c>
      <c r="F33" s="23" t="s">
        <v>203</v>
      </c>
      <c r="G33" s="23" t="s">
        <v>3</v>
      </c>
      <c r="H33" s="22">
        <v>35412</v>
      </c>
      <c r="I33" s="22">
        <v>45194</v>
      </c>
      <c r="J33" s="22">
        <v>45199</v>
      </c>
      <c r="K33" s="20" t="s">
        <v>99</v>
      </c>
      <c r="L33" s="37">
        <f t="shared" si="0"/>
        <v>1</v>
      </c>
      <c r="M33" s="21"/>
      <c r="N33" s="21"/>
      <c r="O33" s="21"/>
      <c r="P33" s="21"/>
      <c r="Q33" s="21"/>
      <c r="R33" s="41">
        <v>26</v>
      </c>
      <c r="S33" s="25">
        <v>26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42">
        <f t="shared" si="1"/>
        <v>26</v>
      </c>
      <c r="AB33" s="25">
        <v>0</v>
      </c>
      <c r="AC33" s="25">
        <v>0</v>
      </c>
      <c r="AD33" s="25">
        <f t="shared" si="2"/>
        <v>26</v>
      </c>
      <c r="AE33" s="16">
        <v>4400000</v>
      </c>
      <c r="AF33" s="14">
        <f t="shared" si="3"/>
        <v>169230.76923076922</v>
      </c>
      <c r="AG33" s="14">
        <f t="shared" si="4"/>
        <v>21153.846153846152</v>
      </c>
      <c r="AH33" s="19">
        <f t="shared" si="5"/>
        <v>4400000</v>
      </c>
      <c r="AI33" s="14">
        <f t="shared" si="6"/>
        <v>24519.23076923077</v>
      </c>
      <c r="AJ33" s="14">
        <f t="shared" si="7"/>
        <v>6346.1538461538457</v>
      </c>
      <c r="AK33" s="19">
        <f t="shared" si="8"/>
        <v>0</v>
      </c>
      <c r="AL33" s="14">
        <f t="shared" si="9"/>
        <v>0</v>
      </c>
      <c r="AM33" s="14">
        <f t="shared" si="10"/>
        <v>1</v>
      </c>
      <c r="AN33" s="19">
        <f t="shared" si="11"/>
        <v>169230.76923076922</v>
      </c>
      <c r="AO33" s="14">
        <v>0</v>
      </c>
      <c r="AP33" s="14">
        <v>0</v>
      </c>
      <c r="AQ33" s="14">
        <v>0</v>
      </c>
      <c r="AR33" s="18">
        <f t="shared" si="12"/>
        <v>0</v>
      </c>
      <c r="AS33" s="16">
        <f t="shared" si="13"/>
        <v>4569230.769230769</v>
      </c>
      <c r="AT33" s="55">
        <v>0</v>
      </c>
      <c r="AU33" s="14">
        <f t="shared" si="14"/>
        <v>0</v>
      </c>
      <c r="AV33" s="55">
        <v>700000</v>
      </c>
      <c r="AW33" s="14">
        <f t="shared" si="15"/>
        <v>700000</v>
      </c>
      <c r="AX33" s="55">
        <v>0</v>
      </c>
      <c r="AY33" s="14">
        <f t="shared" si="16"/>
        <v>0</v>
      </c>
      <c r="AZ33" s="55">
        <v>0</v>
      </c>
      <c r="BA33" s="14">
        <f t="shared" si="17"/>
        <v>0</v>
      </c>
      <c r="BB33" s="65">
        <v>0</v>
      </c>
      <c r="BC33" s="14">
        <f t="shared" si="18"/>
        <v>0</v>
      </c>
      <c r="BD33" s="55">
        <v>0</v>
      </c>
      <c r="BE33" s="14">
        <f t="shared" si="19"/>
        <v>0</v>
      </c>
      <c r="BF33" s="55">
        <v>500000</v>
      </c>
      <c r="BG33" s="14">
        <f t="shared" si="20"/>
        <v>500000</v>
      </c>
      <c r="BH33" s="55">
        <v>150000</v>
      </c>
      <c r="BI33" s="14">
        <f t="shared" si="21"/>
        <v>150000</v>
      </c>
      <c r="BJ33" s="55">
        <v>150000</v>
      </c>
      <c r="BK33" s="14">
        <f t="shared" si="22"/>
        <v>150000</v>
      </c>
      <c r="BL33" s="55">
        <v>300000</v>
      </c>
      <c r="BM33" s="14">
        <f t="shared" si="23"/>
        <v>300000</v>
      </c>
      <c r="BN33" s="14"/>
      <c r="BO33" s="14">
        <f t="shared" si="24"/>
        <v>0</v>
      </c>
      <c r="BP33" s="16">
        <f t="shared" si="25"/>
        <v>1800000</v>
      </c>
      <c r="BQ33" s="16">
        <f t="shared" si="26"/>
        <v>1800000</v>
      </c>
      <c r="BR33" s="25"/>
      <c r="BS33" s="25"/>
      <c r="BT33" s="17">
        <f t="shared" si="27"/>
        <v>0</v>
      </c>
      <c r="BU33" s="14">
        <v>0</v>
      </c>
      <c r="BV33" s="14">
        <v>0</v>
      </c>
      <c r="BW33" s="17">
        <f t="shared" si="28"/>
        <v>0</v>
      </c>
      <c r="BX33" s="14">
        <v>0</v>
      </c>
      <c r="BY33" s="14">
        <v>0</v>
      </c>
      <c r="BZ33" s="17">
        <f t="shared" si="29"/>
        <v>0</v>
      </c>
      <c r="CA33" s="14">
        <v>0</v>
      </c>
      <c r="CB33" s="14">
        <v>0</v>
      </c>
      <c r="CC33" s="17">
        <f t="shared" si="30"/>
        <v>0</v>
      </c>
      <c r="CD33" s="14">
        <v>0</v>
      </c>
      <c r="CE33" s="14">
        <v>0</v>
      </c>
      <c r="CF33" s="17">
        <f t="shared" si="31"/>
        <v>0</v>
      </c>
      <c r="CG33" s="14">
        <v>0</v>
      </c>
      <c r="CH33" s="14">
        <v>0</v>
      </c>
      <c r="CI33" s="17">
        <f t="shared" si="32"/>
        <v>0</v>
      </c>
      <c r="CJ33" s="14">
        <v>0</v>
      </c>
      <c r="CK33" s="14">
        <v>0</v>
      </c>
      <c r="CL33" s="17">
        <f t="shared" si="33"/>
        <v>0</v>
      </c>
      <c r="CM33" s="56">
        <f t="shared" si="34"/>
        <v>0</v>
      </c>
      <c r="CN33" s="17">
        <f t="shared" si="35"/>
        <v>0</v>
      </c>
      <c r="CO33" s="14">
        <f t="shared" si="36"/>
        <v>0</v>
      </c>
      <c r="CP33" s="14">
        <f t="shared" si="37"/>
        <v>0</v>
      </c>
      <c r="CQ33" s="16">
        <f t="shared" si="38"/>
        <v>5100000</v>
      </c>
      <c r="CR33" s="14">
        <f t="shared" si="51"/>
        <v>408000</v>
      </c>
      <c r="CS33" s="14">
        <f t="shared" si="51"/>
        <v>76500</v>
      </c>
      <c r="CT33" s="14">
        <f t="shared" si="51"/>
        <v>51000</v>
      </c>
      <c r="CU33" s="14">
        <f t="shared" si="51"/>
        <v>892500</v>
      </c>
      <c r="CV33" s="14">
        <f t="shared" si="51"/>
        <v>153000</v>
      </c>
      <c r="CW33" s="14">
        <f t="shared" si="51"/>
        <v>51000</v>
      </c>
      <c r="CX33" s="16">
        <f t="shared" si="40"/>
        <v>535500</v>
      </c>
      <c r="CY33" s="16">
        <f t="shared" si="41"/>
        <v>1096500</v>
      </c>
      <c r="CZ33" s="14">
        <v>30000</v>
      </c>
      <c r="DA33" s="16">
        <f t="shared" si="42"/>
        <v>102000</v>
      </c>
      <c r="DB33" s="43">
        <f t="shared" si="49"/>
        <v>6369230.769230769</v>
      </c>
      <c r="DC33" s="15">
        <f t="shared" si="43"/>
        <v>0</v>
      </c>
      <c r="DD33" s="15">
        <v>0</v>
      </c>
      <c r="DE33" s="14">
        <f t="shared" si="44"/>
        <v>0</v>
      </c>
      <c r="DF33" s="14">
        <f t="shared" si="45"/>
        <v>0</v>
      </c>
      <c r="DG33" s="43">
        <f t="shared" si="46"/>
        <v>5803730.769230769</v>
      </c>
      <c r="DH33" s="14">
        <v>0</v>
      </c>
      <c r="DI33" s="14">
        <v>0</v>
      </c>
      <c r="DJ33" s="14">
        <v>0</v>
      </c>
      <c r="DK33" s="14">
        <v>0</v>
      </c>
      <c r="DL33" s="14">
        <f t="shared" si="47"/>
        <v>0</v>
      </c>
      <c r="DM33" s="14">
        <v>0</v>
      </c>
      <c r="DN33" s="44">
        <f t="shared" si="48"/>
        <v>5803731</v>
      </c>
      <c r="DO33" s="64"/>
      <c r="DP33" s="64"/>
      <c r="DQ33" s="64"/>
      <c r="DR33" s="64"/>
    </row>
    <row r="34" spans="1:122" s="13" customFormat="1" ht="46.15" customHeight="1">
      <c r="A34" s="37">
        <v>27</v>
      </c>
      <c r="B34" s="23" t="s">
        <v>175</v>
      </c>
      <c r="C34" s="23">
        <v>80</v>
      </c>
      <c r="D34" s="38" t="s">
        <v>187</v>
      </c>
      <c r="E34" s="24" t="s">
        <v>199</v>
      </c>
      <c r="F34" s="23" t="s">
        <v>141</v>
      </c>
      <c r="G34" s="23" t="s">
        <v>104</v>
      </c>
      <c r="H34" s="22">
        <v>35785</v>
      </c>
      <c r="I34" s="22">
        <v>45195</v>
      </c>
      <c r="J34" s="22">
        <v>45200</v>
      </c>
      <c r="K34" s="20" t="s">
        <v>99</v>
      </c>
      <c r="L34" s="37">
        <f t="shared" si="0"/>
        <v>1</v>
      </c>
      <c r="M34" s="21"/>
      <c r="N34" s="21"/>
      <c r="O34" s="21"/>
      <c r="P34" s="21"/>
      <c r="Q34" s="21"/>
      <c r="R34" s="41">
        <v>26</v>
      </c>
      <c r="S34" s="25">
        <v>26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42">
        <f t="shared" si="1"/>
        <v>26</v>
      </c>
      <c r="AB34" s="25">
        <v>0</v>
      </c>
      <c r="AC34" s="25">
        <v>0</v>
      </c>
      <c r="AD34" s="25">
        <f t="shared" si="2"/>
        <v>26</v>
      </c>
      <c r="AE34" s="16">
        <v>4400000</v>
      </c>
      <c r="AF34" s="14">
        <f t="shared" si="3"/>
        <v>169230.76923076922</v>
      </c>
      <c r="AG34" s="14">
        <f t="shared" si="4"/>
        <v>21153.846153846152</v>
      </c>
      <c r="AH34" s="19">
        <f t="shared" si="5"/>
        <v>4400000</v>
      </c>
      <c r="AI34" s="14">
        <f t="shared" si="6"/>
        <v>25961.538461538461</v>
      </c>
      <c r="AJ34" s="14">
        <f t="shared" si="7"/>
        <v>6346.1538461538457</v>
      </c>
      <c r="AK34" s="19">
        <f t="shared" si="8"/>
        <v>0</v>
      </c>
      <c r="AL34" s="14">
        <f t="shared" si="9"/>
        <v>0</v>
      </c>
      <c r="AM34" s="14">
        <f t="shared" si="10"/>
        <v>1</v>
      </c>
      <c r="AN34" s="19">
        <f t="shared" si="11"/>
        <v>169230.76923076922</v>
      </c>
      <c r="AO34" s="14">
        <v>0</v>
      </c>
      <c r="AP34" s="14">
        <v>0</v>
      </c>
      <c r="AQ34" s="14">
        <v>0</v>
      </c>
      <c r="AR34" s="18">
        <f t="shared" si="12"/>
        <v>0</v>
      </c>
      <c r="AS34" s="16">
        <f t="shared" si="13"/>
        <v>4569230.769230769</v>
      </c>
      <c r="AT34" s="55">
        <v>0</v>
      </c>
      <c r="AU34" s="14">
        <f t="shared" si="14"/>
        <v>0</v>
      </c>
      <c r="AV34" s="55">
        <v>700000</v>
      </c>
      <c r="AW34" s="14">
        <f t="shared" si="15"/>
        <v>700000</v>
      </c>
      <c r="AX34" s="55">
        <v>0</v>
      </c>
      <c r="AY34" s="14">
        <f t="shared" si="16"/>
        <v>0</v>
      </c>
      <c r="AZ34" s="55">
        <v>0</v>
      </c>
      <c r="BA34" s="14">
        <f t="shared" si="17"/>
        <v>0</v>
      </c>
      <c r="BB34" s="65">
        <v>300000</v>
      </c>
      <c r="BC34" s="14">
        <f t="shared" si="18"/>
        <v>300000</v>
      </c>
      <c r="BD34" s="55">
        <v>0</v>
      </c>
      <c r="BE34" s="14">
        <f t="shared" si="19"/>
        <v>0</v>
      </c>
      <c r="BF34" s="55">
        <v>500000</v>
      </c>
      <c r="BG34" s="14">
        <f t="shared" si="20"/>
        <v>500000</v>
      </c>
      <c r="BH34" s="55">
        <v>150000</v>
      </c>
      <c r="BI34" s="14">
        <f t="shared" si="21"/>
        <v>150000</v>
      </c>
      <c r="BJ34" s="55">
        <v>150000</v>
      </c>
      <c r="BK34" s="14">
        <f t="shared" si="22"/>
        <v>150000</v>
      </c>
      <c r="BL34" s="55">
        <v>300000</v>
      </c>
      <c r="BM34" s="14">
        <f t="shared" si="23"/>
        <v>300000</v>
      </c>
      <c r="BN34" s="14"/>
      <c r="BO34" s="14">
        <f t="shared" si="24"/>
        <v>31730.769230769227</v>
      </c>
      <c r="BP34" s="16">
        <f t="shared" si="25"/>
        <v>2100000</v>
      </c>
      <c r="BQ34" s="16">
        <f t="shared" si="26"/>
        <v>2131730.769230769</v>
      </c>
      <c r="BR34" s="25"/>
      <c r="BS34" s="25"/>
      <c r="BT34" s="17">
        <f t="shared" si="27"/>
        <v>0</v>
      </c>
      <c r="BU34" s="14">
        <v>0</v>
      </c>
      <c r="BV34" s="14">
        <v>0</v>
      </c>
      <c r="BW34" s="17">
        <f t="shared" si="28"/>
        <v>0</v>
      </c>
      <c r="BX34" s="14">
        <v>0</v>
      </c>
      <c r="BY34" s="14">
        <v>0</v>
      </c>
      <c r="BZ34" s="17">
        <f t="shared" si="29"/>
        <v>0</v>
      </c>
      <c r="CA34" s="14">
        <v>0</v>
      </c>
      <c r="CB34" s="14">
        <v>0</v>
      </c>
      <c r="CC34" s="17">
        <f t="shared" si="30"/>
        <v>0</v>
      </c>
      <c r="CD34" s="14">
        <v>0</v>
      </c>
      <c r="CE34" s="14">
        <v>0</v>
      </c>
      <c r="CF34" s="17">
        <f t="shared" si="31"/>
        <v>0</v>
      </c>
      <c r="CG34" s="14">
        <v>0</v>
      </c>
      <c r="CH34" s="14">
        <v>0</v>
      </c>
      <c r="CI34" s="17">
        <f t="shared" si="32"/>
        <v>0</v>
      </c>
      <c r="CJ34" s="14">
        <v>0</v>
      </c>
      <c r="CK34" s="14">
        <v>0</v>
      </c>
      <c r="CL34" s="17">
        <f t="shared" si="33"/>
        <v>0</v>
      </c>
      <c r="CM34" s="56">
        <f t="shared" si="34"/>
        <v>0</v>
      </c>
      <c r="CN34" s="17">
        <f t="shared" si="35"/>
        <v>0</v>
      </c>
      <c r="CO34" s="14">
        <f t="shared" si="36"/>
        <v>0</v>
      </c>
      <c r="CP34" s="14">
        <f t="shared" si="37"/>
        <v>0</v>
      </c>
      <c r="CQ34" s="16">
        <f t="shared" si="38"/>
        <v>5400000</v>
      </c>
      <c r="CR34" s="14">
        <f t="shared" si="51"/>
        <v>432000</v>
      </c>
      <c r="CS34" s="14">
        <f t="shared" si="51"/>
        <v>81000</v>
      </c>
      <c r="CT34" s="14">
        <f t="shared" si="51"/>
        <v>54000</v>
      </c>
      <c r="CU34" s="14">
        <f t="shared" si="51"/>
        <v>944999.99999999988</v>
      </c>
      <c r="CV34" s="14">
        <f t="shared" si="51"/>
        <v>162000</v>
      </c>
      <c r="CW34" s="14">
        <f t="shared" si="51"/>
        <v>54000</v>
      </c>
      <c r="CX34" s="16">
        <f t="shared" si="40"/>
        <v>567000</v>
      </c>
      <c r="CY34" s="16">
        <f t="shared" si="41"/>
        <v>1161000</v>
      </c>
      <c r="CZ34" s="14">
        <v>30000</v>
      </c>
      <c r="DA34" s="16">
        <f t="shared" si="42"/>
        <v>108000</v>
      </c>
      <c r="DB34" s="43">
        <f t="shared" si="49"/>
        <v>6700961.538461538</v>
      </c>
      <c r="DC34" s="15">
        <f t="shared" si="43"/>
        <v>0</v>
      </c>
      <c r="DD34" s="15">
        <v>0</v>
      </c>
      <c r="DE34" s="14">
        <f t="shared" si="44"/>
        <v>0</v>
      </c>
      <c r="DF34" s="14">
        <f t="shared" si="45"/>
        <v>0</v>
      </c>
      <c r="DG34" s="43">
        <f t="shared" si="46"/>
        <v>6103961.538461538</v>
      </c>
      <c r="DH34" s="14">
        <v>0</v>
      </c>
      <c r="DI34" s="14">
        <v>0</v>
      </c>
      <c r="DJ34" s="14">
        <v>0</v>
      </c>
      <c r="DK34" s="14">
        <v>0</v>
      </c>
      <c r="DL34" s="14">
        <f t="shared" si="47"/>
        <v>0</v>
      </c>
      <c r="DM34" s="14">
        <v>0</v>
      </c>
      <c r="DN34" s="44">
        <f t="shared" si="48"/>
        <v>6103962</v>
      </c>
      <c r="DO34" s="64"/>
      <c r="DP34" s="64"/>
      <c r="DQ34" s="64"/>
      <c r="DR34" s="64"/>
    </row>
    <row r="35" spans="1:122" s="13" customFormat="1" ht="46.15" customHeight="1">
      <c r="A35" s="37">
        <v>28</v>
      </c>
      <c r="B35" s="23" t="s">
        <v>176</v>
      </c>
      <c r="C35" s="23">
        <v>81</v>
      </c>
      <c r="D35" s="38" t="s">
        <v>188</v>
      </c>
      <c r="E35" s="24" t="s">
        <v>200</v>
      </c>
      <c r="F35" s="23" t="s">
        <v>141</v>
      </c>
      <c r="G35" s="23" t="s">
        <v>104</v>
      </c>
      <c r="H35" s="22">
        <v>36562</v>
      </c>
      <c r="I35" s="22">
        <v>45196</v>
      </c>
      <c r="J35" s="22">
        <v>45201</v>
      </c>
      <c r="K35" s="20" t="s">
        <v>99</v>
      </c>
      <c r="L35" s="37">
        <f t="shared" si="0"/>
        <v>1</v>
      </c>
      <c r="M35" s="21"/>
      <c r="N35" s="21"/>
      <c r="O35" s="21"/>
      <c r="P35" s="21"/>
      <c r="Q35" s="21"/>
      <c r="R35" s="41">
        <v>26</v>
      </c>
      <c r="S35" s="25">
        <v>26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42">
        <f t="shared" si="1"/>
        <v>26</v>
      </c>
      <c r="AB35" s="25">
        <v>0</v>
      </c>
      <c r="AC35" s="25">
        <v>0</v>
      </c>
      <c r="AD35" s="25">
        <f t="shared" si="2"/>
        <v>26</v>
      </c>
      <c r="AE35" s="16">
        <v>4400000</v>
      </c>
      <c r="AF35" s="14">
        <f t="shared" si="3"/>
        <v>169230.76923076922</v>
      </c>
      <c r="AG35" s="14">
        <f t="shared" si="4"/>
        <v>21153.846153846152</v>
      </c>
      <c r="AH35" s="19">
        <f t="shared" si="5"/>
        <v>4400000</v>
      </c>
      <c r="AI35" s="14">
        <f t="shared" si="6"/>
        <v>25961.538461538461</v>
      </c>
      <c r="AJ35" s="14">
        <f t="shared" si="7"/>
        <v>6346.1538461538457</v>
      </c>
      <c r="AK35" s="19">
        <f t="shared" si="8"/>
        <v>0</v>
      </c>
      <c r="AL35" s="14">
        <f t="shared" si="9"/>
        <v>0</v>
      </c>
      <c r="AM35" s="14">
        <f t="shared" si="10"/>
        <v>1</v>
      </c>
      <c r="AN35" s="19">
        <f t="shared" si="11"/>
        <v>169230.76923076922</v>
      </c>
      <c r="AO35" s="14">
        <v>0</v>
      </c>
      <c r="AP35" s="14">
        <v>0</v>
      </c>
      <c r="AQ35" s="14">
        <v>0</v>
      </c>
      <c r="AR35" s="18">
        <f t="shared" si="12"/>
        <v>0</v>
      </c>
      <c r="AS35" s="16">
        <f t="shared" si="13"/>
        <v>4569230.769230769</v>
      </c>
      <c r="AT35" s="55">
        <v>0</v>
      </c>
      <c r="AU35" s="14">
        <f t="shared" si="14"/>
        <v>0</v>
      </c>
      <c r="AV35" s="55">
        <v>700000</v>
      </c>
      <c r="AW35" s="14">
        <f t="shared" si="15"/>
        <v>700000</v>
      </c>
      <c r="AX35" s="55">
        <v>0</v>
      </c>
      <c r="AY35" s="14">
        <f t="shared" si="16"/>
        <v>0</v>
      </c>
      <c r="AZ35" s="55">
        <v>0</v>
      </c>
      <c r="BA35" s="14">
        <f t="shared" si="17"/>
        <v>0</v>
      </c>
      <c r="BB35" s="65">
        <v>300000</v>
      </c>
      <c r="BC35" s="14">
        <f t="shared" si="18"/>
        <v>300000</v>
      </c>
      <c r="BD35" s="55">
        <v>0</v>
      </c>
      <c r="BE35" s="14">
        <f t="shared" si="19"/>
        <v>0</v>
      </c>
      <c r="BF35" s="55">
        <v>500000</v>
      </c>
      <c r="BG35" s="14">
        <f t="shared" si="20"/>
        <v>500000</v>
      </c>
      <c r="BH35" s="55">
        <v>150000</v>
      </c>
      <c r="BI35" s="14">
        <f t="shared" si="21"/>
        <v>150000</v>
      </c>
      <c r="BJ35" s="55">
        <v>150000</v>
      </c>
      <c r="BK35" s="14">
        <f t="shared" si="22"/>
        <v>150000</v>
      </c>
      <c r="BL35" s="55">
        <v>300000</v>
      </c>
      <c r="BM35" s="14">
        <f t="shared" si="23"/>
        <v>300000</v>
      </c>
      <c r="BN35" s="14"/>
      <c r="BO35" s="14">
        <f t="shared" si="24"/>
        <v>31730.769230769227</v>
      </c>
      <c r="BP35" s="16">
        <f t="shared" si="25"/>
        <v>2100000</v>
      </c>
      <c r="BQ35" s="16">
        <f t="shared" si="26"/>
        <v>2131730.769230769</v>
      </c>
      <c r="BR35" s="25"/>
      <c r="BS35" s="25"/>
      <c r="BT35" s="17">
        <f t="shared" si="27"/>
        <v>0</v>
      </c>
      <c r="BU35" s="14">
        <v>0</v>
      </c>
      <c r="BV35" s="14">
        <v>0</v>
      </c>
      <c r="BW35" s="17">
        <f t="shared" si="28"/>
        <v>0</v>
      </c>
      <c r="BX35" s="14">
        <v>0</v>
      </c>
      <c r="BY35" s="14">
        <v>0</v>
      </c>
      <c r="BZ35" s="17">
        <f t="shared" si="29"/>
        <v>0</v>
      </c>
      <c r="CA35" s="14">
        <v>0</v>
      </c>
      <c r="CB35" s="14">
        <v>0</v>
      </c>
      <c r="CC35" s="17">
        <f t="shared" si="30"/>
        <v>0</v>
      </c>
      <c r="CD35" s="14">
        <v>0</v>
      </c>
      <c r="CE35" s="14">
        <v>0</v>
      </c>
      <c r="CF35" s="17">
        <f t="shared" si="31"/>
        <v>0</v>
      </c>
      <c r="CG35" s="14">
        <v>0</v>
      </c>
      <c r="CH35" s="14">
        <v>0</v>
      </c>
      <c r="CI35" s="17">
        <f t="shared" si="32"/>
        <v>0</v>
      </c>
      <c r="CJ35" s="14">
        <v>0</v>
      </c>
      <c r="CK35" s="14">
        <v>0</v>
      </c>
      <c r="CL35" s="17">
        <f t="shared" si="33"/>
        <v>0</v>
      </c>
      <c r="CM35" s="56">
        <f t="shared" si="34"/>
        <v>0</v>
      </c>
      <c r="CN35" s="17">
        <f t="shared" si="35"/>
        <v>0</v>
      </c>
      <c r="CO35" s="14">
        <f t="shared" si="36"/>
        <v>0</v>
      </c>
      <c r="CP35" s="14">
        <f t="shared" si="37"/>
        <v>0</v>
      </c>
      <c r="CQ35" s="16">
        <f t="shared" si="38"/>
        <v>5400000</v>
      </c>
      <c r="CR35" s="14">
        <f t="shared" si="51"/>
        <v>432000</v>
      </c>
      <c r="CS35" s="14">
        <f t="shared" si="51"/>
        <v>81000</v>
      </c>
      <c r="CT35" s="14">
        <f t="shared" si="51"/>
        <v>54000</v>
      </c>
      <c r="CU35" s="14">
        <f t="shared" si="51"/>
        <v>944999.99999999988</v>
      </c>
      <c r="CV35" s="14">
        <f t="shared" si="51"/>
        <v>162000</v>
      </c>
      <c r="CW35" s="14">
        <f t="shared" si="51"/>
        <v>54000</v>
      </c>
      <c r="CX35" s="16">
        <f t="shared" si="40"/>
        <v>567000</v>
      </c>
      <c r="CY35" s="16">
        <f t="shared" si="41"/>
        <v>1161000</v>
      </c>
      <c r="CZ35" s="14">
        <v>30000</v>
      </c>
      <c r="DA35" s="16">
        <f t="shared" si="42"/>
        <v>108000</v>
      </c>
      <c r="DB35" s="43">
        <f t="shared" si="49"/>
        <v>6700961.538461538</v>
      </c>
      <c r="DC35" s="15">
        <f t="shared" si="43"/>
        <v>0</v>
      </c>
      <c r="DD35" s="15">
        <v>0</v>
      </c>
      <c r="DE35" s="14">
        <f t="shared" si="44"/>
        <v>0</v>
      </c>
      <c r="DF35" s="14">
        <f t="shared" si="45"/>
        <v>0</v>
      </c>
      <c r="DG35" s="43">
        <f t="shared" si="46"/>
        <v>6103961.538461538</v>
      </c>
      <c r="DH35" s="14">
        <v>0</v>
      </c>
      <c r="DI35" s="14">
        <v>0</v>
      </c>
      <c r="DJ35" s="14">
        <v>0</v>
      </c>
      <c r="DK35" s="14">
        <v>0</v>
      </c>
      <c r="DL35" s="14">
        <f t="shared" si="47"/>
        <v>0</v>
      </c>
      <c r="DM35" s="14">
        <v>0</v>
      </c>
      <c r="DN35" s="44">
        <f t="shared" si="48"/>
        <v>6103962</v>
      </c>
      <c r="DO35" s="64"/>
      <c r="DP35" s="64"/>
      <c r="DQ35" s="64"/>
      <c r="DR35" s="64"/>
    </row>
    <row r="36" spans="1:122" s="13" customFormat="1" ht="46.15" customHeight="1">
      <c r="A36" s="37">
        <v>29</v>
      </c>
      <c r="B36" s="23" t="s">
        <v>177</v>
      </c>
      <c r="C36" s="23">
        <v>82</v>
      </c>
      <c r="D36" s="38" t="s">
        <v>189</v>
      </c>
      <c r="E36" s="24" t="s">
        <v>201</v>
      </c>
      <c r="F36" s="23" t="s">
        <v>203</v>
      </c>
      <c r="G36" s="23" t="s">
        <v>3</v>
      </c>
      <c r="H36" s="22">
        <v>36229</v>
      </c>
      <c r="I36" s="22">
        <v>45197</v>
      </c>
      <c r="J36" s="22">
        <v>45202</v>
      </c>
      <c r="K36" s="20" t="s">
        <v>99</v>
      </c>
      <c r="L36" s="37">
        <f t="shared" si="0"/>
        <v>1</v>
      </c>
      <c r="M36" s="21"/>
      <c r="N36" s="21"/>
      <c r="O36" s="21"/>
      <c r="P36" s="21"/>
      <c r="Q36" s="21"/>
      <c r="R36" s="41">
        <v>26</v>
      </c>
      <c r="S36" s="25">
        <v>26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42">
        <f t="shared" si="1"/>
        <v>26</v>
      </c>
      <c r="AB36" s="25">
        <v>0</v>
      </c>
      <c r="AC36" s="25">
        <v>0</v>
      </c>
      <c r="AD36" s="25">
        <f t="shared" si="2"/>
        <v>26</v>
      </c>
      <c r="AE36" s="16">
        <v>4400000</v>
      </c>
      <c r="AF36" s="14">
        <f t="shared" si="3"/>
        <v>169230.76923076922</v>
      </c>
      <c r="AG36" s="14">
        <f t="shared" si="4"/>
        <v>21153.846153846152</v>
      </c>
      <c r="AH36" s="19">
        <f t="shared" si="5"/>
        <v>4400000</v>
      </c>
      <c r="AI36" s="14">
        <f t="shared" si="6"/>
        <v>24519.23076923077</v>
      </c>
      <c r="AJ36" s="14">
        <f t="shared" si="7"/>
        <v>6346.1538461538457</v>
      </c>
      <c r="AK36" s="19">
        <f t="shared" si="8"/>
        <v>0</v>
      </c>
      <c r="AL36" s="14">
        <f t="shared" si="9"/>
        <v>0</v>
      </c>
      <c r="AM36" s="14">
        <f t="shared" si="10"/>
        <v>1</v>
      </c>
      <c r="AN36" s="19">
        <f t="shared" si="11"/>
        <v>169230.76923076922</v>
      </c>
      <c r="AO36" s="14">
        <v>0</v>
      </c>
      <c r="AP36" s="14">
        <v>0</v>
      </c>
      <c r="AQ36" s="14">
        <v>0</v>
      </c>
      <c r="AR36" s="18">
        <f t="shared" si="12"/>
        <v>0</v>
      </c>
      <c r="AS36" s="16">
        <f t="shared" si="13"/>
        <v>4569230.769230769</v>
      </c>
      <c r="AT36" s="55">
        <v>0</v>
      </c>
      <c r="AU36" s="14">
        <f t="shared" si="14"/>
        <v>0</v>
      </c>
      <c r="AV36" s="55">
        <v>700000</v>
      </c>
      <c r="AW36" s="14">
        <f t="shared" si="15"/>
        <v>700000</v>
      </c>
      <c r="AX36" s="55">
        <v>0</v>
      </c>
      <c r="AY36" s="14">
        <f t="shared" si="16"/>
        <v>0</v>
      </c>
      <c r="AZ36" s="55">
        <v>0</v>
      </c>
      <c r="BA36" s="14">
        <f t="shared" si="17"/>
        <v>0</v>
      </c>
      <c r="BB36" s="65">
        <v>0</v>
      </c>
      <c r="BC36" s="14">
        <f t="shared" si="18"/>
        <v>0</v>
      </c>
      <c r="BD36" s="55">
        <v>0</v>
      </c>
      <c r="BE36" s="14">
        <f t="shared" si="19"/>
        <v>0</v>
      </c>
      <c r="BF36" s="55">
        <v>500000</v>
      </c>
      <c r="BG36" s="14">
        <f t="shared" si="20"/>
        <v>500000</v>
      </c>
      <c r="BH36" s="55">
        <v>150000</v>
      </c>
      <c r="BI36" s="14">
        <f t="shared" si="21"/>
        <v>150000</v>
      </c>
      <c r="BJ36" s="55">
        <v>150000</v>
      </c>
      <c r="BK36" s="14">
        <f t="shared" si="22"/>
        <v>150000</v>
      </c>
      <c r="BL36" s="55">
        <v>300000</v>
      </c>
      <c r="BM36" s="14">
        <f t="shared" si="23"/>
        <v>300000</v>
      </c>
      <c r="BN36" s="14"/>
      <c r="BO36" s="14">
        <f t="shared" si="24"/>
        <v>0</v>
      </c>
      <c r="BP36" s="16">
        <f t="shared" si="25"/>
        <v>1800000</v>
      </c>
      <c r="BQ36" s="16">
        <f t="shared" si="26"/>
        <v>1800000</v>
      </c>
      <c r="BR36" s="25"/>
      <c r="BS36" s="25"/>
      <c r="BT36" s="17">
        <f t="shared" si="27"/>
        <v>0</v>
      </c>
      <c r="BU36" s="14">
        <v>0</v>
      </c>
      <c r="BV36" s="14">
        <v>0</v>
      </c>
      <c r="BW36" s="17">
        <f t="shared" si="28"/>
        <v>0</v>
      </c>
      <c r="BX36" s="14">
        <v>0</v>
      </c>
      <c r="BY36" s="14">
        <v>0</v>
      </c>
      <c r="BZ36" s="17">
        <f t="shared" si="29"/>
        <v>0</v>
      </c>
      <c r="CA36" s="14">
        <v>0</v>
      </c>
      <c r="CB36" s="14">
        <v>0</v>
      </c>
      <c r="CC36" s="17">
        <f t="shared" si="30"/>
        <v>0</v>
      </c>
      <c r="CD36" s="14">
        <v>0</v>
      </c>
      <c r="CE36" s="14">
        <v>0</v>
      </c>
      <c r="CF36" s="17">
        <f t="shared" si="31"/>
        <v>0</v>
      </c>
      <c r="CG36" s="14">
        <v>0</v>
      </c>
      <c r="CH36" s="14">
        <v>0</v>
      </c>
      <c r="CI36" s="17">
        <f t="shared" si="32"/>
        <v>0</v>
      </c>
      <c r="CJ36" s="14">
        <v>0</v>
      </c>
      <c r="CK36" s="14">
        <v>0</v>
      </c>
      <c r="CL36" s="17">
        <f t="shared" si="33"/>
        <v>0</v>
      </c>
      <c r="CM36" s="56">
        <f t="shared" si="34"/>
        <v>0</v>
      </c>
      <c r="CN36" s="17">
        <f t="shared" si="35"/>
        <v>0</v>
      </c>
      <c r="CO36" s="14">
        <f t="shared" si="36"/>
        <v>0</v>
      </c>
      <c r="CP36" s="14">
        <f t="shared" si="37"/>
        <v>0</v>
      </c>
      <c r="CQ36" s="16">
        <f t="shared" si="38"/>
        <v>5100000</v>
      </c>
      <c r="CR36" s="14">
        <f t="shared" si="51"/>
        <v>408000</v>
      </c>
      <c r="CS36" s="14">
        <f t="shared" si="51"/>
        <v>76500</v>
      </c>
      <c r="CT36" s="14">
        <f t="shared" si="51"/>
        <v>51000</v>
      </c>
      <c r="CU36" s="14">
        <f t="shared" si="51"/>
        <v>892500</v>
      </c>
      <c r="CV36" s="14">
        <f t="shared" si="51"/>
        <v>153000</v>
      </c>
      <c r="CW36" s="14">
        <f t="shared" si="51"/>
        <v>51000</v>
      </c>
      <c r="CX36" s="16">
        <f t="shared" si="40"/>
        <v>535500</v>
      </c>
      <c r="CY36" s="16">
        <f t="shared" si="41"/>
        <v>1096500</v>
      </c>
      <c r="CZ36" s="14">
        <v>30000</v>
      </c>
      <c r="DA36" s="16">
        <f t="shared" si="42"/>
        <v>102000</v>
      </c>
      <c r="DB36" s="43">
        <f t="shared" si="49"/>
        <v>6369230.769230769</v>
      </c>
      <c r="DC36" s="15">
        <f t="shared" si="43"/>
        <v>0</v>
      </c>
      <c r="DD36" s="15">
        <v>0</v>
      </c>
      <c r="DE36" s="14">
        <f t="shared" si="44"/>
        <v>0</v>
      </c>
      <c r="DF36" s="14">
        <f t="shared" si="45"/>
        <v>0</v>
      </c>
      <c r="DG36" s="43">
        <f t="shared" si="46"/>
        <v>5803730.769230769</v>
      </c>
      <c r="DH36" s="14">
        <v>0</v>
      </c>
      <c r="DI36" s="14">
        <v>0</v>
      </c>
      <c r="DJ36" s="14">
        <v>0</v>
      </c>
      <c r="DK36" s="14">
        <v>0</v>
      </c>
      <c r="DL36" s="14">
        <f t="shared" si="47"/>
        <v>0</v>
      </c>
      <c r="DM36" s="14">
        <v>0</v>
      </c>
      <c r="DN36" s="44">
        <f t="shared" si="48"/>
        <v>5803731</v>
      </c>
      <c r="DO36" s="64"/>
      <c r="DP36" s="64"/>
      <c r="DQ36" s="64"/>
      <c r="DR36" s="64"/>
    </row>
    <row r="37" spans="1:122" s="13" customFormat="1" ht="46.15" customHeight="1">
      <c r="A37" s="37">
        <v>30</v>
      </c>
      <c r="B37" s="23" t="s">
        <v>178</v>
      </c>
      <c r="C37" s="23">
        <v>85</v>
      </c>
      <c r="D37" s="38" t="s">
        <v>190</v>
      </c>
      <c r="E37" s="24" t="s">
        <v>202</v>
      </c>
      <c r="F37" s="23" t="s">
        <v>141</v>
      </c>
      <c r="G37" s="23" t="s">
        <v>104</v>
      </c>
      <c r="H37" s="22">
        <v>34055</v>
      </c>
      <c r="I37" s="22">
        <v>45197</v>
      </c>
      <c r="J37" s="22">
        <v>45202</v>
      </c>
      <c r="K37" s="20" t="s">
        <v>99</v>
      </c>
      <c r="L37" s="37">
        <f t="shared" si="0"/>
        <v>1</v>
      </c>
      <c r="M37" s="21"/>
      <c r="N37" s="21"/>
      <c r="O37" s="21"/>
      <c r="P37" s="21"/>
      <c r="Q37" s="21"/>
      <c r="R37" s="41">
        <v>26</v>
      </c>
      <c r="S37" s="25">
        <v>26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42">
        <f t="shared" si="1"/>
        <v>26</v>
      </c>
      <c r="AB37" s="25">
        <v>0</v>
      </c>
      <c r="AC37" s="25">
        <v>0</v>
      </c>
      <c r="AD37" s="25">
        <f t="shared" si="2"/>
        <v>26</v>
      </c>
      <c r="AE37" s="16">
        <v>4400000</v>
      </c>
      <c r="AF37" s="14">
        <f t="shared" si="3"/>
        <v>169230.76923076922</v>
      </c>
      <c r="AG37" s="14">
        <f t="shared" si="4"/>
        <v>21153.846153846152</v>
      </c>
      <c r="AH37" s="19">
        <f t="shared" si="5"/>
        <v>4400000</v>
      </c>
      <c r="AI37" s="14">
        <f t="shared" si="6"/>
        <v>25961.538461538461</v>
      </c>
      <c r="AJ37" s="14">
        <f t="shared" si="7"/>
        <v>6346.1538461538457</v>
      </c>
      <c r="AK37" s="19">
        <f t="shared" si="8"/>
        <v>0</v>
      </c>
      <c r="AL37" s="14">
        <f t="shared" si="9"/>
        <v>0</v>
      </c>
      <c r="AM37" s="14">
        <f t="shared" si="10"/>
        <v>1</v>
      </c>
      <c r="AN37" s="19">
        <f t="shared" si="11"/>
        <v>169230.76923076922</v>
      </c>
      <c r="AO37" s="14">
        <v>0</v>
      </c>
      <c r="AP37" s="14">
        <v>0</v>
      </c>
      <c r="AQ37" s="14">
        <v>0</v>
      </c>
      <c r="AR37" s="18">
        <f t="shared" si="12"/>
        <v>0</v>
      </c>
      <c r="AS37" s="16">
        <f t="shared" si="13"/>
        <v>4569230.769230769</v>
      </c>
      <c r="AT37" s="55">
        <v>0</v>
      </c>
      <c r="AU37" s="14">
        <f t="shared" si="14"/>
        <v>0</v>
      </c>
      <c r="AV37" s="55">
        <v>700000</v>
      </c>
      <c r="AW37" s="14">
        <f t="shared" si="15"/>
        <v>700000</v>
      </c>
      <c r="AX37" s="55">
        <v>0</v>
      </c>
      <c r="AY37" s="14">
        <f t="shared" si="16"/>
        <v>0</v>
      </c>
      <c r="AZ37" s="55">
        <v>0</v>
      </c>
      <c r="BA37" s="14">
        <f t="shared" si="17"/>
        <v>0</v>
      </c>
      <c r="BB37" s="65">
        <v>300000</v>
      </c>
      <c r="BC37" s="14">
        <f t="shared" si="18"/>
        <v>300000</v>
      </c>
      <c r="BD37" s="55">
        <v>0</v>
      </c>
      <c r="BE37" s="14">
        <f t="shared" si="19"/>
        <v>0</v>
      </c>
      <c r="BF37" s="55">
        <v>500000</v>
      </c>
      <c r="BG37" s="14">
        <f t="shared" si="20"/>
        <v>500000</v>
      </c>
      <c r="BH37" s="55">
        <v>150000</v>
      </c>
      <c r="BI37" s="14">
        <f t="shared" si="21"/>
        <v>150000</v>
      </c>
      <c r="BJ37" s="55">
        <v>150000</v>
      </c>
      <c r="BK37" s="14">
        <f t="shared" si="22"/>
        <v>150000</v>
      </c>
      <c r="BL37" s="55">
        <v>300000</v>
      </c>
      <c r="BM37" s="14">
        <f t="shared" si="23"/>
        <v>300000</v>
      </c>
      <c r="BN37" s="14"/>
      <c r="BO37" s="14">
        <f t="shared" si="24"/>
        <v>31730.769230769227</v>
      </c>
      <c r="BP37" s="16">
        <f t="shared" si="25"/>
        <v>2100000</v>
      </c>
      <c r="BQ37" s="16">
        <f t="shared" si="26"/>
        <v>2131730.769230769</v>
      </c>
      <c r="BR37" s="25"/>
      <c r="BS37" s="25"/>
      <c r="BT37" s="17">
        <f t="shared" si="27"/>
        <v>0</v>
      </c>
      <c r="BU37" s="14">
        <v>0</v>
      </c>
      <c r="BV37" s="14">
        <v>0</v>
      </c>
      <c r="BW37" s="17">
        <f t="shared" si="28"/>
        <v>0</v>
      </c>
      <c r="BX37" s="14">
        <v>0</v>
      </c>
      <c r="BY37" s="14">
        <v>0</v>
      </c>
      <c r="BZ37" s="17">
        <f t="shared" si="29"/>
        <v>0</v>
      </c>
      <c r="CA37" s="14">
        <v>0</v>
      </c>
      <c r="CB37" s="14">
        <v>0</v>
      </c>
      <c r="CC37" s="17">
        <f t="shared" si="30"/>
        <v>0</v>
      </c>
      <c r="CD37" s="14">
        <v>0</v>
      </c>
      <c r="CE37" s="14">
        <v>0</v>
      </c>
      <c r="CF37" s="17">
        <f t="shared" si="31"/>
        <v>0</v>
      </c>
      <c r="CG37" s="14">
        <v>0</v>
      </c>
      <c r="CH37" s="14">
        <v>0</v>
      </c>
      <c r="CI37" s="17">
        <f t="shared" si="32"/>
        <v>0</v>
      </c>
      <c r="CJ37" s="14">
        <v>0</v>
      </c>
      <c r="CK37" s="14">
        <v>0</v>
      </c>
      <c r="CL37" s="17">
        <f t="shared" si="33"/>
        <v>0</v>
      </c>
      <c r="CM37" s="56">
        <f t="shared" si="34"/>
        <v>0</v>
      </c>
      <c r="CN37" s="17">
        <f t="shared" si="35"/>
        <v>0</v>
      </c>
      <c r="CO37" s="14">
        <f t="shared" si="36"/>
        <v>0</v>
      </c>
      <c r="CP37" s="14">
        <f t="shared" si="37"/>
        <v>0</v>
      </c>
      <c r="CQ37" s="16">
        <f t="shared" si="38"/>
        <v>5400000</v>
      </c>
      <c r="CR37" s="14">
        <f t="shared" si="51"/>
        <v>432000</v>
      </c>
      <c r="CS37" s="14">
        <f t="shared" si="51"/>
        <v>81000</v>
      </c>
      <c r="CT37" s="14">
        <f t="shared" si="51"/>
        <v>54000</v>
      </c>
      <c r="CU37" s="14">
        <f t="shared" si="51"/>
        <v>944999.99999999988</v>
      </c>
      <c r="CV37" s="14">
        <f t="shared" si="51"/>
        <v>162000</v>
      </c>
      <c r="CW37" s="14">
        <f t="shared" si="51"/>
        <v>54000</v>
      </c>
      <c r="CX37" s="16">
        <f t="shared" si="40"/>
        <v>567000</v>
      </c>
      <c r="CY37" s="16">
        <f t="shared" si="41"/>
        <v>1161000</v>
      </c>
      <c r="CZ37" s="14">
        <v>30000</v>
      </c>
      <c r="DA37" s="16">
        <f t="shared" si="42"/>
        <v>108000</v>
      </c>
      <c r="DB37" s="43">
        <f t="shared" si="49"/>
        <v>6700961.538461538</v>
      </c>
      <c r="DC37" s="15">
        <f t="shared" si="43"/>
        <v>0</v>
      </c>
      <c r="DD37" s="15">
        <v>0</v>
      </c>
      <c r="DE37" s="14">
        <f t="shared" si="44"/>
        <v>0</v>
      </c>
      <c r="DF37" s="14">
        <f t="shared" si="45"/>
        <v>0</v>
      </c>
      <c r="DG37" s="43">
        <f t="shared" si="46"/>
        <v>6103961.538461538</v>
      </c>
      <c r="DH37" s="14">
        <v>0</v>
      </c>
      <c r="DI37" s="14">
        <v>0</v>
      </c>
      <c r="DJ37" s="14">
        <v>0</v>
      </c>
      <c r="DK37" s="14">
        <v>0</v>
      </c>
      <c r="DL37" s="14">
        <f t="shared" si="47"/>
        <v>0</v>
      </c>
      <c r="DM37" s="14">
        <v>0</v>
      </c>
      <c r="DN37" s="44">
        <f t="shared" si="48"/>
        <v>6103962</v>
      </c>
      <c r="DO37" s="64"/>
      <c r="DP37" s="64"/>
      <c r="DQ37" s="64"/>
      <c r="DR37" s="64"/>
    </row>
    <row r="38" spans="1:122" s="13" customFormat="1" ht="46.15" customHeight="1">
      <c r="A38" s="37">
        <v>31</v>
      </c>
      <c r="B38" s="23" t="s">
        <v>212</v>
      </c>
      <c r="C38" s="23">
        <v>86</v>
      </c>
      <c r="D38" s="38" t="s">
        <v>217</v>
      </c>
      <c r="E38" s="24" t="s">
        <v>222</v>
      </c>
      <c r="F38" s="23" t="s">
        <v>113</v>
      </c>
      <c r="G38" s="23" t="s">
        <v>104</v>
      </c>
      <c r="H38" s="22">
        <v>31289</v>
      </c>
      <c r="I38" s="22">
        <v>45201</v>
      </c>
      <c r="J38" s="22">
        <f>+I38+59</f>
        <v>45260</v>
      </c>
      <c r="K38" s="20" t="s">
        <v>99</v>
      </c>
      <c r="L38" s="37">
        <f t="shared" si="0"/>
        <v>1</v>
      </c>
      <c r="M38" s="21"/>
      <c r="N38" s="21"/>
      <c r="O38" s="21"/>
      <c r="P38" s="21"/>
      <c r="Q38" s="21"/>
      <c r="R38" s="41">
        <v>26</v>
      </c>
      <c r="S38" s="25">
        <v>26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42">
        <f t="shared" si="1"/>
        <v>26</v>
      </c>
      <c r="AB38" s="25">
        <v>0</v>
      </c>
      <c r="AC38" s="25">
        <v>0</v>
      </c>
      <c r="AD38" s="25">
        <f t="shared" si="2"/>
        <v>26</v>
      </c>
      <c r="AE38" s="16">
        <v>11240000</v>
      </c>
      <c r="AF38" s="14">
        <f t="shared" si="3"/>
        <v>432307.69230769231</v>
      </c>
      <c r="AG38" s="14">
        <f t="shared" si="4"/>
        <v>54038.461538461539</v>
      </c>
      <c r="AH38" s="19">
        <f t="shared" si="5"/>
        <v>11240000</v>
      </c>
      <c r="AI38" s="14">
        <f t="shared" si="6"/>
        <v>71586.538461538468</v>
      </c>
      <c r="AJ38" s="14">
        <f t="shared" si="7"/>
        <v>16211.538461538461</v>
      </c>
      <c r="AK38" s="19">
        <f t="shared" si="8"/>
        <v>0</v>
      </c>
      <c r="AL38" s="14">
        <f t="shared" si="9"/>
        <v>0</v>
      </c>
      <c r="AM38" s="14">
        <f t="shared" si="10"/>
        <v>1</v>
      </c>
      <c r="AN38" s="19">
        <f t="shared" si="11"/>
        <v>432307.69230769231</v>
      </c>
      <c r="AO38" s="14">
        <v>0</v>
      </c>
      <c r="AP38" s="14">
        <v>0</v>
      </c>
      <c r="AQ38" s="14">
        <v>0</v>
      </c>
      <c r="AR38" s="18">
        <f t="shared" si="12"/>
        <v>0</v>
      </c>
      <c r="AS38" s="16">
        <f t="shared" si="13"/>
        <v>11672307.692307692</v>
      </c>
      <c r="AT38" s="55">
        <v>0</v>
      </c>
      <c r="AU38" s="14">
        <f t="shared" si="14"/>
        <v>0</v>
      </c>
      <c r="AV38" s="55">
        <v>0</v>
      </c>
      <c r="AW38" s="14">
        <f t="shared" si="15"/>
        <v>0</v>
      </c>
      <c r="AX38" s="55">
        <v>2000000</v>
      </c>
      <c r="AY38" s="14">
        <f t="shared" si="16"/>
        <v>2000000</v>
      </c>
      <c r="AZ38" s="55">
        <v>0</v>
      </c>
      <c r="BA38" s="14">
        <f t="shared" si="17"/>
        <v>0</v>
      </c>
      <c r="BB38" s="65">
        <v>0</v>
      </c>
      <c r="BC38" s="14">
        <f t="shared" si="18"/>
        <v>0</v>
      </c>
      <c r="BD38" s="55">
        <v>1650000</v>
      </c>
      <c r="BE38" s="14">
        <f t="shared" si="19"/>
        <v>1650000</v>
      </c>
      <c r="BF38" s="55">
        <v>500000</v>
      </c>
      <c r="BG38" s="14">
        <f t="shared" si="20"/>
        <v>500000</v>
      </c>
      <c r="BH38" s="55">
        <v>150000</v>
      </c>
      <c r="BI38" s="14">
        <f t="shared" si="21"/>
        <v>150000</v>
      </c>
      <c r="BJ38" s="55">
        <v>200000</v>
      </c>
      <c r="BK38" s="14">
        <f t="shared" si="22"/>
        <v>200000</v>
      </c>
      <c r="BL38" s="55">
        <v>300000</v>
      </c>
      <c r="BM38" s="14">
        <f t="shared" si="23"/>
        <v>300000</v>
      </c>
      <c r="BN38" s="14"/>
      <c r="BO38" s="14">
        <f t="shared" si="24"/>
        <v>81057.692307692312</v>
      </c>
      <c r="BP38" s="16">
        <f t="shared" si="25"/>
        <v>4800000</v>
      </c>
      <c r="BQ38" s="16">
        <f t="shared" si="26"/>
        <v>4881057.692307692</v>
      </c>
      <c r="BR38" s="25"/>
      <c r="BS38" s="25"/>
      <c r="BT38" s="17">
        <f t="shared" si="27"/>
        <v>0</v>
      </c>
      <c r="BU38" s="14">
        <v>0</v>
      </c>
      <c r="BV38" s="14">
        <v>0</v>
      </c>
      <c r="BW38" s="17">
        <f t="shared" si="28"/>
        <v>0</v>
      </c>
      <c r="BX38" s="14">
        <v>0</v>
      </c>
      <c r="BY38" s="14">
        <v>0</v>
      </c>
      <c r="BZ38" s="17">
        <f t="shared" si="29"/>
        <v>0</v>
      </c>
      <c r="CA38" s="14">
        <v>0</v>
      </c>
      <c r="CB38" s="14">
        <v>0</v>
      </c>
      <c r="CC38" s="17">
        <f t="shared" si="30"/>
        <v>0</v>
      </c>
      <c r="CD38" s="14">
        <v>0</v>
      </c>
      <c r="CE38" s="14">
        <v>0</v>
      </c>
      <c r="CF38" s="17">
        <f t="shared" si="31"/>
        <v>0</v>
      </c>
      <c r="CG38" s="14">
        <v>0</v>
      </c>
      <c r="CH38" s="14">
        <v>0</v>
      </c>
      <c r="CI38" s="17">
        <f t="shared" si="32"/>
        <v>0</v>
      </c>
      <c r="CJ38" s="14">
        <v>0</v>
      </c>
      <c r="CK38" s="14">
        <v>0</v>
      </c>
      <c r="CL38" s="17">
        <f t="shared" si="33"/>
        <v>0</v>
      </c>
      <c r="CM38" s="56">
        <f t="shared" si="34"/>
        <v>0</v>
      </c>
      <c r="CN38" s="17">
        <f t="shared" si="35"/>
        <v>0</v>
      </c>
      <c r="CO38" s="14">
        <f t="shared" si="36"/>
        <v>0</v>
      </c>
      <c r="CP38" s="14">
        <f t="shared" si="37"/>
        <v>0</v>
      </c>
      <c r="CQ38" s="16">
        <f t="shared" si="38"/>
        <v>14890000</v>
      </c>
      <c r="CR38" s="14">
        <f t="shared" si="51"/>
        <v>1191200</v>
      </c>
      <c r="CS38" s="14">
        <f t="shared" si="51"/>
        <v>223350</v>
      </c>
      <c r="CT38" s="14">
        <f t="shared" si="51"/>
        <v>148900</v>
      </c>
      <c r="CU38" s="14">
        <f t="shared" si="51"/>
        <v>2605750</v>
      </c>
      <c r="CV38" s="14">
        <f t="shared" si="51"/>
        <v>446700</v>
      </c>
      <c r="CW38" s="14">
        <f t="shared" si="51"/>
        <v>148900</v>
      </c>
      <c r="CX38" s="16">
        <f t="shared" si="40"/>
        <v>1563450</v>
      </c>
      <c r="CY38" s="16">
        <f t="shared" si="41"/>
        <v>3201350</v>
      </c>
      <c r="CZ38" s="14">
        <v>30000</v>
      </c>
      <c r="DA38" s="16">
        <f t="shared" si="42"/>
        <v>297800</v>
      </c>
      <c r="DB38" s="43">
        <f t="shared" si="49"/>
        <v>16553365.384615384</v>
      </c>
      <c r="DC38" s="15">
        <f t="shared" si="43"/>
        <v>0</v>
      </c>
      <c r="DD38" s="15">
        <v>8800000</v>
      </c>
      <c r="DE38" s="14">
        <f t="shared" si="44"/>
        <v>0</v>
      </c>
      <c r="DF38" s="14">
        <f t="shared" si="45"/>
        <v>0</v>
      </c>
      <c r="DG38" s="43">
        <f t="shared" si="46"/>
        <v>14959915.384615384</v>
      </c>
      <c r="DH38" s="14">
        <v>0</v>
      </c>
      <c r="DI38" s="14">
        <v>0</v>
      </c>
      <c r="DJ38" s="14">
        <v>0</v>
      </c>
      <c r="DK38" s="14">
        <v>0</v>
      </c>
      <c r="DL38" s="14">
        <f t="shared" si="47"/>
        <v>0</v>
      </c>
      <c r="DM38" s="14">
        <v>0</v>
      </c>
      <c r="DN38" s="44">
        <f t="shared" si="48"/>
        <v>14959915</v>
      </c>
      <c r="DO38" s="64"/>
      <c r="DP38" s="64"/>
      <c r="DQ38" s="64"/>
      <c r="DR38" s="64"/>
    </row>
    <row r="39" spans="1:122" s="13" customFormat="1" ht="46.15" customHeight="1">
      <c r="A39" s="37">
        <v>32</v>
      </c>
      <c r="B39" s="23" t="s">
        <v>213</v>
      </c>
      <c r="C39" s="23">
        <v>87</v>
      </c>
      <c r="D39" s="38" t="s">
        <v>218</v>
      </c>
      <c r="E39" s="24" t="s">
        <v>223</v>
      </c>
      <c r="F39" s="23" t="s">
        <v>141</v>
      </c>
      <c r="G39" s="23" t="s">
        <v>104</v>
      </c>
      <c r="H39" s="22">
        <v>32817</v>
      </c>
      <c r="I39" s="22">
        <v>45201</v>
      </c>
      <c r="J39" s="22">
        <f>+I39+5</f>
        <v>45206</v>
      </c>
      <c r="K39" s="20" t="s">
        <v>99</v>
      </c>
      <c r="L39" s="37">
        <f t="shared" si="0"/>
        <v>1</v>
      </c>
      <c r="M39" s="21"/>
      <c r="N39" s="21"/>
      <c r="O39" s="21"/>
      <c r="P39" s="21"/>
      <c r="Q39" s="21"/>
      <c r="R39" s="41">
        <v>26</v>
      </c>
      <c r="S39" s="25">
        <v>26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42">
        <f t="shared" si="1"/>
        <v>26</v>
      </c>
      <c r="AB39" s="25">
        <v>0</v>
      </c>
      <c r="AC39" s="25">
        <v>0</v>
      </c>
      <c r="AD39" s="25">
        <f t="shared" si="2"/>
        <v>26</v>
      </c>
      <c r="AE39" s="16">
        <v>4400000</v>
      </c>
      <c r="AF39" s="14">
        <f t="shared" si="3"/>
        <v>169230.76923076922</v>
      </c>
      <c r="AG39" s="14">
        <f t="shared" si="4"/>
        <v>21153.846153846152</v>
      </c>
      <c r="AH39" s="19">
        <f t="shared" si="5"/>
        <v>4400000</v>
      </c>
      <c r="AI39" s="14">
        <f t="shared" si="6"/>
        <v>25961.538461538461</v>
      </c>
      <c r="AJ39" s="14">
        <f t="shared" si="7"/>
        <v>6346.1538461538457</v>
      </c>
      <c r="AK39" s="19">
        <f t="shared" si="8"/>
        <v>0</v>
      </c>
      <c r="AL39" s="14">
        <f t="shared" si="9"/>
        <v>0</v>
      </c>
      <c r="AM39" s="14">
        <f t="shared" si="10"/>
        <v>1</v>
      </c>
      <c r="AN39" s="19">
        <f t="shared" si="11"/>
        <v>169230.76923076922</v>
      </c>
      <c r="AO39" s="14">
        <v>0</v>
      </c>
      <c r="AP39" s="14">
        <v>0</v>
      </c>
      <c r="AQ39" s="14">
        <v>0</v>
      </c>
      <c r="AR39" s="18">
        <f t="shared" si="12"/>
        <v>0</v>
      </c>
      <c r="AS39" s="16">
        <f t="shared" si="13"/>
        <v>4569230.769230769</v>
      </c>
      <c r="AT39" s="55">
        <v>0</v>
      </c>
      <c r="AU39" s="14">
        <f t="shared" si="14"/>
        <v>0</v>
      </c>
      <c r="AV39" s="55">
        <v>700000</v>
      </c>
      <c r="AW39" s="14">
        <f t="shared" si="15"/>
        <v>700000</v>
      </c>
      <c r="AX39" s="55">
        <v>0</v>
      </c>
      <c r="AY39" s="14">
        <f t="shared" si="16"/>
        <v>0</v>
      </c>
      <c r="AZ39" s="55">
        <v>0</v>
      </c>
      <c r="BA39" s="14">
        <f t="shared" si="17"/>
        <v>0</v>
      </c>
      <c r="BB39" s="65">
        <v>300000</v>
      </c>
      <c r="BC39" s="14">
        <f t="shared" si="18"/>
        <v>300000</v>
      </c>
      <c r="BD39" s="55">
        <v>0</v>
      </c>
      <c r="BE39" s="14">
        <f t="shared" si="19"/>
        <v>0</v>
      </c>
      <c r="BF39" s="55">
        <v>500000</v>
      </c>
      <c r="BG39" s="14">
        <f t="shared" si="20"/>
        <v>500000</v>
      </c>
      <c r="BH39" s="55">
        <v>150000</v>
      </c>
      <c r="BI39" s="14">
        <f t="shared" si="21"/>
        <v>150000</v>
      </c>
      <c r="BJ39" s="55">
        <v>150000</v>
      </c>
      <c r="BK39" s="14">
        <f t="shared" si="22"/>
        <v>150000</v>
      </c>
      <c r="BL39" s="55">
        <v>300000</v>
      </c>
      <c r="BM39" s="14">
        <f t="shared" si="23"/>
        <v>300000</v>
      </c>
      <c r="BN39" s="14"/>
      <c r="BO39" s="14">
        <f t="shared" si="24"/>
        <v>31730.769230769227</v>
      </c>
      <c r="BP39" s="16">
        <f t="shared" si="25"/>
        <v>2100000</v>
      </c>
      <c r="BQ39" s="16">
        <f t="shared" si="26"/>
        <v>2131730.769230769</v>
      </c>
      <c r="BR39" s="25"/>
      <c r="BS39" s="25"/>
      <c r="BT39" s="17">
        <f t="shared" si="27"/>
        <v>0</v>
      </c>
      <c r="BU39" s="14">
        <v>0</v>
      </c>
      <c r="BV39" s="14">
        <v>0</v>
      </c>
      <c r="BW39" s="17">
        <f t="shared" si="28"/>
        <v>0</v>
      </c>
      <c r="BX39" s="14">
        <v>0</v>
      </c>
      <c r="BY39" s="14">
        <v>0</v>
      </c>
      <c r="BZ39" s="17">
        <f t="shared" si="29"/>
        <v>0</v>
      </c>
      <c r="CA39" s="14">
        <v>0</v>
      </c>
      <c r="CB39" s="14">
        <v>0</v>
      </c>
      <c r="CC39" s="17">
        <f t="shared" si="30"/>
        <v>0</v>
      </c>
      <c r="CD39" s="14">
        <v>0</v>
      </c>
      <c r="CE39" s="14">
        <v>0</v>
      </c>
      <c r="CF39" s="17">
        <f t="shared" si="31"/>
        <v>0</v>
      </c>
      <c r="CG39" s="14">
        <v>0</v>
      </c>
      <c r="CH39" s="14">
        <v>0</v>
      </c>
      <c r="CI39" s="17">
        <f t="shared" si="32"/>
        <v>0</v>
      </c>
      <c r="CJ39" s="14">
        <v>0</v>
      </c>
      <c r="CK39" s="14">
        <v>0</v>
      </c>
      <c r="CL39" s="17">
        <f t="shared" si="33"/>
        <v>0</v>
      </c>
      <c r="CM39" s="56">
        <f t="shared" si="34"/>
        <v>0</v>
      </c>
      <c r="CN39" s="17">
        <f t="shared" si="35"/>
        <v>0</v>
      </c>
      <c r="CO39" s="14">
        <f t="shared" si="36"/>
        <v>0</v>
      </c>
      <c r="CP39" s="14">
        <f t="shared" si="37"/>
        <v>0</v>
      </c>
      <c r="CQ39" s="16">
        <f t="shared" si="38"/>
        <v>5400000</v>
      </c>
      <c r="CR39" s="14">
        <f t="shared" si="51"/>
        <v>432000</v>
      </c>
      <c r="CS39" s="14">
        <f t="shared" si="51"/>
        <v>81000</v>
      </c>
      <c r="CT39" s="14">
        <f t="shared" si="51"/>
        <v>54000</v>
      </c>
      <c r="CU39" s="14">
        <f t="shared" si="51"/>
        <v>944999.99999999988</v>
      </c>
      <c r="CV39" s="14">
        <f t="shared" si="51"/>
        <v>162000</v>
      </c>
      <c r="CW39" s="14">
        <f t="shared" si="51"/>
        <v>54000</v>
      </c>
      <c r="CX39" s="16">
        <f t="shared" si="40"/>
        <v>567000</v>
      </c>
      <c r="CY39" s="16">
        <f t="shared" si="41"/>
        <v>1161000</v>
      </c>
      <c r="CZ39" s="14">
        <v>30000</v>
      </c>
      <c r="DA39" s="16">
        <f t="shared" si="42"/>
        <v>108000</v>
      </c>
      <c r="DB39" s="43">
        <f t="shared" si="49"/>
        <v>6700961.538461538</v>
      </c>
      <c r="DC39" s="15">
        <f t="shared" si="43"/>
        <v>0</v>
      </c>
      <c r="DD39" s="15">
        <v>0</v>
      </c>
      <c r="DE39" s="14">
        <f t="shared" si="44"/>
        <v>0</v>
      </c>
      <c r="DF39" s="14">
        <f t="shared" si="45"/>
        <v>0</v>
      </c>
      <c r="DG39" s="43">
        <f t="shared" si="46"/>
        <v>6103961.538461538</v>
      </c>
      <c r="DH39" s="14">
        <v>0</v>
      </c>
      <c r="DI39" s="14">
        <v>0</v>
      </c>
      <c r="DJ39" s="14">
        <v>0</v>
      </c>
      <c r="DK39" s="14">
        <v>0</v>
      </c>
      <c r="DL39" s="14">
        <f t="shared" si="47"/>
        <v>0</v>
      </c>
      <c r="DM39" s="14">
        <v>0</v>
      </c>
      <c r="DN39" s="44">
        <f t="shared" si="48"/>
        <v>6103962</v>
      </c>
      <c r="DO39" s="64"/>
      <c r="DP39" s="64"/>
      <c r="DQ39" s="64"/>
      <c r="DR39" s="64"/>
    </row>
    <row r="40" spans="1:122" s="13" customFormat="1" ht="46.15" customHeight="1">
      <c r="A40" s="37">
        <v>33</v>
      </c>
      <c r="B40" s="23" t="s">
        <v>214</v>
      </c>
      <c r="C40" s="23">
        <v>88</v>
      </c>
      <c r="D40" s="38" t="s">
        <v>219</v>
      </c>
      <c r="E40" s="24" t="s">
        <v>224</v>
      </c>
      <c r="F40" s="23" t="s">
        <v>141</v>
      </c>
      <c r="G40" s="23" t="s">
        <v>104</v>
      </c>
      <c r="H40" s="22">
        <v>37279</v>
      </c>
      <c r="I40" s="22">
        <v>45203</v>
      </c>
      <c r="J40" s="22">
        <f>+I40+5</f>
        <v>45208</v>
      </c>
      <c r="K40" s="20" t="s">
        <v>99</v>
      </c>
      <c r="L40" s="37">
        <f t="shared" si="0"/>
        <v>1</v>
      </c>
      <c r="M40" s="21"/>
      <c r="N40" s="21"/>
      <c r="O40" s="21"/>
      <c r="P40" s="21"/>
      <c r="Q40" s="21"/>
      <c r="R40" s="41">
        <v>26</v>
      </c>
      <c r="S40" s="25">
        <v>26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42">
        <f t="shared" si="1"/>
        <v>26</v>
      </c>
      <c r="AB40" s="25">
        <v>0</v>
      </c>
      <c r="AC40" s="25">
        <v>0</v>
      </c>
      <c r="AD40" s="25">
        <f t="shared" si="2"/>
        <v>26</v>
      </c>
      <c r="AE40" s="16">
        <v>4400000</v>
      </c>
      <c r="AF40" s="14">
        <f t="shared" si="3"/>
        <v>169230.76923076922</v>
      </c>
      <c r="AG40" s="14">
        <f t="shared" si="4"/>
        <v>21153.846153846152</v>
      </c>
      <c r="AH40" s="19">
        <f t="shared" si="5"/>
        <v>4400000</v>
      </c>
      <c r="AI40" s="14">
        <f t="shared" si="6"/>
        <v>23557.692307692309</v>
      </c>
      <c r="AJ40" s="14">
        <f t="shared" si="7"/>
        <v>6346.1538461538457</v>
      </c>
      <c r="AK40" s="19">
        <f t="shared" si="8"/>
        <v>0</v>
      </c>
      <c r="AL40" s="14">
        <f t="shared" si="9"/>
        <v>0</v>
      </c>
      <c r="AM40" s="14">
        <f t="shared" si="10"/>
        <v>1</v>
      </c>
      <c r="AN40" s="19">
        <f t="shared" si="11"/>
        <v>169230.76923076922</v>
      </c>
      <c r="AO40" s="14">
        <v>0</v>
      </c>
      <c r="AP40" s="14">
        <v>0</v>
      </c>
      <c r="AQ40" s="14">
        <v>0</v>
      </c>
      <c r="AR40" s="18">
        <f t="shared" si="12"/>
        <v>0</v>
      </c>
      <c r="AS40" s="16">
        <f t="shared" si="13"/>
        <v>4569230.769230769</v>
      </c>
      <c r="AT40" s="55">
        <v>0</v>
      </c>
      <c r="AU40" s="14">
        <f t="shared" si="14"/>
        <v>0</v>
      </c>
      <c r="AV40" s="55">
        <v>500000</v>
      </c>
      <c r="AW40" s="14">
        <f t="shared" si="15"/>
        <v>500000</v>
      </c>
      <c r="AX40" s="55">
        <v>0</v>
      </c>
      <c r="AY40" s="14">
        <f t="shared" si="16"/>
        <v>0</v>
      </c>
      <c r="AZ40" s="55">
        <v>0</v>
      </c>
      <c r="BA40" s="14">
        <f t="shared" si="17"/>
        <v>0</v>
      </c>
      <c r="BB40" s="65">
        <v>0</v>
      </c>
      <c r="BC40" s="14">
        <f t="shared" si="18"/>
        <v>0</v>
      </c>
      <c r="BD40" s="55">
        <v>0</v>
      </c>
      <c r="BE40" s="14">
        <f t="shared" si="19"/>
        <v>0</v>
      </c>
      <c r="BF40" s="55">
        <v>500000</v>
      </c>
      <c r="BG40" s="14">
        <f t="shared" si="20"/>
        <v>500000</v>
      </c>
      <c r="BH40" s="55">
        <v>150000</v>
      </c>
      <c r="BI40" s="14">
        <f t="shared" si="21"/>
        <v>150000</v>
      </c>
      <c r="BJ40" s="55">
        <v>150000</v>
      </c>
      <c r="BK40" s="14">
        <f t="shared" si="22"/>
        <v>150000</v>
      </c>
      <c r="BL40" s="55">
        <v>300000</v>
      </c>
      <c r="BM40" s="14">
        <f t="shared" si="23"/>
        <v>300000</v>
      </c>
      <c r="BN40" s="14"/>
      <c r="BO40" s="14">
        <f t="shared" si="24"/>
        <v>31730.769230769227</v>
      </c>
      <c r="BP40" s="16">
        <f t="shared" si="25"/>
        <v>1600000</v>
      </c>
      <c r="BQ40" s="16">
        <f t="shared" si="26"/>
        <v>1631730.7692307692</v>
      </c>
      <c r="BR40" s="25"/>
      <c r="BS40" s="25"/>
      <c r="BT40" s="17">
        <f t="shared" si="27"/>
        <v>0</v>
      </c>
      <c r="BU40" s="14">
        <v>0</v>
      </c>
      <c r="BV40" s="14">
        <v>0</v>
      </c>
      <c r="BW40" s="17">
        <f t="shared" si="28"/>
        <v>0</v>
      </c>
      <c r="BX40" s="14">
        <v>0</v>
      </c>
      <c r="BY40" s="14">
        <v>0</v>
      </c>
      <c r="BZ40" s="17">
        <f t="shared" si="29"/>
        <v>0</v>
      </c>
      <c r="CA40" s="14">
        <v>0</v>
      </c>
      <c r="CB40" s="14">
        <v>0</v>
      </c>
      <c r="CC40" s="17">
        <f t="shared" si="30"/>
        <v>0</v>
      </c>
      <c r="CD40" s="14">
        <v>0</v>
      </c>
      <c r="CE40" s="14">
        <v>0</v>
      </c>
      <c r="CF40" s="17">
        <f t="shared" si="31"/>
        <v>0</v>
      </c>
      <c r="CG40" s="14">
        <v>0</v>
      </c>
      <c r="CH40" s="14">
        <v>0</v>
      </c>
      <c r="CI40" s="17">
        <f t="shared" si="32"/>
        <v>0</v>
      </c>
      <c r="CJ40" s="14">
        <v>0</v>
      </c>
      <c r="CK40" s="14">
        <v>0</v>
      </c>
      <c r="CL40" s="17">
        <f t="shared" si="33"/>
        <v>0</v>
      </c>
      <c r="CM40" s="56">
        <f t="shared" si="34"/>
        <v>0</v>
      </c>
      <c r="CN40" s="17">
        <f t="shared" si="35"/>
        <v>0</v>
      </c>
      <c r="CO40" s="14">
        <f t="shared" si="36"/>
        <v>0</v>
      </c>
      <c r="CP40" s="14">
        <f t="shared" si="37"/>
        <v>0</v>
      </c>
      <c r="CQ40" s="16">
        <f t="shared" si="38"/>
        <v>4900000</v>
      </c>
      <c r="CR40" s="14">
        <f t="shared" si="51"/>
        <v>392000</v>
      </c>
      <c r="CS40" s="14">
        <f t="shared" si="51"/>
        <v>73500</v>
      </c>
      <c r="CT40" s="14">
        <f t="shared" si="51"/>
        <v>49000</v>
      </c>
      <c r="CU40" s="14">
        <f t="shared" si="51"/>
        <v>857500</v>
      </c>
      <c r="CV40" s="14">
        <f t="shared" si="51"/>
        <v>147000</v>
      </c>
      <c r="CW40" s="14">
        <f t="shared" si="51"/>
        <v>49000</v>
      </c>
      <c r="CX40" s="16">
        <f t="shared" si="40"/>
        <v>514500</v>
      </c>
      <c r="CY40" s="16">
        <f t="shared" si="41"/>
        <v>1053500</v>
      </c>
      <c r="CZ40" s="14">
        <v>30000</v>
      </c>
      <c r="DA40" s="16">
        <f t="shared" si="42"/>
        <v>98000</v>
      </c>
      <c r="DB40" s="43">
        <f t="shared" si="49"/>
        <v>6200961.538461538</v>
      </c>
      <c r="DC40" s="15">
        <f t="shared" si="43"/>
        <v>0</v>
      </c>
      <c r="DD40" s="15">
        <v>0</v>
      </c>
      <c r="DE40" s="14">
        <f t="shared" si="44"/>
        <v>0</v>
      </c>
      <c r="DF40" s="14">
        <f t="shared" si="45"/>
        <v>0</v>
      </c>
      <c r="DG40" s="43">
        <f t="shared" si="46"/>
        <v>5656461.538461538</v>
      </c>
      <c r="DH40" s="14">
        <v>0</v>
      </c>
      <c r="DI40" s="14">
        <v>0</v>
      </c>
      <c r="DJ40" s="14">
        <v>0</v>
      </c>
      <c r="DK40" s="14">
        <v>0</v>
      </c>
      <c r="DL40" s="14">
        <f t="shared" si="47"/>
        <v>0</v>
      </c>
      <c r="DM40" s="14">
        <v>0</v>
      </c>
      <c r="DN40" s="44">
        <f t="shared" si="48"/>
        <v>5656462</v>
      </c>
      <c r="DO40" s="64"/>
      <c r="DP40" s="64"/>
      <c r="DQ40" s="64"/>
      <c r="DR40" s="64"/>
    </row>
    <row r="41" spans="1:122" s="13" customFormat="1" ht="46.15" customHeight="1">
      <c r="A41" s="37">
        <v>34</v>
      </c>
      <c r="B41" s="23" t="s">
        <v>215</v>
      </c>
      <c r="C41" s="23">
        <v>89</v>
      </c>
      <c r="D41" s="38" t="s">
        <v>220</v>
      </c>
      <c r="E41" s="24" t="s">
        <v>225</v>
      </c>
      <c r="F41" s="23" t="s">
        <v>141</v>
      </c>
      <c r="G41" s="23" t="s">
        <v>104</v>
      </c>
      <c r="H41" s="22">
        <v>37950</v>
      </c>
      <c r="I41" s="22">
        <v>45203</v>
      </c>
      <c r="J41" s="22">
        <f>+I41+5</f>
        <v>45208</v>
      </c>
      <c r="K41" s="20" t="s">
        <v>99</v>
      </c>
      <c r="L41" s="37">
        <f t="shared" si="0"/>
        <v>1</v>
      </c>
      <c r="M41" s="21"/>
      <c r="N41" s="21"/>
      <c r="O41" s="21"/>
      <c r="P41" s="21"/>
      <c r="Q41" s="21"/>
      <c r="R41" s="41">
        <v>26</v>
      </c>
      <c r="S41" s="25">
        <v>26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42">
        <f t="shared" si="1"/>
        <v>26</v>
      </c>
      <c r="AB41" s="25">
        <v>0</v>
      </c>
      <c r="AC41" s="25">
        <v>0</v>
      </c>
      <c r="AD41" s="25">
        <f t="shared" si="2"/>
        <v>26</v>
      </c>
      <c r="AE41" s="16">
        <v>4400000</v>
      </c>
      <c r="AF41" s="14">
        <f t="shared" si="3"/>
        <v>169230.76923076922</v>
      </c>
      <c r="AG41" s="14">
        <f t="shared" si="4"/>
        <v>21153.846153846152</v>
      </c>
      <c r="AH41" s="19">
        <f t="shared" si="5"/>
        <v>4400000</v>
      </c>
      <c r="AI41" s="14">
        <f t="shared" si="6"/>
        <v>25000</v>
      </c>
      <c r="AJ41" s="14">
        <f t="shared" si="7"/>
        <v>6346.1538461538457</v>
      </c>
      <c r="AK41" s="19">
        <f t="shared" si="8"/>
        <v>0</v>
      </c>
      <c r="AL41" s="14">
        <f t="shared" si="9"/>
        <v>0</v>
      </c>
      <c r="AM41" s="14">
        <f t="shared" si="10"/>
        <v>1</v>
      </c>
      <c r="AN41" s="19">
        <f t="shared" si="11"/>
        <v>169230.76923076922</v>
      </c>
      <c r="AO41" s="14">
        <v>0</v>
      </c>
      <c r="AP41" s="14">
        <v>0</v>
      </c>
      <c r="AQ41" s="14">
        <v>0</v>
      </c>
      <c r="AR41" s="18">
        <f t="shared" si="12"/>
        <v>0</v>
      </c>
      <c r="AS41" s="16">
        <f t="shared" si="13"/>
        <v>4569230.769230769</v>
      </c>
      <c r="AT41" s="55">
        <v>0</v>
      </c>
      <c r="AU41" s="14">
        <f t="shared" si="14"/>
        <v>0</v>
      </c>
      <c r="AV41" s="55">
        <v>500000</v>
      </c>
      <c r="AW41" s="14">
        <f t="shared" si="15"/>
        <v>500000</v>
      </c>
      <c r="AX41" s="55">
        <v>0</v>
      </c>
      <c r="AY41" s="14">
        <f t="shared" si="16"/>
        <v>0</v>
      </c>
      <c r="AZ41" s="55">
        <v>0</v>
      </c>
      <c r="BA41" s="14">
        <f t="shared" si="17"/>
        <v>0</v>
      </c>
      <c r="BB41" s="65">
        <v>300000</v>
      </c>
      <c r="BC41" s="14">
        <f t="shared" si="18"/>
        <v>300000</v>
      </c>
      <c r="BD41" s="55">
        <v>0</v>
      </c>
      <c r="BE41" s="14">
        <f t="shared" si="19"/>
        <v>0</v>
      </c>
      <c r="BF41" s="55">
        <v>500000</v>
      </c>
      <c r="BG41" s="14">
        <f t="shared" si="20"/>
        <v>500000</v>
      </c>
      <c r="BH41" s="55">
        <v>150000</v>
      </c>
      <c r="BI41" s="14">
        <f t="shared" si="21"/>
        <v>150000</v>
      </c>
      <c r="BJ41" s="55">
        <v>150000</v>
      </c>
      <c r="BK41" s="14">
        <f t="shared" si="22"/>
        <v>150000</v>
      </c>
      <c r="BL41" s="55">
        <v>300000</v>
      </c>
      <c r="BM41" s="14">
        <f t="shared" si="23"/>
        <v>300000</v>
      </c>
      <c r="BN41" s="14"/>
      <c r="BO41" s="14">
        <f t="shared" si="24"/>
        <v>31730.769230769227</v>
      </c>
      <c r="BP41" s="16">
        <f t="shared" si="25"/>
        <v>1900000</v>
      </c>
      <c r="BQ41" s="16">
        <f t="shared" si="26"/>
        <v>1931730.7692307692</v>
      </c>
      <c r="BR41" s="25"/>
      <c r="BS41" s="25"/>
      <c r="BT41" s="17">
        <f t="shared" si="27"/>
        <v>0</v>
      </c>
      <c r="BU41" s="14">
        <v>0</v>
      </c>
      <c r="BV41" s="14">
        <v>0</v>
      </c>
      <c r="BW41" s="17">
        <f t="shared" si="28"/>
        <v>0</v>
      </c>
      <c r="BX41" s="14">
        <v>0</v>
      </c>
      <c r="BY41" s="14">
        <v>0</v>
      </c>
      <c r="BZ41" s="17">
        <f t="shared" si="29"/>
        <v>0</v>
      </c>
      <c r="CA41" s="14">
        <v>0</v>
      </c>
      <c r="CB41" s="14">
        <v>0</v>
      </c>
      <c r="CC41" s="17">
        <f t="shared" si="30"/>
        <v>0</v>
      </c>
      <c r="CD41" s="14">
        <v>0</v>
      </c>
      <c r="CE41" s="14">
        <v>0</v>
      </c>
      <c r="CF41" s="17">
        <f t="shared" si="31"/>
        <v>0</v>
      </c>
      <c r="CG41" s="14">
        <v>0</v>
      </c>
      <c r="CH41" s="14">
        <v>0</v>
      </c>
      <c r="CI41" s="17">
        <f t="shared" si="32"/>
        <v>0</v>
      </c>
      <c r="CJ41" s="14">
        <v>0</v>
      </c>
      <c r="CK41" s="14">
        <v>0</v>
      </c>
      <c r="CL41" s="17">
        <f t="shared" si="33"/>
        <v>0</v>
      </c>
      <c r="CM41" s="56">
        <f t="shared" si="34"/>
        <v>0</v>
      </c>
      <c r="CN41" s="17">
        <f t="shared" si="35"/>
        <v>0</v>
      </c>
      <c r="CO41" s="14">
        <f t="shared" si="36"/>
        <v>0</v>
      </c>
      <c r="CP41" s="14">
        <f t="shared" si="37"/>
        <v>0</v>
      </c>
      <c r="CQ41" s="16">
        <f t="shared" si="38"/>
        <v>5200000</v>
      </c>
      <c r="CR41" s="14">
        <f t="shared" si="51"/>
        <v>416000</v>
      </c>
      <c r="CS41" s="14">
        <f t="shared" si="51"/>
        <v>78000</v>
      </c>
      <c r="CT41" s="14">
        <f t="shared" si="51"/>
        <v>52000</v>
      </c>
      <c r="CU41" s="14">
        <f t="shared" si="51"/>
        <v>910000</v>
      </c>
      <c r="CV41" s="14">
        <f t="shared" si="51"/>
        <v>156000</v>
      </c>
      <c r="CW41" s="14">
        <f t="shared" si="51"/>
        <v>52000</v>
      </c>
      <c r="CX41" s="16">
        <f t="shared" si="40"/>
        <v>546000</v>
      </c>
      <c r="CY41" s="16">
        <f t="shared" si="41"/>
        <v>1118000</v>
      </c>
      <c r="CZ41" s="14">
        <v>30000</v>
      </c>
      <c r="DA41" s="16">
        <f t="shared" si="42"/>
        <v>104000</v>
      </c>
      <c r="DB41" s="43">
        <f t="shared" si="49"/>
        <v>6500961.538461538</v>
      </c>
      <c r="DC41" s="15">
        <f t="shared" si="43"/>
        <v>0</v>
      </c>
      <c r="DD41" s="15">
        <v>0</v>
      </c>
      <c r="DE41" s="14">
        <f t="shared" si="44"/>
        <v>0</v>
      </c>
      <c r="DF41" s="14">
        <f t="shared" si="45"/>
        <v>0</v>
      </c>
      <c r="DG41" s="43">
        <f t="shared" si="46"/>
        <v>5924961.538461538</v>
      </c>
      <c r="DH41" s="14">
        <v>0</v>
      </c>
      <c r="DI41" s="14">
        <v>0</v>
      </c>
      <c r="DJ41" s="14">
        <v>0</v>
      </c>
      <c r="DK41" s="14">
        <v>0</v>
      </c>
      <c r="DL41" s="14">
        <f t="shared" si="47"/>
        <v>0</v>
      </c>
      <c r="DM41" s="14">
        <v>0</v>
      </c>
      <c r="DN41" s="44">
        <f t="shared" si="48"/>
        <v>5924962</v>
      </c>
      <c r="DO41" s="64"/>
      <c r="DP41" s="64"/>
      <c r="DQ41" s="64"/>
      <c r="DR41" s="64"/>
    </row>
    <row r="42" spans="1:122" s="13" customFormat="1" ht="46.15" customHeight="1">
      <c r="A42" s="37">
        <v>35</v>
      </c>
      <c r="B42" s="23" t="s">
        <v>216</v>
      </c>
      <c r="C42" s="23">
        <v>91</v>
      </c>
      <c r="D42" s="38" t="s">
        <v>221</v>
      </c>
      <c r="E42" s="24" t="s">
        <v>226</v>
      </c>
      <c r="F42" s="23" t="s">
        <v>141</v>
      </c>
      <c r="G42" s="23" t="s">
        <v>104</v>
      </c>
      <c r="H42" s="22">
        <v>33394</v>
      </c>
      <c r="I42" s="22">
        <v>45215</v>
      </c>
      <c r="J42" s="22">
        <f>+I42+5</f>
        <v>45220</v>
      </c>
      <c r="K42" s="20" t="s">
        <v>99</v>
      </c>
      <c r="L42" s="37">
        <f t="shared" si="0"/>
        <v>1</v>
      </c>
      <c r="M42" s="21"/>
      <c r="N42" s="21"/>
      <c r="O42" s="21"/>
      <c r="P42" s="21"/>
      <c r="Q42" s="21"/>
      <c r="R42" s="41">
        <v>26</v>
      </c>
      <c r="S42" s="25">
        <v>26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42">
        <f t="shared" si="1"/>
        <v>26</v>
      </c>
      <c r="AB42" s="25">
        <v>0</v>
      </c>
      <c r="AC42" s="25">
        <v>0</v>
      </c>
      <c r="AD42" s="25">
        <f t="shared" si="2"/>
        <v>26</v>
      </c>
      <c r="AE42" s="16">
        <v>4400000</v>
      </c>
      <c r="AF42" s="14">
        <f t="shared" si="3"/>
        <v>169230.76923076922</v>
      </c>
      <c r="AG42" s="14">
        <f t="shared" si="4"/>
        <v>21153.846153846152</v>
      </c>
      <c r="AH42" s="19">
        <f t="shared" si="5"/>
        <v>4400000</v>
      </c>
      <c r="AI42" s="14">
        <f t="shared" si="6"/>
        <v>25000</v>
      </c>
      <c r="AJ42" s="14">
        <f t="shared" si="7"/>
        <v>6346.1538461538457</v>
      </c>
      <c r="AK42" s="19">
        <f t="shared" si="8"/>
        <v>0</v>
      </c>
      <c r="AL42" s="14">
        <f t="shared" si="9"/>
        <v>0</v>
      </c>
      <c r="AM42" s="14">
        <f t="shared" si="10"/>
        <v>1</v>
      </c>
      <c r="AN42" s="19">
        <f t="shared" si="11"/>
        <v>169230.76923076922</v>
      </c>
      <c r="AO42" s="14">
        <v>0</v>
      </c>
      <c r="AP42" s="14">
        <v>0</v>
      </c>
      <c r="AQ42" s="14">
        <v>0</v>
      </c>
      <c r="AR42" s="18">
        <f t="shared" si="12"/>
        <v>0</v>
      </c>
      <c r="AS42" s="16">
        <f t="shared" si="13"/>
        <v>4569230.769230769</v>
      </c>
      <c r="AT42" s="55">
        <v>0</v>
      </c>
      <c r="AU42" s="14">
        <f t="shared" si="14"/>
        <v>0</v>
      </c>
      <c r="AV42" s="55">
        <v>500000</v>
      </c>
      <c r="AW42" s="14">
        <f t="shared" si="15"/>
        <v>500000</v>
      </c>
      <c r="AX42" s="55">
        <v>0</v>
      </c>
      <c r="AY42" s="14">
        <f t="shared" si="16"/>
        <v>0</v>
      </c>
      <c r="AZ42" s="55">
        <v>0</v>
      </c>
      <c r="BA42" s="14">
        <f t="shared" si="17"/>
        <v>0</v>
      </c>
      <c r="BB42" s="65">
        <v>300000</v>
      </c>
      <c r="BC42" s="14">
        <f t="shared" si="18"/>
        <v>300000</v>
      </c>
      <c r="BD42" s="55">
        <v>0</v>
      </c>
      <c r="BE42" s="14">
        <f t="shared" si="19"/>
        <v>0</v>
      </c>
      <c r="BF42" s="55">
        <v>500000</v>
      </c>
      <c r="BG42" s="14">
        <f t="shared" si="20"/>
        <v>500000</v>
      </c>
      <c r="BH42" s="55">
        <v>150000</v>
      </c>
      <c r="BI42" s="14">
        <f t="shared" si="21"/>
        <v>150000</v>
      </c>
      <c r="BJ42" s="55">
        <v>150000</v>
      </c>
      <c r="BK42" s="14">
        <f t="shared" si="22"/>
        <v>150000</v>
      </c>
      <c r="BL42" s="55">
        <v>300000</v>
      </c>
      <c r="BM42" s="14">
        <f t="shared" si="23"/>
        <v>300000</v>
      </c>
      <c r="BN42" s="14"/>
      <c r="BO42" s="14">
        <f t="shared" si="24"/>
        <v>31730.769230769227</v>
      </c>
      <c r="BP42" s="16">
        <f t="shared" si="25"/>
        <v>1900000</v>
      </c>
      <c r="BQ42" s="16">
        <f t="shared" si="26"/>
        <v>1931730.7692307692</v>
      </c>
      <c r="BR42" s="25"/>
      <c r="BS42" s="25"/>
      <c r="BT42" s="17">
        <f t="shared" si="27"/>
        <v>0</v>
      </c>
      <c r="BU42" s="14">
        <v>0</v>
      </c>
      <c r="BV42" s="14">
        <v>0</v>
      </c>
      <c r="BW42" s="17">
        <f t="shared" si="28"/>
        <v>0</v>
      </c>
      <c r="BX42" s="14">
        <v>0</v>
      </c>
      <c r="BY42" s="14">
        <v>0</v>
      </c>
      <c r="BZ42" s="17">
        <f t="shared" si="29"/>
        <v>0</v>
      </c>
      <c r="CA42" s="14">
        <v>0</v>
      </c>
      <c r="CB42" s="14">
        <v>0</v>
      </c>
      <c r="CC42" s="17">
        <f t="shared" si="30"/>
        <v>0</v>
      </c>
      <c r="CD42" s="14">
        <v>0</v>
      </c>
      <c r="CE42" s="14">
        <v>0</v>
      </c>
      <c r="CF42" s="17">
        <f t="shared" si="31"/>
        <v>0</v>
      </c>
      <c r="CG42" s="14">
        <v>0</v>
      </c>
      <c r="CH42" s="14">
        <v>0</v>
      </c>
      <c r="CI42" s="17">
        <f t="shared" si="32"/>
        <v>0</v>
      </c>
      <c r="CJ42" s="14">
        <v>0</v>
      </c>
      <c r="CK42" s="14">
        <v>0</v>
      </c>
      <c r="CL42" s="17">
        <f t="shared" si="33"/>
        <v>0</v>
      </c>
      <c r="CM42" s="56">
        <f t="shared" si="34"/>
        <v>0</v>
      </c>
      <c r="CN42" s="17">
        <f t="shared" si="35"/>
        <v>0</v>
      </c>
      <c r="CO42" s="14">
        <f t="shared" si="36"/>
        <v>0</v>
      </c>
      <c r="CP42" s="14">
        <f t="shared" si="37"/>
        <v>0</v>
      </c>
      <c r="CQ42" s="16">
        <f t="shared" si="38"/>
        <v>5200000</v>
      </c>
      <c r="CR42" s="14">
        <f t="shared" si="51"/>
        <v>416000</v>
      </c>
      <c r="CS42" s="14">
        <f t="shared" si="51"/>
        <v>78000</v>
      </c>
      <c r="CT42" s="14">
        <f t="shared" si="51"/>
        <v>52000</v>
      </c>
      <c r="CU42" s="14">
        <f t="shared" si="51"/>
        <v>910000</v>
      </c>
      <c r="CV42" s="14">
        <f t="shared" si="51"/>
        <v>156000</v>
      </c>
      <c r="CW42" s="14">
        <f t="shared" si="51"/>
        <v>52000</v>
      </c>
      <c r="CX42" s="16">
        <f t="shared" si="40"/>
        <v>546000</v>
      </c>
      <c r="CY42" s="16">
        <f t="shared" si="41"/>
        <v>1118000</v>
      </c>
      <c r="CZ42" s="14">
        <v>30000</v>
      </c>
      <c r="DA42" s="16">
        <f t="shared" si="42"/>
        <v>104000</v>
      </c>
      <c r="DB42" s="43">
        <f t="shared" si="49"/>
        <v>6500961.538461538</v>
      </c>
      <c r="DC42" s="15">
        <f t="shared" si="43"/>
        <v>0</v>
      </c>
      <c r="DD42" s="15">
        <v>0</v>
      </c>
      <c r="DE42" s="14">
        <f t="shared" si="44"/>
        <v>0</v>
      </c>
      <c r="DF42" s="14">
        <f t="shared" si="45"/>
        <v>0</v>
      </c>
      <c r="DG42" s="43">
        <f t="shared" si="46"/>
        <v>5924961.538461538</v>
      </c>
      <c r="DH42" s="14">
        <v>0</v>
      </c>
      <c r="DI42" s="14">
        <v>0</v>
      </c>
      <c r="DJ42" s="14">
        <v>0</v>
      </c>
      <c r="DK42" s="14">
        <v>0</v>
      </c>
      <c r="DL42" s="14">
        <f t="shared" si="47"/>
        <v>0</v>
      </c>
      <c r="DM42" s="14">
        <v>0</v>
      </c>
      <c r="DN42" s="44">
        <f t="shared" si="48"/>
        <v>5924962</v>
      </c>
      <c r="DO42" s="64"/>
      <c r="DP42" s="64"/>
      <c r="DQ42" s="64"/>
      <c r="DR42" s="64"/>
    </row>
    <row r="43" spans="1:122" s="13" customFormat="1" ht="46.15" customHeight="1">
      <c r="A43" s="37">
        <v>36</v>
      </c>
      <c r="B43" s="23" t="s">
        <v>228</v>
      </c>
      <c r="C43" s="23">
        <v>94</v>
      </c>
      <c r="D43" s="38" t="s">
        <v>231</v>
      </c>
      <c r="E43" s="24" t="s">
        <v>234</v>
      </c>
      <c r="F43" s="23" t="s">
        <v>141</v>
      </c>
      <c r="G43" s="23" t="s">
        <v>104</v>
      </c>
      <c r="H43" s="22">
        <v>35748</v>
      </c>
      <c r="I43" s="22">
        <v>45238</v>
      </c>
      <c r="J43" s="22">
        <f>+I43+5</f>
        <v>45243</v>
      </c>
      <c r="K43" s="20" t="s">
        <v>99</v>
      </c>
      <c r="L43" s="37">
        <f t="shared" si="0"/>
        <v>1</v>
      </c>
      <c r="M43" s="21"/>
      <c r="N43" s="21"/>
      <c r="O43" s="21"/>
      <c r="P43" s="21"/>
      <c r="Q43" s="21"/>
      <c r="R43" s="41">
        <v>26</v>
      </c>
      <c r="S43" s="25">
        <v>26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42">
        <f t="shared" si="1"/>
        <v>26</v>
      </c>
      <c r="AB43" s="25">
        <v>0</v>
      </c>
      <c r="AC43" s="25">
        <v>0</v>
      </c>
      <c r="AD43" s="25">
        <f t="shared" si="2"/>
        <v>26</v>
      </c>
      <c r="AE43" s="16">
        <v>4400000</v>
      </c>
      <c r="AF43" s="14">
        <f t="shared" si="3"/>
        <v>169230.76923076922</v>
      </c>
      <c r="AG43" s="14">
        <f t="shared" si="4"/>
        <v>21153.846153846152</v>
      </c>
      <c r="AH43" s="19">
        <f t="shared" si="5"/>
        <v>4400000</v>
      </c>
      <c r="AI43" s="14">
        <f t="shared" si="6"/>
        <v>23557.692307692309</v>
      </c>
      <c r="AJ43" s="14">
        <f t="shared" si="7"/>
        <v>6346.1538461538457</v>
      </c>
      <c r="AK43" s="19">
        <f t="shared" si="8"/>
        <v>0</v>
      </c>
      <c r="AL43" s="14">
        <f t="shared" si="9"/>
        <v>0</v>
      </c>
      <c r="AM43" s="14">
        <f t="shared" si="10"/>
        <v>1</v>
      </c>
      <c r="AN43" s="19">
        <f t="shared" si="11"/>
        <v>169230.76923076922</v>
      </c>
      <c r="AO43" s="14">
        <v>0</v>
      </c>
      <c r="AP43" s="14">
        <v>0</v>
      </c>
      <c r="AQ43" s="14">
        <v>0</v>
      </c>
      <c r="AR43" s="18">
        <f t="shared" si="12"/>
        <v>0</v>
      </c>
      <c r="AS43" s="16">
        <f t="shared" si="13"/>
        <v>4569230.769230769</v>
      </c>
      <c r="AT43" s="55">
        <v>0</v>
      </c>
      <c r="AU43" s="14">
        <f t="shared" si="14"/>
        <v>0</v>
      </c>
      <c r="AV43" s="55">
        <v>500000</v>
      </c>
      <c r="AW43" s="14">
        <f t="shared" si="15"/>
        <v>500000</v>
      </c>
      <c r="AX43" s="55">
        <v>0</v>
      </c>
      <c r="AY43" s="14">
        <f t="shared" si="16"/>
        <v>0</v>
      </c>
      <c r="AZ43" s="55">
        <v>0</v>
      </c>
      <c r="BA43" s="14">
        <f t="shared" si="17"/>
        <v>0</v>
      </c>
      <c r="BB43" s="65">
        <v>0</v>
      </c>
      <c r="BC43" s="14">
        <f t="shared" si="18"/>
        <v>0</v>
      </c>
      <c r="BD43" s="55">
        <v>0</v>
      </c>
      <c r="BE43" s="14">
        <f t="shared" si="19"/>
        <v>0</v>
      </c>
      <c r="BF43" s="55">
        <v>500000</v>
      </c>
      <c r="BG43" s="14">
        <f t="shared" si="20"/>
        <v>500000</v>
      </c>
      <c r="BH43" s="55">
        <v>150000</v>
      </c>
      <c r="BI43" s="14">
        <f t="shared" si="21"/>
        <v>150000</v>
      </c>
      <c r="BJ43" s="55">
        <v>150000</v>
      </c>
      <c r="BK43" s="14">
        <f t="shared" si="22"/>
        <v>150000</v>
      </c>
      <c r="BL43" s="55">
        <v>300000</v>
      </c>
      <c r="BM43" s="14">
        <f t="shared" si="23"/>
        <v>300000</v>
      </c>
      <c r="BN43" s="14"/>
      <c r="BO43" s="14">
        <f t="shared" si="24"/>
        <v>31730.769230769227</v>
      </c>
      <c r="BP43" s="16">
        <f t="shared" si="25"/>
        <v>1600000</v>
      </c>
      <c r="BQ43" s="16">
        <f t="shared" si="26"/>
        <v>1631730.7692307692</v>
      </c>
      <c r="BR43" s="25"/>
      <c r="BS43" s="25"/>
      <c r="BT43" s="17">
        <f t="shared" si="27"/>
        <v>0</v>
      </c>
      <c r="BU43" s="14">
        <v>0</v>
      </c>
      <c r="BV43" s="14">
        <v>0</v>
      </c>
      <c r="BW43" s="17">
        <f t="shared" si="28"/>
        <v>0</v>
      </c>
      <c r="BX43" s="14">
        <v>0</v>
      </c>
      <c r="BY43" s="14">
        <v>0</v>
      </c>
      <c r="BZ43" s="17">
        <f t="shared" si="29"/>
        <v>0</v>
      </c>
      <c r="CA43" s="14">
        <v>0</v>
      </c>
      <c r="CB43" s="14">
        <v>0</v>
      </c>
      <c r="CC43" s="17">
        <f t="shared" si="30"/>
        <v>0</v>
      </c>
      <c r="CD43" s="14">
        <v>0</v>
      </c>
      <c r="CE43" s="14">
        <v>0</v>
      </c>
      <c r="CF43" s="17">
        <f t="shared" si="31"/>
        <v>0</v>
      </c>
      <c r="CG43" s="14">
        <v>0</v>
      </c>
      <c r="CH43" s="14">
        <v>0</v>
      </c>
      <c r="CI43" s="17">
        <f t="shared" si="32"/>
        <v>0</v>
      </c>
      <c r="CJ43" s="14">
        <v>0</v>
      </c>
      <c r="CK43" s="14">
        <v>0</v>
      </c>
      <c r="CL43" s="17">
        <f t="shared" si="33"/>
        <v>0</v>
      </c>
      <c r="CM43" s="56">
        <f t="shared" si="34"/>
        <v>0</v>
      </c>
      <c r="CN43" s="17">
        <f t="shared" si="35"/>
        <v>0</v>
      </c>
      <c r="CO43" s="14">
        <f t="shared" si="36"/>
        <v>0</v>
      </c>
      <c r="CP43" s="14">
        <f t="shared" si="37"/>
        <v>0</v>
      </c>
      <c r="CQ43" s="16">
        <f t="shared" si="38"/>
        <v>4900000</v>
      </c>
      <c r="CR43" s="14">
        <f t="shared" si="51"/>
        <v>392000</v>
      </c>
      <c r="CS43" s="14">
        <f t="shared" si="51"/>
        <v>73500</v>
      </c>
      <c r="CT43" s="14">
        <f t="shared" si="51"/>
        <v>49000</v>
      </c>
      <c r="CU43" s="14">
        <f t="shared" si="51"/>
        <v>857500</v>
      </c>
      <c r="CV43" s="14">
        <f t="shared" si="51"/>
        <v>147000</v>
      </c>
      <c r="CW43" s="14">
        <f t="shared" si="51"/>
        <v>49000</v>
      </c>
      <c r="CX43" s="16">
        <f t="shared" si="40"/>
        <v>514500</v>
      </c>
      <c r="CY43" s="16">
        <f t="shared" si="41"/>
        <v>1053500</v>
      </c>
      <c r="CZ43" s="14">
        <v>30000</v>
      </c>
      <c r="DA43" s="16">
        <f t="shared" si="42"/>
        <v>98000</v>
      </c>
      <c r="DB43" s="43">
        <f t="shared" si="49"/>
        <v>6200961.538461538</v>
      </c>
      <c r="DC43" s="15">
        <f t="shared" si="43"/>
        <v>0</v>
      </c>
      <c r="DD43" s="15">
        <v>0</v>
      </c>
      <c r="DE43" s="14">
        <f t="shared" si="44"/>
        <v>0</v>
      </c>
      <c r="DF43" s="14">
        <f t="shared" si="45"/>
        <v>0</v>
      </c>
      <c r="DG43" s="43">
        <f t="shared" si="46"/>
        <v>5656461.538461538</v>
      </c>
      <c r="DH43" s="14">
        <v>0</v>
      </c>
      <c r="DI43" s="14">
        <v>0</v>
      </c>
      <c r="DJ43" s="14">
        <v>0</v>
      </c>
      <c r="DK43" s="14">
        <v>0</v>
      </c>
      <c r="DL43" s="14">
        <f t="shared" si="47"/>
        <v>0</v>
      </c>
      <c r="DM43" s="14">
        <v>0</v>
      </c>
      <c r="DN43" s="44">
        <f t="shared" si="48"/>
        <v>5656462</v>
      </c>
      <c r="DO43" s="64"/>
      <c r="DP43" s="64"/>
      <c r="DQ43" s="64"/>
      <c r="DR43" s="64"/>
    </row>
    <row r="44" spans="1:122" s="13" customFormat="1" ht="46.15" customHeight="1">
      <c r="A44" s="37">
        <v>37</v>
      </c>
      <c r="B44" s="23" t="s">
        <v>229</v>
      </c>
      <c r="C44" s="23">
        <v>95</v>
      </c>
      <c r="D44" s="38" t="s">
        <v>232</v>
      </c>
      <c r="E44" s="24" t="s">
        <v>235</v>
      </c>
      <c r="F44" s="23" t="s">
        <v>141</v>
      </c>
      <c r="G44" s="23" t="s">
        <v>104</v>
      </c>
      <c r="H44" s="22">
        <v>34654</v>
      </c>
      <c r="I44" s="22">
        <v>45238</v>
      </c>
      <c r="J44" s="22">
        <f t="shared" ref="J44:J45" si="52">+I44+5</f>
        <v>45243</v>
      </c>
      <c r="K44" s="20" t="s">
        <v>99</v>
      </c>
      <c r="L44" s="37">
        <f t="shared" si="0"/>
        <v>1</v>
      </c>
      <c r="M44" s="21"/>
      <c r="N44" s="21"/>
      <c r="O44" s="21"/>
      <c r="P44" s="21"/>
      <c r="Q44" s="21"/>
      <c r="R44" s="41">
        <v>26</v>
      </c>
      <c r="S44" s="25">
        <v>26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42">
        <f t="shared" si="1"/>
        <v>26</v>
      </c>
      <c r="AB44" s="25">
        <v>0</v>
      </c>
      <c r="AC44" s="25">
        <v>0</v>
      </c>
      <c r="AD44" s="25">
        <f t="shared" si="2"/>
        <v>26</v>
      </c>
      <c r="AE44" s="16">
        <v>4400000</v>
      </c>
      <c r="AF44" s="14">
        <f t="shared" si="3"/>
        <v>169230.76923076922</v>
      </c>
      <c r="AG44" s="14">
        <f t="shared" si="4"/>
        <v>21153.846153846152</v>
      </c>
      <c r="AH44" s="19">
        <f t="shared" si="5"/>
        <v>4400000</v>
      </c>
      <c r="AI44" s="14">
        <f t="shared" si="6"/>
        <v>23557.692307692309</v>
      </c>
      <c r="AJ44" s="14">
        <f t="shared" si="7"/>
        <v>6346.1538461538457</v>
      </c>
      <c r="AK44" s="19">
        <f t="shared" si="8"/>
        <v>0</v>
      </c>
      <c r="AL44" s="14">
        <f t="shared" si="9"/>
        <v>0</v>
      </c>
      <c r="AM44" s="14">
        <f t="shared" si="10"/>
        <v>1</v>
      </c>
      <c r="AN44" s="19">
        <f t="shared" si="11"/>
        <v>169230.76923076922</v>
      </c>
      <c r="AO44" s="14">
        <v>0</v>
      </c>
      <c r="AP44" s="14">
        <v>0</v>
      </c>
      <c r="AQ44" s="14">
        <v>0</v>
      </c>
      <c r="AR44" s="18">
        <f t="shared" si="12"/>
        <v>0</v>
      </c>
      <c r="AS44" s="16">
        <f t="shared" si="13"/>
        <v>4569230.769230769</v>
      </c>
      <c r="AT44" s="55">
        <v>0</v>
      </c>
      <c r="AU44" s="14">
        <f t="shared" si="14"/>
        <v>0</v>
      </c>
      <c r="AV44" s="55">
        <v>500000</v>
      </c>
      <c r="AW44" s="14">
        <f t="shared" si="15"/>
        <v>500000</v>
      </c>
      <c r="AX44" s="55">
        <v>0</v>
      </c>
      <c r="AY44" s="14">
        <f t="shared" si="16"/>
        <v>0</v>
      </c>
      <c r="AZ44" s="55">
        <v>0</v>
      </c>
      <c r="BA44" s="14">
        <f t="shared" si="17"/>
        <v>0</v>
      </c>
      <c r="BB44" s="65">
        <v>0</v>
      </c>
      <c r="BC44" s="14">
        <f t="shared" si="18"/>
        <v>0</v>
      </c>
      <c r="BD44" s="55">
        <v>0</v>
      </c>
      <c r="BE44" s="14">
        <f t="shared" si="19"/>
        <v>0</v>
      </c>
      <c r="BF44" s="55">
        <v>500000</v>
      </c>
      <c r="BG44" s="14">
        <f t="shared" si="20"/>
        <v>500000</v>
      </c>
      <c r="BH44" s="55">
        <v>150000</v>
      </c>
      <c r="BI44" s="14">
        <f t="shared" si="21"/>
        <v>150000</v>
      </c>
      <c r="BJ44" s="55">
        <v>150000</v>
      </c>
      <c r="BK44" s="14">
        <f t="shared" si="22"/>
        <v>150000</v>
      </c>
      <c r="BL44" s="55">
        <v>300000</v>
      </c>
      <c r="BM44" s="14">
        <f t="shared" si="23"/>
        <v>300000</v>
      </c>
      <c r="BN44" s="14"/>
      <c r="BO44" s="14">
        <f t="shared" si="24"/>
        <v>31730.769230769227</v>
      </c>
      <c r="BP44" s="16">
        <f t="shared" si="25"/>
        <v>1600000</v>
      </c>
      <c r="BQ44" s="16">
        <f t="shared" si="26"/>
        <v>1631730.7692307692</v>
      </c>
      <c r="BR44" s="25"/>
      <c r="BS44" s="25"/>
      <c r="BT44" s="17">
        <f t="shared" si="27"/>
        <v>0</v>
      </c>
      <c r="BU44" s="14">
        <v>0</v>
      </c>
      <c r="BV44" s="14">
        <v>0</v>
      </c>
      <c r="BW44" s="17">
        <f t="shared" si="28"/>
        <v>0</v>
      </c>
      <c r="BX44" s="14">
        <v>0</v>
      </c>
      <c r="BY44" s="14">
        <v>0</v>
      </c>
      <c r="BZ44" s="17">
        <f t="shared" si="29"/>
        <v>0</v>
      </c>
      <c r="CA44" s="14">
        <v>0</v>
      </c>
      <c r="CB44" s="14">
        <v>0</v>
      </c>
      <c r="CC44" s="17">
        <f t="shared" si="30"/>
        <v>0</v>
      </c>
      <c r="CD44" s="14">
        <v>0</v>
      </c>
      <c r="CE44" s="14">
        <v>0</v>
      </c>
      <c r="CF44" s="17">
        <f t="shared" si="31"/>
        <v>0</v>
      </c>
      <c r="CG44" s="14">
        <v>0</v>
      </c>
      <c r="CH44" s="14">
        <v>0</v>
      </c>
      <c r="CI44" s="17">
        <f t="shared" si="32"/>
        <v>0</v>
      </c>
      <c r="CJ44" s="14">
        <v>0</v>
      </c>
      <c r="CK44" s="14">
        <v>0</v>
      </c>
      <c r="CL44" s="17">
        <f t="shared" si="33"/>
        <v>0</v>
      </c>
      <c r="CM44" s="56">
        <f t="shared" si="34"/>
        <v>0</v>
      </c>
      <c r="CN44" s="17">
        <f t="shared" si="35"/>
        <v>0</v>
      </c>
      <c r="CO44" s="14">
        <f t="shared" si="36"/>
        <v>0</v>
      </c>
      <c r="CP44" s="14">
        <f t="shared" si="37"/>
        <v>0</v>
      </c>
      <c r="CQ44" s="16">
        <f t="shared" si="38"/>
        <v>4900000</v>
      </c>
      <c r="CR44" s="14">
        <f t="shared" si="51"/>
        <v>392000</v>
      </c>
      <c r="CS44" s="14">
        <f t="shared" si="51"/>
        <v>73500</v>
      </c>
      <c r="CT44" s="14">
        <f t="shared" si="51"/>
        <v>49000</v>
      </c>
      <c r="CU44" s="14">
        <f t="shared" si="51"/>
        <v>857500</v>
      </c>
      <c r="CV44" s="14">
        <f t="shared" si="51"/>
        <v>147000</v>
      </c>
      <c r="CW44" s="14">
        <f t="shared" si="51"/>
        <v>49000</v>
      </c>
      <c r="CX44" s="16">
        <f t="shared" si="40"/>
        <v>514500</v>
      </c>
      <c r="CY44" s="16">
        <f t="shared" si="41"/>
        <v>1053500</v>
      </c>
      <c r="CZ44" s="14">
        <v>30000</v>
      </c>
      <c r="DA44" s="16">
        <f t="shared" si="42"/>
        <v>98000</v>
      </c>
      <c r="DB44" s="43">
        <f t="shared" si="49"/>
        <v>6200961.538461538</v>
      </c>
      <c r="DC44" s="15">
        <f t="shared" si="43"/>
        <v>0</v>
      </c>
      <c r="DD44" s="15">
        <v>0</v>
      </c>
      <c r="DE44" s="14">
        <f t="shared" si="44"/>
        <v>0</v>
      </c>
      <c r="DF44" s="14">
        <f t="shared" si="45"/>
        <v>0</v>
      </c>
      <c r="DG44" s="43">
        <f t="shared" si="46"/>
        <v>5656461.538461538</v>
      </c>
      <c r="DH44" s="14">
        <v>0</v>
      </c>
      <c r="DI44" s="14">
        <v>0</v>
      </c>
      <c r="DJ44" s="14">
        <v>0</v>
      </c>
      <c r="DK44" s="14">
        <v>0</v>
      </c>
      <c r="DL44" s="14">
        <f t="shared" si="47"/>
        <v>0</v>
      </c>
      <c r="DM44" s="14">
        <v>0</v>
      </c>
      <c r="DN44" s="44">
        <f t="shared" si="48"/>
        <v>5656462</v>
      </c>
      <c r="DO44" s="64"/>
      <c r="DP44" s="64"/>
      <c r="DQ44" s="64"/>
      <c r="DR44" s="64"/>
    </row>
    <row r="45" spans="1:122" s="13" customFormat="1" ht="46.15" customHeight="1">
      <c r="A45" s="37">
        <v>38</v>
      </c>
      <c r="B45" s="23" t="s">
        <v>230</v>
      </c>
      <c r="C45" s="23">
        <v>96</v>
      </c>
      <c r="D45" s="38" t="s">
        <v>233</v>
      </c>
      <c r="E45" s="24" t="s">
        <v>236</v>
      </c>
      <c r="F45" s="23" t="s">
        <v>141</v>
      </c>
      <c r="G45" s="23" t="s">
        <v>104</v>
      </c>
      <c r="H45" s="22">
        <v>35175</v>
      </c>
      <c r="I45" s="22">
        <v>45243</v>
      </c>
      <c r="J45" s="22">
        <f t="shared" si="52"/>
        <v>45248</v>
      </c>
      <c r="K45" s="20" t="s">
        <v>99</v>
      </c>
      <c r="L45" s="37">
        <f t="shared" si="0"/>
        <v>1</v>
      </c>
      <c r="M45" s="21"/>
      <c r="N45" s="21"/>
      <c r="O45" s="21"/>
      <c r="P45" s="21"/>
      <c r="Q45" s="21"/>
      <c r="R45" s="41">
        <v>26</v>
      </c>
      <c r="S45" s="25">
        <v>26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42">
        <f t="shared" si="1"/>
        <v>26</v>
      </c>
      <c r="AB45" s="25">
        <v>0</v>
      </c>
      <c r="AC45" s="25">
        <v>0</v>
      </c>
      <c r="AD45" s="25">
        <f t="shared" si="2"/>
        <v>26</v>
      </c>
      <c r="AE45" s="16">
        <v>4400000</v>
      </c>
      <c r="AF45" s="14">
        <f t="shared" si="3"/>
        <v>169230.76923076922</v>
      </c>
      <c r="AG45" s="14">
        <f t="shared" si="4"/>
        <v>21153.846153846152</v>
      </c>
      <c r="AH45" s="19">
        <f t="shared" si="5"/>
        <v>4400000</v>
      </c>
      <c r="AI45" s="14">
        <f t="shared" si="6"/>
        <v>23557.692307692309</v>
      </c>
      <c r="AJ45" s="14">
        <f t="shared" si="7"/>
        <v>6346.1538461538457</v>
      </c>
      <c r="AK45" s="19">
        <f t="shared" si="8"/>
        <v>0</v>
      </c>
      <c r="AL45" s="14">
        <f t="shared" si="9"/>
        <v>0</v>
      </c>
      <c r="AM45" s="14">
        <f t="shared" si="10"/>
        <v>1</v>
      </c>
      <c r="AN45" s="19">
        <f t="shared" si="11"/>
        <v>169230.76923076922</v>
      </c>
      <c r="AO45" s="14">
        <v>0</v>
      </c>
      <c r="AP45" s="14">
        <v>0</v>
      </c>
      <c r="AQ45" s="14">
        <v>0</v>
      </c>
      <c r="AR45" s="18">
        <f t="shared" si="12"/>
        <v>0</v>
      </c>
      <c r="AS45" s="16">
        <f t="shared" si="13"/>
        <v>4569230.769230769</v>
      </c>
      <c r="AT45" s="55">
        <v>0</v>
      </c>
      <c r="AU45" s="14">
        <f t="shared" si="14"/>
        <v>0</v>
      </c>
      <c r="AV45" s="55">
        <v>500000</v>
      </c>
      <c r="AW45" s="14">
        <f t="shared" si="15"/>
        <v>500000</v>
      </c>
      <c r="AX45" s="55">
        <v>0</v>
      </c>
      <c r="AY45" s="14">
        <f t="shared" si="16"/>
        <v>0</v>
      </c>
      <c r="AZ45" s="55">
        <v>0</v>
      </c>
      <c r="BA45" s="14">
        <f t="shared" si="17"/>
        <v>0</v>
      </c>
      <c r="BB45" s="65">
        <v>0</v>
      </c>
      <c r="BC45" s="14">
        <f t="shared" si="18"/>
        <v>0</v>
      </c>
      <c r="BD45" s="55">
        <v>0</v>
      </c>
      <c r="BE45" s="14">
        <f t="shared" si="19"/>
        <v>0</v>
      </c>
      <c r="BF45" s="55">
        <v>500000</v>
      </c>
      <c r="BG45" s="14">
        <f t="shared" si="20"/>
        <v>500000</v>
      </c>
      <c r="BH45" s="55">
        <v>150000</v>
      </c>
      <c r="BI45" s="14">
        <f t="shared" si="21"/>
        <v>150000</v>
      </c>
      <c r="BJ45" s="55">
        <v>150000</v>
      </c>
      <c r="BK45" s="14">
        <f t="shared" si="22"/>
        <v>150000</v>
      </c>
      <c r="BL45" s="55">
        <v>300000</v>
      </c>
      <c r="BM45" s="14">
        <f t="shared" si="23"/>
        <v>300000</v>
      </c>
      <c r="BN45" s="14"/>
      <c r="BO45" s="14">
        <f t="shared" si="24"/>
        <v>31730.769230769227</v>
      </c>
      <c r="BP45" s="16">
        <f t="shared" si="25"/>
        <v>1600000</v>
      </c>
      <c r="BQ45" s="16">
        <f t="shared" si="26"/>
        <v>1631730.7692307692</v>
      </c>
      <c r="BR45" s="25"/>
      <c r="BS45" s="25"/>
      <c r="BT45" s="17">
        <f t="shared" si="27"/>
        <v>0</v>
      </c>
      <c r="BU45" s="14">
        <v>0</v>
      </c>
      <c r="BV45" s="14">
        <v>0</v>
      </c>
      <c r="BW45" s="17">
        <f t="shared" si="28"/>
        <v>0</v>
      </c>
      <c r="BX45" s="14">
        <v>0</v>
      </c>
      <c r="BY45" s="14">
        <v>0</v>
      </c>
      <c r="BZ45" s="17">
        <f t="shared" si="29"/>
        <v>0</v>
      </c>
      <c r="CA45" s="14">
        <v>0</v>
      </c>
      <c r="CB45" s="14">
        <v>0</v>
      </c>
      <c r="CC45" s="17">
        <f t="shared" si="30"/>
        <v>0</v>
      </c>
      <c r="CD45" s="14">
        <v>0</v>
      </c>
      <c r="CE45" s="14">
        <v>0</v>
      </c>
      <c r="CF45" s="17">
        <f t="shared" si="31"/>
        <v>0</v>
      </c>
      <c r="CG45" s="14">
        <v>0</v>
      </c>
      <c r="CH45" s="14">
        <v>0</v>
      </c>
      <c r="CI45" s="17">
        <f t="shared" si="32"/>
        <v>0</v>
      </c>
      <c r="CJ45" s="14">
        <v>0</v>
      </c>
      <c r="CK45" s="14">
        <v>0</v>
      </c>
      <c r="CL45" s="17">
        <f t="shared" si="33"/>
        <v>0</v>
      </c>
      <c r="CM45" s="56">
        <f t="shared" si="34"/>
        <v>0</v>
      </c>
      <c r="CN45" s="17">
        <f t="shared" si="35"/>
        <v>0</v>
      </c>
      <c r="CO45" s="14">
        <f t="shared" si="36"/>
        <v>0</v>
      </c>
      <c r="CP45" s="14">
        <f t="shared" si="37"/>
        <v>0</v>
      </c>
      <c r="CQ45" s="16">
        <f t="shared" si="38"/>
        <v>4900000</v>
      </c>
      <c r="CR45" s="14">
        <f t="shared" si="51"/>
        <v>392000</v>
      </c>
      <c r="CS45" s="14">
        <f t="shared" si="51"/>
        <v>73500</v>
      </c>
      <c r="CT45" s="14">
        <f t="shared" si="51"/>
        <v>49000</v>
      </c>
      <c r="CU45" s="14">
        <f t="shared" si="51"/>
        <v>857500</v>
      </c>
      <c r="CV45" s="14">
        <f t="shared" si="51"/>
        <v>147000</v>
      </c>
      <c r="CW45" s="14">
        <f t="shared" si="51"/>
        <v>49000</v>
      </c>
      <c r="CX45" s="16">
        <f t="shared" si="40"/>
        <v>514500</v>
      </c>
      <c r="CY45" s="16">
        <f t="shared" si="41"/>
        <v>1053500</v>
      </c>
      <c r="CZ45" s="14">
        <v>30000</v>
      </c>
      <c r="DA45" s="16">
        <f t="shared" si="42"/>
        <v>98000</v>
      </c>
      <c r="DB45" s="43">
        <f t="shared" si="49"/>
        <v>6200961.538461538</v>
      </c>
      <c r="DC45" s="15">
        <f t="shared" si="43"/>
        <v>0</v>
      </c>
      <c r="DD45" s="15">
        <v>0</v>
      </c>
      <c r="DE45" s="14">
        <f t="shared" si="44"/>
        <v>0</v>
      </c>
      <c r="DF45" s="14">
        <f t="shared" si="45"/>
        <v>0</v>
      </c>
      <c r="DG45" s="43">
        <f t="shared" si="46"/>
        <v>5656461.538461538</v>
      </c>
      <c r="DH45" s="14">
        <v>0</v>
      </c>
      <c r="DI45" s="14">
        <v>0</v>
      </c>
      <c r="DJ45" s="14">
        <v>0</v>
      </c>
      <c r="DK45" s="14">
        <v>0</v>
      </c>
      <c r="DL45" s="14">
        <f t="shared" si="47"/>
        <v>0</v>
      </c>
      <c r="DM45" s="14">
        <v>0</v>
      </c>
      <c r="DN45" s="44">
        <f t="shared" si="48"/>
        <v>5656462</v>
      </c>
      <c r="DO45" s="64"/>
      <c r="DP45" s="64"/>
      <c r="DQ45" s="64"/>
      <c r="DR45" s="64"/>
    </row>
    <row r="46" spans="1:122" s="13" customFormat="1" ht="46.15" customHeight="1">
      <c r="A46" s="37">
        <v>39</v>
      </c>
      <c r="B46" s="23" t="s">
        <v>238</v>
      </c>
      <c r="C46" s="23">
        <v>98</v>
      </c>
      <c r="D46" s="38" t="s">
        <v>239</v>
      </c>
      <c r="E46" s="24" t="s">
        <v>244</v>
      </c>
      <c r="F46" s="23" t="s">
        <v>141</v>
      </c>
      <c r="G46" s="23" t="s">
        <v>104</v>
      </c>
      <c r="H46" s="22">
        <v>35457</v>
      </c>
      <c r="I46" s="22">
        <v>45266</v>
      </c>
      <c r="J46" s="22">
        <v>45271</v>
      </c>
      <c r="K46" s="20" t="s">
        <v>99</v>
      </c>
      <c r="L46" s="37">
        <f t="shared" si="0"/>
        <v>1</v>
      </c>
      <c r="M46" s="21"/>
      <c r="N46" s="21"/>
      <c r="O46" s="21"/>
      <c r="P46" s="21"/>
      <c r="Q46" s="21"/>
      <c r="R46" s="41">
        <v>26</v>
      </c>
      <c r="S46" s="25">
        <v>26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42">
        <f t="shared" si="1"/>
        <v>26</v>
      </c>
      <c r="AB46" s="25">
        <v>0</v>
      </c>
      <c r="AC46" s="25">
        <v>0</v>
      </c>
      <c r="AD46" s="25">
        <f t="shared" si="2"/>
        <v>26</v>
      </c>
      <c r="AE46" s="16">
        <v>4400000</v>
      </c>
      <c r="AF46" s="14">
        <f t="shared" si="3"/>
        <v>169230.76923076922</v>
      </c>
      <c r="AG46" s="14">
        <f t="shared" si="4"/>
        <v>21153.846153846152</v>
      </c>
      <c r="AH46" s="19">
        <f t="shared" si="5"/>
        <v>4400000</v>
      </c>
      <c r="AI46" s="14">
        <f t="shared" si="6"/>
        <v>21153.846153846152</v>
      </c>
      <c r="AJ46" s="14">
        <f t="shared" si="7"/>
        <v>6346.1538461538457</v>
      </c>
      <c r="AK46" s="19">
        <f t="shared" si="8"/>
        <v>0</v>
      </c>
      <c r="AL46" s="14">
        <f t="shared" si="9"/>
        <v>0</v>
      </c>
      <c r="AM46" s="14">
        <f t="shared" si="10"/>
        <v>1</v>
      </c>
      <c r="AN46" s="19">
        <f t="shared" si="11"/>
        <v>169230.76923076922</v>
      </c>
      <c r="AO46" s="14">
        <v>0</v>
      </c>
      <c r="AP46" s="14">
        <v>0</v>
      </c>
      <c r="AQ46" s="14">
        <v>0</v>
      </c>
      <c r="AR46" s="18">
        <f t="shared" si="12"/>
        <v>0</v>
      </c>
      <c r="AS46" s="16">
        <f t="shared" si="13"/>
        <v>4569230.769230769</v>
      </c>
      <c r="AT46" s="55">
        <v>0</v>
      </c>
      <c r="AU46" s="14">
        <f t="shared" si="14"/>
        <v>0</v>
      </c>
      <c r="AV46" s="55">
        <v>0</v>
      </c>
      <c r="AW46" s="14">
        <f t="shared" si="15"/>
        <v>0</v>
      </c>
      <c r="AX46" s="55">
        <v>0</v>
      </c>
      <c r="AY46" s="14">
        <f t="shared" si="16"/>
        <v>0</v>
      </c>
      <c r="AZ46" s="55">
        <v>0</v>
      </c>
      <c r="BA46" s="14">
        <f t="shared" si="17"/>
        <v>0</v>
      </c>
      <c r="BB46" s="65">
        <v>0</v>
      </c>
      <c r="BC46" s="14">
        <f t="shared" si="18"/>
        <v>0</v>
      </c>
      <c r="BD46" s="55">
        <v>0</v>
      </c>
      <c r="BE46" s="14">
        <f t="shared" si="19"/>
        <v>0</v>
      </c>
      <c r="BF46" s="55">
        <v>500000</v>
      </c>
      <c r="BG46" s="14">
        <f t="shared" si="20"/>
        <v>500000</v>
      </c>
      <c r="BH46" s="55">
        <v>150000</v>
      </c>
      <c r="BI46" s="14">
        <f t="shared" si="21"/>
        <v>150000</v>
      </c>
      <c r="BJ46" s="55">
        <v>150000</v>
      </c>
      <c r="BK46" s="14">
        <f t="shared" si="22"/>
        <v>150000</v>
      </c>
      <c r="BL46" s="55">
        <v>300000</v>
      </c>
      <c r="BM46" s="14">
        <f t="shared" si="23"/>
        <v>300000</v>
      </c>
      <c r="BN46" s="14"/>
      <c r="BO46" s="14">
        <f t="shared" si="24"/>
        <v>31730.769230769227</v>
      </c>
      <c r="BP46" s="16">
        <f t="shared" si="25"/>
        <v>1100000</v>
      </c>
      <c r="BQ46" s="16">
        <f t="shared" si="26"/>
        <v>1131730.7692307692</v>
      </c>
      <c r="BR46" s="25"/>
      <c r="BS46" s="25"/>
      <c r="BT46" s="17">
        <f t="shared" si="27"/>
        <v>0</v>
      </c>
      <c r="BU46" s="14">
        <v>0</v>
      </c>
      <c r="BV46" s="14">
        <v>0</v>
      </c>
      <c r="BW46" s="17">
        <f t="shared" si="28"/>
        <v>0</v>
      </c>
      <c r="BX46" s="14">
        <v>0</v>
      </c>
      <c r="BY46" s="14">
        <v>0</v>
      </c>
      <c r="BZ46" s="17">
        <f t="shared" si="29"/>
        <v>0</v>
      </c>
      <c r="CA46" s="14">
        <v>0</v>
      </c>
      <c r="CB46" s="14">
        <v>0</v>
      </c>
      <c r="CC46" s="17">
        <f t="shared" si="30"/>
        <v>0</v>
      </c>
      <c r="CD46" s="14">
        <v>0</v>
      </c>
      <c r="CE46" s="14">
        <v>0</v>
      </c>
      <c r="CF46" s="17">
        <f t="shared" si="31"/>
        <v>0</v>
      </c>
      <c r="CG46" s="14">
        <v>0</v>
      </c>
      <c r="CH46" s="14">
        <v>0</v>
      </c>
      <c r="CI46" s="17">
        <f t="shared" si="32"/>
        <v>0</v>
      </c>
      <c r="CJ46" s="14">
        <v>0</v>
      </c>
      <c r="CK46" s="14">
        <v>0</v>
      </c>
      <c r="CL46" s="17">
        <f t="shared" si="33"/>
        <v>0</v>
      </c>
      <c r="CM46" s="56">
        <f t="shared" si="34"/>
        <v>0</v>
      </c>
      <c r="CN46" s="17">
        <f t="shared" si="35"/>
        <v>0</v>
      </c>
      <c r="CO46" s="14">
        <f t="shared" si="36"/>
        <v>0</v>
      </c>
      <c r="CP46" s="14">
        <f t="shared" si="37"/>
        <v>0</v>
      </c>
      <c r="CQ46" s="16">
        <f t="shared" si="38"/>
        <v>4400000</v>
      </c>
      <c r="CR46" s="14">
        <f t="shared" si="51"/>
        <v>352000</v>
      </c>
      <c r="CS46" s="14">
        <f t="shared" si="51"/>
        <v>66000</v>
      </c>
      <c r="CT46" s="14">
        <f t="shared" si="51"/>
        <v>44000</v>
      </c>
      <c r="CU46" s="14">
        <f t="shared" si="51"/>
        <v>770000</v>
      </c>
      <c r="CV46" s="14">
        <f t="shared" si="51"/>
        <v>132000</v>
      </c>
      <c r="CW46" s="14">
        <f t="shared" si="51"/>
        <v>44000</v>
      </c>
      <c r="CX46" s="16">
        <f t="shared" si="40"/>
        <v>462000</v>
      </c>
      <c r="CY46" s="16">
        <f t="shared" si="41"/>
        <v>946000</v>
      </c>
      <c r="CZ46" s="14">
        <v>30000</v>
      </c>
      <c r="DA46" s="16">
        <f t="shared" si="42"/>
        <v>88000</v>
      </c>
      <c r="DB46" s="43">
        <f t="shared" si="49"/>
        <v>5700961.538461538</v>
      </c>
      <c r="DC46" s="15">
        <f t="shared" si="43"/>
        <v>0</v>
      </c>
      <c r="DD46" s="15">
        <v>0</v>
      </c>
      <c r="DE46" s="14">
        <f t="shared" si="44"/>
        <v>0</v>
      </c>
      <c r="DF46" s="14">
        <f t="shared" si="45"/>
        <v>0</v>
      </c>
      <c r="DG46" s="43">
        <f t="shared" si="46"/>
        <v>5208961.538461538</v>
      </c>
      <c r="DH46" s="14">
        <v>0</v>
      </c>
      <c r="DI46" s="14">
        <v>0</v>
      </c>
      <c r="DJ46" s="14">
        <v>0</v>
      </c>
      <c r="DK46" s="14">
        <v>0</v>
      </c>
      <c r="DL46" s="14">
        <f t="shared" si="47"/>
        <v>0</v>
      </c>
      <c r="DM46" s="14">
        <v>0</v>
      </c>
      <c r="DN46" s="44">
        <f t="shared" si="48"/>
        <v>5208962</v>
      </c>
      <c r="DO46" s="64"/>
      <c r="DP46" s="64"/>
      <c r="DQ46" s="64"/>
      <c r="DR46" s="64"/>
    </row>
    <row r="47" spans="1:122" s="13" customFormat="1" ht="46.15" customHeight="1">
      <c r="A47" s="37">
        <v>40</v>
      </c>
      <c r="B47" s="23" t="s">
        <v>240</v>
      </c>
      <c r="C47" s="23">
        <v>99</v>
      </c>
      <c r="D47" s="38" t="s">
        <v>241</v>
      </c>
      <c r="E47" s="24" t="s">
        <v>245</v>
      </c>
      <c r="F47" s="23" t="s">
        <v>203</v>
      </c>
      <c r="G47" s="23" t="s">
        <v>3</v>
      </c>
      <c r="H47" s="22">
        <v>34420</v>
      </c>
      <c r="I47" s="22">
        <v>45266</v>
      </c>
      <c r="J47" s="22">
        <v>45271</v>
      </c>
      <c r="K47" s="20" t="s">
        <v>99</v>
      </c>
      <c r="L47" s="37">
        <f t="shared" si="0"/>
        <v>1</v>
      </c>
      <c r="M47" s="21"/>
      <c r="N47" s="21"/>
      <c r="O47" s="21"/>
      <c r="P47" s="21"/>
      <c r="Q47" s="21"/>
      <c r="R47" s="41">
        <v>26</v>
      </c>
      <c r="S47" s="25">
        <v>26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42">
        <f t="shared" si="1"/>
        <v>26</v>
      </c>
      <c r="AB47" s="25">
        <v>0</v>
      </c>
      <c r="AC47" s="25">
        <v>0</v>
      </c>
      <c r="AD47" s="25">
        <f t="shared" si="2"/>
        <v>26</v>
      </c>
      <c r="AE47" s="16">
        <v>4400000</v>
      </c>
      <c r="AF47" s="14">
        <f t="shared" si="3"/>
        <v>169230.76923076922</v>
      </c>
      <c r="AG47" s="14">
        <f t="shared" si="4"/>
        <v>21153.846153846152</v>
      </c>
      <c r="AH47" s="19">
        <f t="shared" si="5"/>
        <v>4400000</v>
      </c>
      <c r="AI47" s="14">
        <f t="shared" si="6"/>
        <v>21153.846153846152</v>
      </c>
      <c r="AJ47" s="14">
        <f t="shared" si="7"/>
        <v>6346.1538461538457</v>
      </c>
      <c r="AK47" s="19">
        <f t="shared" si="8"/>
        <v>0</v>
      </c>
      <c r="AL47" s="14">
        <f t="shared" si="9"/>
        <v>0</v>
      </c>
      <c r="AM47" s="14">
        <f t="shared" si="10"/>
        <v>1</v>
      </c>
      <c r="AN47" s="19">
        <f t="shared" si="11"/>
        <v>169230.76923076922</v>
      </c>
      <c r="AO47" s="14">
        <v>0</v>
      </c>
      <c r="AP47" s="14">
        <v>0</v>
      </c>
      <c r="AQ47" s="14">
        <v>0</v>
      </c>
      <c r="AR47" s="18">
        <f t="shared" si="12"/>
        <v>0</v>
      </c>
      <c r="AS47" s="16">
        <f t="shared" si="13"/>
        <v>4569230.769230769</v>
      </c>
      <c r="AT47" s="55">
        <v>0</v>
      </c>
      <c r="AU47" s="14">
        <f t="shared" si="14"/>
        <v>0</v>
      </c>
      <c r="AV47" s="55">
        <v>0</v>
      </c>
      <c r="AW47" s="14">
        <f t="shared" si="15"/>
        <v>0</v>
      </c>
      <c r="AX47" s="55">
        <v>0</v>
      </c>
      <c r="AY47" s="14">
        <f t="shared" si="16"/>
        <v>0</v>
      </c>
      <c r="AZ47" s="55">
        <v>0</v>
      </c>
      <c r="BA47" s="14">
        <f t="shared" si="17"/>
        <v>0</v>
      </c>
      <c r="BB47" s="65">
        <v>0</v>
      </c>
      <c r="BC47" s="14">
        <f t="shared" si="18"/>
        <v>0</v>
      </c>
      <c r="BD47" s="55">
        <v>0</v>
      </c>
      <c r="BE47" s="14">
        <f t="shared" si="19"/>
        <v>0</v>
      </c>
      <c r="BF47" s="55">
        <v>500000</v>
      </c>
      <c r="BG47" s="14">
        <f t="shared" si="20"/>
        <v>500000</v>
      </c>
      <c r="BH47" s="55">
        <v>150000</v>
      </c>
      <c r="BI47" s="14">
        <f t="shared" si="21"/>
        <v>150000</v>
      </c>
      <c r="BJ47" s="55">
        <v>150000</v>
      </c>
      <c r="BK47" s="14">
        <f t="shared" si="22"/>
        <v>150000</v>
      </c>
      <c r="BL47" s="55">
        <v>300000</v>
      </c>
      <c r="BM47" s="14">
        <f t="shared" si="23"/>
        <v>300000</v>
      </c>
      <c r="BN47" s="14"/>
      <c r="BO47" s="14">
        <f t="shared" si="24"/>
        <v>0</v>
      </c>
      <c r="BP47" s="16">
        <f t="shared" si="25"/>
        <v>1100000</v>
      </c>
      <c r="BQ47" s="16">
        <f t="shared" si="26"/>
        <v>1100000</v>
      </c>
      <c r="BR47" s="25"/>
      <c r="BS47" s="25"/>
      <c r="BT47" s="17">
        <f t="shared" si="27"/>
        <v>0</v>
      </c>
      <c r="BU47" s="14">
        <v>0</v>
      </c>
      <c r="BV47" s="14">
        <v>0</v>
      </c>
      <c r="BW47" s="17">
        <f t="shared" si="28"/>
        <v>0</v>
      </c>
      <c r="BX47" s="14">
        <v>0</v>
      </c>
      <c r="BY47" s="14">
        <v>0</v>
      </c>
      <c r="BZ47" s="17">
        <f t="shared" si="29"/>
        <v>0</v>
      </c>
      <c r="CA47" s="14">
        <v>0</v>
      </c>
      <c r="CB47" s="14">
        <v>0</v>
      </c>
      <c r="CC47" s="17">
        <f t="shared" si="30"/>
        <v>0</v>
      </c>
      <c r="CD47" s="14">
        <v>0</v>
      </c>
      <c r="CE47" s="14">
        <v>0</v>
      </c>
      <c r="CF47" s="17">
        <f t="shared" si="31"/>
        <v>0</v>
      </c>
      <c r="CG47" s="14">
        <v>0</v>
      </c>
      <c r="CH47" s="14">
        <v>0</v>
      </c>
      <c r="CI47" s="17">
        <f t="shared" si="32"/>
        <v>0</v>
      </c>
      <c r="CJ47" s="14">
        <v>0</v>
      </c>
      <c r="CK47" s="14">
        <v>0</v>
      </c>
      <c r="CL47" s="17">
        <f t="shared" si="33"/>
        <v>0</v>
      </c>
      <c r="CM47" s="56">
        <f t="shared" si="34"/>
        <v>0</v>
      </c>
      <c r="CN47" s="17">
        <f t="shared" si="35"/>
        <v>0</v>
      </c>
      <c r="CO47" s="14">
        <f t="shared" si="36"/>
        <v>0</v>
      </c>
      <c r="CP47" s="14">
        <f t="shared" si="37"/>
        <v>0</v>
      </c>
      <c r="CQ47" s="16">
        <f t="shared" si="38"/>
        <v>4400000</v>
      </c>
      <c r="CR47" s="14">
        <f t="shared" si="51"/>
        <v>352000</v>
      </c>
      <c r="CS47" s="14">
        <f t="shared" si="51"/>
        <v>66000</v>
      </c>
      <c r="CT47" s="14">
        <f t="shared" si="51"/>
        <v>44000</v>
      </c>
      <c r="CU47" s="14">
        <f t="shared" si="51"/>
        <v>770000</v>
      </c>
      <c r="CV47" s="14">
        <f t="shared" si="51"/>
        <v>132000</v>
      </c>
      <c r="CW47" s="14">
        <f t="shared" si="51"/>
        <v>44000</v>
      </c>
      <c r="CX47" s="16">
        <f t="shared" si="40"/>
        <v>462000</v>
      </c>
      <c r="CY47" s="16">
        <f t="shared" si="41"/>
        <v>946000</v>
      </c>
      <c r="CZ47" s="14">
        <v>30000</v>
      </c>
      <c r="DA47" s="16">
        <f t="shared" si="42"/>
        <v>88000</v>
      </c>
      <c r="DB47" s="43">
        <f t="shared" si="49"/>
        <v>5669230.769230769</v>
      </c>
      <c r="DC47" s="15">
        <f t="shared" si="43"/>
        <v>0</v>
      </c>
      <c r="DD47" s="15">
        <v>0</v>
      </c>
      <c r="DE47" s="14">
        <f t="shared" si="44"/>
        <v>0</v>
      </c>
      <c r="DF47" s="14">
        <f t="shared" si="45"/>
        <v>0</v>
      </c>
      <c r="DG47" s="43">
        <f t="shared" si="46"/>
        <v>5177230.769230769</v>
      </c>
      <c r="DH47" s="14">
        <v>0</v>
      </c>
      <c r="DI47" s="14">
        <v>0</v>
      </c>
      <c r="DJ47" s="14">
        <v>0</v>
      </c>
      <c r="DK47" s="14">
        <v>0</v>
      </c>
      <c r="DL47" s="14">
        <f t="shared" si="47"/>
        <v>0</v>
      </c>
      <c r="DM47" s="14">
        <v>0</v>
      </c>
      <c r="DN47" s="44">
        <f t="shared" si="48"/>
        <v>5177231</v>
      </c>
      <c r="DO47" s="64"/>
      <c r="DP47" s="64"/>
      <c r="DQ47" s="64"/>
      <c r="DR47" s="64"/>
    </row>
    <row r="48" spans="1:122" s="13" customFormat="1" ht="46.15" customHeight="1">
      <c r="A48" s="37">
        <v>41</v>
      </c>
      <c r="B48" s="23" t="s">
        <v>242</v>
      </c>
      <c r="C48" s="23">
        <v>100</v>
      </c>
      <c r="D48" s="38" t="s">
        <v>243</v>
      </c>
      <c r="E48" s="24" t="s">
        <v>246</v>
      </c>
      <c r="F48" s="23" t="s">
        <v>113</v>
      </c>
      <c r="G48" s="23" t="s">
        <v>3</v>
      </c>
      <c r="H48" s="22">
        <v>35045</v>
      </c>
      <c r="I48" s="22">
        <v>45271</v>
      </c>
      <c r="J48" s="22">
        <v>45330</v>
      </c>
      <c r="K48" s="20" t="s">
        <v>99</v>
      </c>
      <c r="L48" s="37">
        <f t="shared" si="0"/>
        <v>1</v>
      </c>
      <c r="M48" s="21"/>
      <c r="N48" s="21"/>
      <c r="O48" s="21"/>
      <c r="P48" s="21"/>
      <c r="Q48" s="21"/>
      <c r="R48" s="41">
        <v>26</v>
      </c>
      <c r="S48" s="25">
        <v>26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42">
        <f t="shared" si="1"/>
        <v>26</v>
      </c>
      <c r="AB48" s="25">
        <v>0</v>
      </c>
      <c r="AC48" s="25">
        <v>0</v>
      </c>
      <c r="AD48" s="25">
        <f t="shared" si="2"/>
        <v>26</v>
      </c>
      <c r="AE48" s="16">
        <v>11240000</v>
      </c>
      <c r="AF48" s="14">
        <f t="shared" si="3"/>
        <v>432307.69230769231</v>
      </c>
      <c r="AG48" s="14">
        <f t="shared" si="4"/>
        <v>54038.461538461539</v>
      </c>
      <c r="AH48" s="19">
        <f t="shared" si="5"/>
        <v>11240000</v>
      </c>
      <c r="AI48" s="14">
        <f t="shared" si="6"/>
        <v>76394.230769230766</v>
      </c>
      <c r="AJ48" s="14">
        <f t="shared" si="7"/>
        <v>16211.538461538461</v>
      </c>
      <c r="AK48" s="19">
        <f t="shared" si="8"/>
        <v>0</v>
      </c>
      <c r="AL48" s="14">
        <f t="shared" si="9"/>
        <v>0</v>
      </c>
      <c r="AM48" s="14">
        <f t="shared" si="10"/>
        <v>1</v>
      </c>
      <c r="AN48" s="19">
        <f t="shared" si="11"/>
        <v>432307.69230769231</v>
      </c>
      <c r="AO48" s="14">
        <v>0</v>
      </c>
      <c r="AP48" s="14">
        <v>0</v>
      </c>
      <c r="AQ48" s="14">
        <v>0</v>
      </c>
      <c r="AR48" s="18">
        <f t="shared" si="12"/>
        <v>0</v>
      </c>
      <c r="AS48" s="16">
        <f t="shared" si="13"/>
        <v>11672307.692307692</v>
      </c>
      <c r="AT48" s="55">
        <v>0</v>
      </c>
      <c r="AU48" s="14">
        <f t="shared" si="14"/>
        <v>0</v>
      </c>
      <c r="AV48" s="55">
        <v>0</v>
      </c>
      <c r="AW48" s="14">
        <f t="shared" si="15"/>
        <v>0</v>
      </c>
      <c r="AX48" s="55">
        <v>3000000</v>
      </c>
      <c r="AY48" s="14">
        <f t="shared" si="16"/>
        <v>3000000</v>
      </c>
      <c r="AZ48" s="55">
        <v>0</v>
      </c>
      <c r="BA48" s="14">
        <f t="shared" si="17"/>
        <v>0</v>
      </c>
      <c r="BB48" s="65">
        <v>0</v>
      </c>
      <c r="BC48" s="14">
        <f t="shared" si="18"/>
        <v>0</v>
      </c>
      <c r="BD48" s="55">
        <v>1650000</v>
      </c>
      <c r="BE48" s="14">
        <f t="shared" si="19"/>
        <v>1650000</v>
      </c>
      <c r="BF48" s="55">
        <v>500000</v>
      </c>
      <c r="BG48" s="14">
        <f t="shared" si="20"/>
        <v>500000</v>
      </c>
      <c r="BH48" s="55">
        <v>150000</v>
      </c>
      <c r="BI48" s="14">
        <f t="shared" si="21"/>
        <v>150000</v>
      </c>
      <c r="BJ48" s="55">
        <v>200000</v>
      </c>
      <c r="BK48" s="14">
        <f t="shared" si="22"/>
        <v>200000</v>
      </c>
      <c r="BL48" s="55">
        <v>300000</v>
      </c>
      <c r="BM48" s="14">
        <f t="shared" si="23"/>
        <v>300000</v>
      </c>
      <c r="BN48" s="14"/>
      <c r="BO48" s="14">
        <f t="shared" si="24"/>
        <v>0</v>
      </c>
      <c r="BP48" s="16">
        <f t="shared" si="25"/>
        <v>5800000</v>
      </c>
      <c r="BQ48" s="16">
        <f t="shared" si="26"/>
        <v>5800000</v>
      </c>
      <c r="BR48" s="25"/>
      <c r="BS48" s="25"/>
      <c r="BT48" s="17">
        <f t="shared" si="27"/>
        <v>0</v>
      </c>
      <c r="BU48" s="14">
        <v>0</v>
      </c>
      <c r="BV48" s="14">
        <v>0</v>
      </c>
      <c r="BW48" s="17">
        <f t="shared" si="28"/>
        <v>0</v>
      </c>
      <c r="BX48" s="14">
        <v>0</v>
      </c>
      <c r="BY48" s="14">
        <v>0</v>
      </c>
      <c r="BZ48" s="17">
        <f t="shared" si="29"/>
        <v>0</v>
      </c>
      <c r="CA48" s="14">
        <v>0</v>
      </c>
      <c r="CB48" s="14">
        <v>0</v>
      </c>
      <c r="CC48" s="17">
        <f t="shared" si="30"/>
        <v>0</v>
      </c>
      <c r="CD48" s="14">
        <v>0</v>
      </c>
      <c r="CE48" s="14">
        <v>0</v>
      </c>
      <c r="CF48" s="17">
        <f t="shared" si="31"/>
        <v>0</v>
      </c>
      <c r="CG48" s="14">
        <v>0</v>
      </c>
      <c r="CH48" s="14">
        <v>0</v>
      </c>
      <c r="CI48" s="17">
        <f t="shared" si="32"/>
        <v>0</v>
      </c>
      <c r="CJ48" s="14">
        <v>0</v>
      </c>
      <c r="CK48" s="14">
        <v>0</v>
      </c>
      <c r="CL48" s="17">
        <f t="shared" si="33"/>
        <v>0</v>
      </c>
      <c r="CM48" s="56">
        <f t="shared" si="34"/>
        <v>0</v>
      </c>
      <c r="CN48" s="17">
        <f t="shared" si="35"/>
        <v>0</v>
      </c>
      <c r="CO48" s="14">
        <f t="shared" si="36"/>
        <v>0</v>
      </c>
      <c r="CP48" s="14">
        <f t="shared" si="37"/>
        <v>0</v>
      </c>
      <c r="CQ48" s="16">
        <f t="shared" si="38"/>
        <v>15890000</v>
      </c>
      <c r="CR48" s="14">
        <f t="shared" si="51"/>
        <v>1271200</v>
      </c>
      <c r="CS48" s="14">
        <f t="shared" si="51"/>
        <v>238350</v>
      </c>
      <c r="CT48" s="14">
        <f t="shared" si="51"/>
        <v>158900</v>
      </c>
      <c r="CU48" s="14">
        <f t="shared" si="51"/>
        <v>2780750</v>
      </c>
      <c r="CV48" s="14">
        <f t="shared" si="51"/>
        <v>476700</v>
      </c>
      <c r="CW48" s="14">
        <f t="shared" si="51"/>
        <v>158900</v>
      </c>
      <c r="CX48" s="16">
        <f t="shared" si="40"/>
        <v>1668450</v>
      </c>
      <c r="CY48" s="16">
        <f t="shared" si="41"/>
        <v>3416350</v>
      </c>
      <c r="CZ48" s="14">
        <v>30000</v>
      </c>
      <c r="DA48" s="16">
        <f t="shared" si="42"/>
        <v>317800</v>
      </c>
      <c r="DB48" s="43">
        <f t="shared" si="49"/>
        <v>17472307.692307692</v>
      </c>
      <c r="DC48" s="15">
        <f t="shared" si="43"/>
        <v>0</v>
      </c>
      <c r="DD48" s="15">
        <v>0</v>
      </c>
      <c r="DE48" s="14">
        <f t="shared" si="44"/>
        <v>4773857.692307692</v>
      </c>
      <c r="DF48" s="14">
        <f t="shared" si="45"/>
        <v>238692.88461538462</v>
      </c>
      <c r="DG48" s="43">
        <f t="shared" si="46"/>
        <v>15535164.807692308</v>
      </c>
      <c r="DH48" s="14">
        <v>0</v>
      </c>
      <c r="DI48" s="14">
        <v>0</v>
      </c>
      <c r="DJ48" s="14">
        <v>0</v>
      </c>
      <c r="DK48" s="14">
        <v>0</v>
      </c>
      <c r="DL48" s="14">
        <f t="shared" si="47"/>
        <v>0</v>
      </c>
      <c r="DM48" s="14">
        <v>0</v>
      </c>
      <c r="DN48" s="44">
        <f t="shared" si="48"/>
        <v>15535165</v>
      </c>
      <c r="DO48" s="64"/>
      <c r="DP48" s="64"/>
      <c r="DQ48" s="64"/>
      <c r="DR48" s="64"/>
    </row>
    <row r="49" spans="28:112" ht="39" customHeight="1">
      <c r="AD49" s="3"/>
      <c r="AE49" s="66"/>
      <c r="AF49" s="4"/>
      <c r="AG49" s="3"/>
      <c r="AH49" s="12"/>
      <c r="AU49" s="4"/>
      <c r="AZ49" s="4"/>
      <c r="BQ49" s="4"/>
      <c r="BR49" s="4"/>
      <c r="DB49" s="30"/>
      <c r="DC49" s="4"/>
      <c r="DG49" s="30"/>
      <c r="DH49" s="4"/>
    </row>
    <row r="50" spans="28:112" ht="39" customHeight="1">
      <c r="AH50" s="7"/>
      <c r="AI50" s="7"/>
      <c r="BQ50" s="4"/>
      <c r="BR50" s="4"/>
      <c r="DB50" s="30"/>
      <c r="DC50" s="4"/>
      <c r="DG50" s="30"/>
      <c r="DH50" s="4"/>
    </row>
    <row r="51" spans="28:112" ht="39" customHeight="1">
      <c r="AB51" s="3"/>
      <c r="AC51" s="10"/>
      <c r="AH51" s="11"/>
      <c r="AI51" s="11"/>
      <c r="AJ51" s="3"/>
      <c r="BQ51" s="4"/>
    </row>
    <row r="52" spans="28:112" ht="39" customHeight="1">
      <c r="AB52" s="3"/>
      <c r="AC52" s="10"/>
      <c r="AH52" s="11"/>
      <c r="AI52" s="11"/>
      <c r="AJ52" s="10"/>
    </row>
    <row r="53" spans="28:112" ht="39" customHeight="1">
      <c r="AB53" s="4"/>
      <c r="AC53" s="10"/>
    </row>
    <row r="54" spans="28:112">
      <c r="AH54" s="3"/>
      <c r="AI54" s="3"/>
      <c r="AJ54" s="3"/>
    </row>
    <row r="55" spans="28:112">
      <c r="AH55" s="3"/>
      <c r="AI55" s="3"/>
    </row>
    <row r="59" spans="28:112">
      <c r="AG59" s="9"/>
    </row>
    <row r="60" spans="28:112">
      <c r="AG60" s="8"/>
    </row>
    <row r="61" spans="28:112">
      <c r="AG61" s="7"/>
    </row>
  </sheetData>
  <mergeCells count="39">
    <mergeCell ref="R4:AA5"/>
    <mergeCell ref="A4:J5"/>
    <mergeCell ref="K4:K5"/>
    <mergeCell ref="L4:L5"/>
    <mergeCell ref="M4:O5"/>
    <mergeCell ref="P4:Q5"/>
    <mergeCell ref="DN4:DN6"/>
    <mergeCell ref="AB4:AD5"/>
    <mergeCell ref="AE4:AS5"/>
    <mergeCell ref="AT4:BE4"/>
    <mergeCell ref="BF4:BO4"/>
    <mergeCell ref="BP4:BQ5"/>
    <mergeCell ref="BR4:CP4"/>
    <mergeCell ref="AT5:AU5"/>
    <mergeCell ref="AV5:AW5"/>
    <mergeCell ref="AX5:AY5"/>
    <mergeCell ref="AZ5:BA5"/>
    <mergeCell ref="CX4:DA5"/>
    <mergeCell ref="DB4:DG5"/>
    <mergeCell ref="DH4:DK5"/>
    <mergeCell ref="DL4:DL6"/>
    <mergeCell ref="DM4:DM6"/>
    <mergeCell ref="CG5:CI5"/>
    <mergeCell ref="BB5:BC5"/>
    <mergeCell ref="BD5:BE5"/>
    <mergeCell ref="BF5:BG5"/>
    <mergeCell ref="BH5:BI5"/>
    <mergeCell ref="BJ5:BK5"/>
    <mergeCell ref="BL5:BM5"/>
    <mergeCell ref="BR5:BT5"/>
    <mergeCell ref="BU5:BW5"/>
    <mergeCell ref="BX5:BZ5"/>
    <mergeCell ref="CA5:CC5"/>
    <mergeCell ref="CD5:CF5"/>
    <mergeCell ref="CJ5:CL5"/>
    <mergeCell ref="CM5:CP5"/>
    <mergeCell ref="CQ5:CQ6"/>
    <mergeCell ref="CR5:CT5"/>
    <mergeCell ref="CU5:CW5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7434-F427-4928-99A0-FEB55901DC46}">
  <dimension ref="A1:DQ16"/>
  <sheetViews>
    <sheetView showGridLines="0" zoomScale="55" zoomScaleNormal="55" workbookViewId="0">
      <pane xSplit="7" ySplit="7" topLeftCell="BD8" activePane="bottomRight" state="frozen"/>
      <selection pane="topRight" activeCell="H1" sqref="H1"/>
      <selection pane="bottomLeft" activeCell="A8" sqref="A8"/>
      <selection pane="bottomRight" activeCell="DO20" sqref="DO20"/>
    </sheetView>
  </sheetViews>
  <sheetFormatPr defaultColWidth="8.85546875" defaultRowHeight="15" outlineLevelCol="1"/>
  <cols>
    <col min="1" max="1" width="9.7109375" style="1" customWidth="1"/>
    <col min="2" max="2" width="18.5703125" style="1" customWidth="1"/>
    <col min="3" max="3" width="8.7109375" style="1" customWidth="1"/>
    <col min="4" max="4" width="37" style="1" bestFit="1" customWidth="1"/>
    <col min="5" max="5" width="26.42578125" style="6" customWidth="1"/>
    <col min="6" max="6" width="26.85546875" style="6" customWidth="1" outlineLevel="1"/>
    <col min="7" max="7" width="12.28515625" style="6" customWidth="1" outlineLevel="1"/>
    <col min="8" max="8" width="18.42578125" style="6" bestFit="1" customWidth="1" outlineLevel="1"/>
    <col min="9" max="9" width="18.42578125" style="2" bestFit="1" customWidth="1" outlineLevel="1"/>
    <col min="10" max="10" width="18.42578125" style="2" customWidth="1" outlineLevel="1"/>
    <col min="11" max="11" width="26" style="2" customWidth="1" outlineLevel="1"/>
    <col min="12" max="12" width="28.42578125" style="1" customWidth="1"/>
    <col min="13" max="13" width="17.28515625" style="1" customWidth="1"/>
    <col min="14" max="14" width="18.7109375" style="6" bestFit="1" customWidth="1"/>
    <col min="15" max="15" width="18.7109375" style="6" customWidth="1"/>
    <col min="16" max="16" width="16.28515625" style="6" bestFit="1" customWidth="1"/>
    <col min="17" max="17" width="17.140625" style="1" hidden="1" customWidth="1"/>
    <col min="18" max="18" width="45.85546875" style="1" hidden="1" customWidth="1"/>
    <col min="19" max="19" width="22.140625" style="1" customWidth="1"/>
    <col min="20" max="20" width="18.140625" style="1" customWidth="1" outlineLevel="1"/>
    <col min="21" max="21" width="19.5703125" style="1" customWidth="1" outlineLevel="1"/>
    <col min="22" max="22" width="19.28515625" style="1" customWidth="1" outlineLevel="1"/>
    <col min="23" max="23" width="12.140625" style="1" customWidth="1" outlineLevel="1"/>
    <col min="24" max="24" width="10.7109375" style="1" customWidth="1" outlineLevel="1"/>
    <col min="25" max="25" width="15.85546875" style="1" customWidth="1" outlineLevel="1"/>
    <col min="26" max="26" width="12.140625" style="1" customWidth="1" outlineLevel="1"/>
    <col min="27" max="27" width="16.5703125" style="1" customWidth="1" outlineLevel="1"/>
    <col min="28" max="28" width="19" style="1" customWidth="1"/>
    <col min="29" max="29" width="13.28515625" style="1" customWidth="1"/>
    <col min="30" max="30" width="17.7109375" style="1" customWidth="1"/>
    <col min="31" max="31" width="21.5703125" style="1" customWidth="1"/>
    <col min="32" max="32" width="22.85546875" style="1" customWidth="1" outlineLevel="1"/>
    <col min="33" max="33" width="16.42578125" style="1" customWidth="1" outlineLevel="1"/>
    <col min="34" max="34" width="20.42578125" style="1" bestFit="1" customWidth="1" outlineLevel="1"/>
    <col min="35" max="35" width="24" style="1" customWidth="1" outlineLevel="1"/>
    <col min="36" max="36" width="16.7109375" style="1" customWidth="1" outlineLevel="1"/>
    <col min="37" max="37" width="13.28515625" style="1" customWidth="1" outlineLevel="1"/>
    <col min="38" max="38" width="20.28515625" style="1" customWidth="1" outlineLevel="1"/>
    <col min="39" max="39" width="19.140625" style="1" customWidth="1" outlineLevel="1"/>
    <col min="40" max="40" width="10.42578125" style="1" customWidth="1" outlineLevel="1"/>
    <col min="41" max="41" width="18.28515625" style="1" customWidth="1" outlineLevel="1"/>
    <col min="42" max="42" width="19.5703125" style="1" customWidth="1" outlineLevel="1"/>
    <col min="43" max="43" width="23.28515625" style="1" customWidth="1" outlineLevel="1"/>
    <col min="44" max="44" width="21.5703125" style="1" customWidth="1" outlineLevel="1"/>
    <col min="45" max="45" width="20.42578125" style="1" customWidth="1" outlineLevel="1"/>
    <col min="46" max="46" width="26" style="1" customWidth="1"/>
    <col min="47" max="47" width="17.7109375" style="1" customWidth="1" outlineLevel="1"/>
    <col min="48" max="48" width="18.28515625" style="1" customWidth="1" outlineLevel="1"/>
    <col min="49" max="49" width="22.28515625" style="1" bestFit="1" customWidth="1" outlineLevel="1"/>
    <col min="50" max="50" width="24.28515625" style="1" bestFit="1" customWidth="1" outlineLevel="1"/>
    <col min="51" max="51" width="22.28515625" style="1" bestFit="1" customWidth="1" outlineLevel="1"/>
    <col min="52" max="52" width="17.7109375" style="1" customWidth="1" outlineLevel="1"/>
    <col min="53" max="54" width="18.28515625" style="1" customWidth="1" outlineLevel="1"/>
    <col min="55" max="58" width="17.7109375" style="1" customWidth="1" outlineLevel="1"/>
    <col min="59" max="59" width="15.7109375" style="1" customWidth="1" outlineLevel="1"/>
    <col min="60" max="60" width="15.28515625" style="1" customWidth="1" outlineLevel="1"/>
    <col min="61" max="61" width="18.5703125" style="1" customWidth="1" outlineLevel="1"/>
    <col min="62" max="62" width="19.28515625" style="1" customWidth="1" outlineLevel="1"/>
    <col min="63" max="63" width="18" style="1" customWidth="1" outlineLevel="1"/>
    <col min="64" max="64" width="20.140625" style="1" customWidth="1" outlineLevel="1"/>
    <col min="65" max="65" width="15.7109375" style="1" customWidth="1" outlineLevel="1"/>
    <col min="66" max="66" width="17.140625" style="1" customWidth="1" outlineLevel="1"/>
    <col min="67" max="67" width="18.28515625" style="1" customWidth="1" outlineLevel="1"/>
    <col min="68" max="68" width="22.7109375" style="1" customWidth="1" outlineLevel="1"/>
    <col min="69" max="69" width="22.85546875" style="1" customWidth="1"/>
    <col min="70" max="70" width="25.28515625" style="1" bestFit="1" customWidth="1"/>
    <col min="71" max="71" width="19.42578125" style="1" bestFit="1" customWidth="1" outlineLevel="1"/>
    <col min="72" max="72" width="22.28515625" style="58" bestFit="1" customWidth="1" outlineLevel="1"/>
    <col min="73" max="73" width="22" style="61" bestFit="1" customWidth="1" outlineLevel="1"/>
    <col min="74" max="74" width="19.42578125" style="1" bestFit="1" customWidth="1" outlineLevel="1"/>
    <col min="75" max="75" width="20.85546875" style="1" bestFit="1" customWidth="1" outlineLevel="1"/>
    <col min="76" max="76" width="22" style="1" bestFit="1" customWidth="1" outlineLevel="1"/>
    <col min="77" max="77" width="19.42578125" style="1" bestFit="1" customWidth="1" outlineLevel="1"/>
    <col min="78" max="78" width="20.85546875" style="1" bestFit="1" customWidth="1" outlineLevel="1"/>
    <col min="79" max="79" width="17.85546875" style="1" bestFit="1" customWidth="1" outlineLevel="1"/>
    <col min="80" max="80" width="19.42578125" style="1" bestFit="1" customWidth="1" outlineLevel="1"/>
    <col min="81" max="81" width="20.85546875" style="1" bestFit="1" customWidth="1" outlineLevel="1"/>
    <col min="82" max="82" width="22" style="1" bestFit="1" customWidth="1" outlineLevel="1"/>
    <col min="83" max="83" width="19.42578125" style="1" bestFit="1" customWidth="1" outlineLevel="1"/>
    <col min="84" max="84" width="20.85546875" style="1" bestFit="1" customWidth="1" outlineLevel="1"/>
    <col min="85" max="85" width="22" style="1" bestFit="1" customWidth="1" outlineLevel="1"/>
    <col min="86" max="86" width="19.42578125" style="1" bestFit="1" customWidth="1" outlineLevel="1"/>
    <col min="87" max="87" width="20.85546875" style="1" bestFit="1" customWidth="1" outlineLevel="1"/>
    <col min="88" max="88" width="22" style="1" bestFit="1" customWidth="1" outlineLevel="1"/>
    <col min="89" max="89" width="19.42578125" style="1" bestFit="1" customWidth="1" outlineLevel="1"/>
    <col min="90" max="90" width="20.85546875" style="1" bestFit="1" customWidth="1" outlineLevel="1"/>
    <col min="91" max="91" width="22" style="1" bestFit="1" customWidth="1" outlineLevel="1"/>
    <col min="92" max="92" width="16" style="1" bestFit="1" customWidth="1"/>
    <col min="93" max="93" width="26.5703125" style="1" bestFit="1" customWidth="1"/>
    <col min="94" max="94" width="19.5703125" style="1" bestFit="1" customWidth="1"/>
    <col min="95" max="95" width="20.42578125" style="1" bestFit="1" customWidth="1"/>
    <col min="96" max="96" width="21.140625" style="1" bestFit="1" customWidth="1"/>
    <col min="97" max="98" width="21.42578125" style="1" bestFit="1" customWidth="1" outlineLevel="1"/>
    <col min="99" max="99" width="26.5703125" style="1" bestFit="1" customWidth="1" outlineLevel="1"/>
    <col min="100" max="101" width="21.42578125" style="1" bestFit="1" customWidth="1" outlineLevel="1"/>
    <col min="102" max="102" width="27.7109375" style="1" bestFit="1" customWidth="1" outlineLevel="1"/>
    <col min="103" max="103" width="28" style="1" bestFit="1" customWidth="1"/>
    <col min="104" max="104" width="27.42578125" style="1" bestFit="1" customWidth="1"/>
    <col min="105" max="106" width="24.85546875" style="1" bestFit="1" customWidth="1"/>
    <col min="107" max="107" width="22.28515625" style="1" bestFit="1" customWidth="1" outlineLevel="1"/>
    <col min="108" max="108" width="24.85546875" style="1" customWidth="1"/>
    <col min="109" max="109" width="19.85546875" style="1" bestFit="1" customWidth="1" outlineLevel="1"/>
    <col min="110" max="110" width="24.5703125" style="1" bestFit="1" customWidth="1" outlineLevel="1"/>
    <col min="111" max="111" width="25.140625" style="1" bestFit="1" customWidth="1" outlineLevel="1"/>
    <col min="112" max="112" width="18.28515625" style="1" bestFit="1" customWidth="1" outlineLevel="1"/>
    <col min="113" max="113" width="22.28515625" style="1" bestFit="1" customWidth="1"/>
    <col min="114" max="114" width="19.85546875" style="1" bestFit="1" customWidth="1" outlineLevel="1"/>
    <col min="115" max="115" width="21.42578125" style="1" bestFit="1" customWidth="1" outlineLevel="1"/>
    <col min="116" max="116" width="24.5703125" style="1" bestFit="1" customWidth="1" outlineLevel="1"/>
    <col min="117" max="117" width="20.7109375" style="1" bestFit="1" customWidth="1" outlineLevel="1"/>
    <col min="118" max="118" width="17.85546875" style="1" customWidth="1"/>
    <col min="119" max="119" width="25.28515625" style="1" customWidth="1"/>
    <col min="120" max="120" width="23.7109375" style="1" customWidth="1"/>
    <col min="121" max="121" width="20.140625" style="5" bestFit="1" customWidth="1"/>
    <col min="122" max="16384" width="8.85546875" style="5"/>
  </cols>
  <sheetData>
    <row r="1" spans="1:121" s="35" customFormat="1" ht="25.9" customHeight="1">
      <c r="A1" s="31"/>
      <c r="B1" s="32"/>
      <c r="C1" s="32"/>
      <c r="D1" s="32"/>
      <c r="E1" s="33"/>
      <c r="F1" s="33"/>
      <c r="G1" s="33"/>
      <c r="H1" s="33"/>
      <c r="I1" s="34"/>
      <c r="J1" s="34"/>
      <c r="K1" s="34"/>
      <c r="L1" s="32"/>
      <c r="M1" s="32"/>
      <c r="N1" s="33"/>
      <c r="O1" s="33"/>
      <c r="P1" s="33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57"/>
      <c r="BU1" s="60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</row>
    <row r="2" spans="1:121" s="35" customFormat="1" ht="25.9" customHeight="1">
      <c r="A2" s="36"/>
      <c r="B2" s="32"/>
      <c r="C2" s="32"/>
      <c r="D2" s="32"/>
      <c r="E2" s="33"/>
      <c r="F2" s="33"/>
      <c r="G2" s="33"/>
      <c r="H2" s="33"/>
      <c r="I2" s="34"/>
      <c r="J2" s="34"/>
      <c r="K2" s="34"/>
      <c r="L2" s="32"/>
      <c r="M2" s="32"/>
      <c r="N2" s="33"/>
      <c r="O2" s="33"/>
      <c r="P2" s="33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57"/>
      <c r="BU2" s="60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</row>
    <row r="3" spans="1:121" ht="50.45" customHeight="1"/>
    <row r="4" spans="1:121" ht="42" customHeight="1">
      <c r="A4" s="145" t="s">
        <v>87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 t="s">
        <v>86</v>
      </c>
      <c r="M4" s="146">
        <v>45529</v>
      </c>
      <c r="N4" s="147" t="s">
        <v>206</v>
      </c>
      <c r="O4" s="148"/>
      <c r="P4" s="149"/>
      <c r="Q4" s="147" t="s">
        <v>123</v>
      </c>
      <c r="R4" s="149"/>
      <c r="S4" s="145" t="s">
        <v>85</v>
      </c>
      <c r="T4" s="145"/>
      <c r="U4" s="145"/>
      <c r="V4" s="145"/>
      <c r="W4" s="145"/>
      <c r="X4" s="145"/>
      <c r="Y4" s="145"/>
      <c r="Z4" s="145"/>
      <c r="AA4" s="145"/>
      <c r="AB4" s="145"/>
      <c r="AC4" s="154" t="s">
        <v>84</v>
      </c>
      <c r="AD4" s="155"/>
      <c r="AE4" s="158" t="s">
        <v>41</v>
      </c>
      <c r="AF4" s="145" t="s">
        <v>83</v>
      </c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 t="s">
        <v>82</v>
      </c>
      <c r="AV4" s="145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45" t="s">
        <v>81</v>
      </c>
      <c r="BH4" s="145"/>
      <c r="BI4" s="145"/>
      <c r="BJ4" s="145"/>
      <c r="BK4" s="145"/>
      <c r="BL4" s="145"/>
      <c r="BM4" s="145"/>
      <c r="BN4" s="145"/>
      <c r="BO4" s="145"/>
      <c r="BP4" s="145"/>
      <c r="BQ4" s="145" t="s">
        <v>80</v>
      </c>
      <c r="BR4" s="145"/>
      <c r="BS4" s="161" t="s">
        <v>79</v>
      </c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20" t="s">
        <v>78</v>
      </c>
      <c r="CS4" s="90">
        <v>0.08</v>
      </c>
      <c r="CT4" s="90">
        <v>1.4999999999999999E-2</v>
      </c>
      <c r="CU4" s="90">
        <v>0.01</v>
      </c>
      <c r="CV4" s="90">
        <v>0.17499999999999999</v>
      </c>
      <c r="CW4" s="90">
        <v>0.03</v>
      </c>
      <c r="CX4" s="90">
        <v>0.01</v>
      </c>
      <c r="CY4" s="154" t="s">
        <v>77</v>
      </c>
      <c r="CZ4" s="163"/>
      <c r="DA4" s="163"/>
      <c r="DB4" s="155"/>
      <c r="DC4" s="145" t="s">
        <v>76</v>
      </c>
      <c r="DD4" s="145"/>
      <c r="DE4" s="145"/>
      <c r="DF4" s="145"/>
      <c r="DG4" s="145"/>
      <c r="DH4" s="145"/>
      <c r="DI4" s="145"/>
      <c r="DJ4" s="145" t="s">
        <v>290</v>
      </c>
      <c r="DK4" s="145"/>
      <c r="DL4" s="145"/>
      <c r="DM4" s="145"/>
      <c r="DN4" s="145" t="s">
        <v>74</v>
      </c>
      <c r="DO4" s="145" t="s">
        <v>73</v>
      </c>
      <c r="DP4" s="145" t="s">
        <v>72</v>
      </c>
    </row>
    <row r="5" spans="1:121" s="26" customFormat="1" ht="97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  <c r="N5" s="150"/>
      <c r="O5" s="151"/>
      <c r="P5" s="152"/>
      <c r="Q5" s="150"/>
      <c r="R5" s="152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56"/>
      <c r="AD5" s="157"/>
      <c r="AE5" s="159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 t="s">
        <v>88</v>
      </c>
      <c r="AV5" s="145"/>
      <c r="AW5" s="145" t="s">
        <v>71</v>
      </c>
      <c r="AX5" s="145"/>
      <c r="AY5" s="145" t="s">
        <v>70</v>
      </c>
      <c r="AZ5" s="145"/>
      <c r="BA5" s="145" t="s">
        <v>69</v>
      </c>
      <c r="BB5" s="145"/>
      <c r="BC5" s="145" t="s">
        <v>166</v>
      </c>
      <c r="BD5" s="145"/>
      <c r="BE5" s="145" t="s">
        <v>165</v>
      </c>
      <c r="BF5" s="145"/>
      <c r="BG5" s="162" t="s">
        <v>68</v>
      </c>
      <c r="BH5" s="162"/>
      <c r="BI5" s="162" t="s">
        <v>67</v>
      </c>
      <c r="BJ5" s="162"/>
      <c r="BK5" s="162" t="s">
        <v>66</v>
      </c>
      <c r="BL5" s="162"/>
      <c r="BM5" s="162" t="s">
        <v>65</v>
      </c>
      <c r="BN5" s="162"/>
      <c r="BO5" s="121" t="s">
        <v>91</v>
      </c>
      <c r="BP5" s="121" t="s">
        <v>90</v>
      </c>
      <c r="BQ5" s="145"/>
      <c r="BR5" s="145"/>
      <c r="BS5" s="153" t="s">
        <v>64</v>
      </c>
      <c r="BT5" s="145"/>
      <c r="BU5" s="145"/>
      <c r="BV5" s="153" t="s">
        <v>227</v>
      </c>
      <c r="BW5" s="145"/>
      <c r="BX5" s="145"/>
      <c r="BY5" s="153" t="s">
        <v>63</v>
      </c>
      <c r="BZ5" s="145"/>
      <c r="CA5" s="145"/>
      <c r="CB5" s="153" t="s">
        <v>62</v>
      </c>
      <c r="CC5" s="145"/>
      <c r="CD5" s="145"/>
      <c r="CE5" s="153" t="s">
        <v>209</v>
      </c>
      <c r="CF5" s="145"/>
      <c r="CG5" s="145"/>
      <c r="CH5" s="153" t="s">
        <v>210</v>
      </c>
      <c r="CI5" s="145"/>
      <c r="CJ5" s="145"/>
      <c r="CK5" s="153" t="s">
        <v>211</v>
      </c>
      <c r="CL5" s="145"/>
      <c r="CM5" s="145"/>
      <c r="CN5" s="165" t="s">
        <v>61</v>
      </c>
      <c r="CO5" s="166"/>
      <c r="CP5" s="166"/>
      <c r="CQ5" s="167"/>
      <c r="CR5" s="145" t="s">
        <v>60</v>
      </c>
      <c r="CS5" s="145" t="s">
        <v>59</v>
      </c>
      <c r="CT5" s="145"/>
      <c r="CU5" s="145"/>
      <c r="CV5" s="145" t="s">
        <v>58</v>
      </c>
      <c r="CW5" s="145"/>
      <c r="CX5" s="145"/>
      <c r="CY5" s="156"/>
      <c r="CZ5" s="164"/>
      <c r="DA5" s="164"/>
      <c r="DB5" s="157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</row>
    <row r="6" spans="1:121" s="26" customFormat="1" ht="121.5">
      <c r="A6" s="120" t="s">
        <v>57</v>
      </c>
      <c r="B6" s="120" t="s">
        <v>56</v>
      </c>
      <c r="C6" s="120" t="s">
        <v>125</v>
      </c>
      <c r="D6" s="122" t="s">
        <v>55</v>
      </c>
      <c r="E6" s="120" t="s">
        <v>54</v>
      </c>
      <c r="F6" s="120" t="s">
        <v>2</v>
      </c>
      <c r="G6" s="120" t="s">
        <v>53</v>
      </c>
      <c r="H6" s="123" t="s">
        <v>108</v>
      </c>
      <c r="I6" s="120" t="s">
        <v>52</v>
      </c>
      <c r="J6" s="120"/>
      <c r="K6" s="120" t="s">
        <v>107</v>
      </c>
      <c r="L6" s="120" t="s">
        <v>94</v>
      </c>
      <c r="M6" s="92" t="s">
        <v>51</v>
      </c>
      <c r="N6" s="123" t="s">
        <v>205</v>
      </c>
      <c r="O6" s="123" t="s">
        <v>207</v>
      </c>
      <c r="P6" s="123" t="s">
        <v>208</v>
      </c>
      <c r="Q6" s="92" t="s">
        <v>124</v>
      </c>
      <c r="R6" s="92" t="s">
        <v>204</v>
      </c>
      <c r="S6" s="92" t="s">
        <v>50</v>
      </c>
      <c r="T6" s="120" t="s">
        <v>49</v>
      </c>
      <c r="U6" s="120" t="s">
        <v>48</v>
      </c>
      <c r="V6" s="120" t="s">
        <v>47</v>
      </c>
      <c r="W6" s="120" t="s">
        <v>32</v>
      </c>
      <c r="X6" s="120" t="s">
        <v>46</v>
      </c>
      <c r="Y6" s="120" t="s">
        <v>45</v>
      </c>
      <c r="Z6" s="120" t="s">
        <v>44</v>
      </c>
      <c r="AA6" s="120" t="s">
        <v>42</v>
      </c>
      <c r="AB6" s="120" t="s">
        <v>43</v>
      </c>
      <c r="AC6" s="120" t="s">
        <v>43</v>
      </c>
      <c r="AD6" s="120" t="s">
        <v>42</v>
      </c>
      <c r="AE6" s="160"/>
      <c r="AF6" s="93" t="s">
        <v>40</v>
      </c>
      <c r="AG6" s="93" t="s">
        <v>39</v>
      </c>
      <c r="AH6" s="93" t="s">
        <v>38</v>
      </c>
      <c r="AI6" s="94" t="s">
        <v>37</v>
      </c>
      <c r="AJ6" s="93" t="s">
        <v>36</v>
      </c>
      <c r="AK6" s="93" t="s">
        <v>35</v>
      </c>
      <c r="AL6" s="94" t="s">
        <v>34</v>
      </c>
      <c r="AM6" s="93" t="s">
        <v>33</v>
      </c>
      <c r="AN6" s="93" t="s">
        <v>32</v>
      </c>
      <c r="AO6" s="94" t="s">
        <v>31</v>
      </c>
      <c r="AP6" s="93" t="s">
        <v>164</v>
      </c>
      <c r="AQ6" s="93" t="s">
        <v>163</v>
      </c>
      <c r="AR6" s="93" t="s">
        <v>142</v>
      </c>
      <c r="AS6" s="94" t="s">
        <v>161</v>
      </c>
      <c r="AT6" s="121" t="s">
        <v>162</v>
      </c>
      <c r="AU6" s="95" t="s">
        <v>29</v>
      </c>
      <c r="AV6" s="93" t="s">
        <v>28</v>
      </c>
      <c r="AW6" s="95" t="s">
        <v>29</v>
      </c>
      <c r="AX6" s="93" t="s">
        <v>28</v>
      </c>
      <c r="AY6" s="95" t="s">
        <v>29</v>
      </c>
      <c r="AZ6" s="93" t="s">
        <v>28</v>
      </c>
      <c r="BA6" s="93" t="s">
        <v>29</v>
      </c>
      <c r="BB6" s="93" t="s">
        <v>28</v>
      </c>
      <c r="BC6" s="95" t="s">
        <v>29</v>
      </c>
      <c r="BD6" s="93" t="s">
        <v>28</v>
      </c>
      <c r="BE6" s="95" t="s">
        <v>29</v>
      </c>
      <c r="BF6" s="93" t="s">
        <v>28</v>
      </c>
      <c r="BG6" s="95" t="s">
        <v>29</v>
      </c>
      <c r="BH6" s="93" t="s">
        <v>30</v>
      </c>
      <c r="BI6" s="95" t="s">
        <v>29</v>
      </c>
      <c r="BJ6" s="93" t="s">
        <v>28</v>
      </c>
      <c r="BK6" s="95" t="s">
        <v>29</v>
      </c>
      <c r="BL6" s="93" t="s">
        <v>28</v>
      </c>
      <c r="BM6" s="95" t="s">
        <v>29</v>
      </c>
      <c r="BN6" s="93" t="s">
        <v>28</v>
      </c>
      <c r="BO6" s="93" t="s">
        <v>1</v>
      </c>
      <c r="BP6" s="93" t="s">
        <v>1</v>
      </c>
      <c r="BQ6" s="93" t="s">
        <v>29</v>
      </c>
      <c r="BR6" s="93" t="s">
        <v>28</v>
      </c>
      <c r="BS6" s="120" t="s">
        <v>27</v>
      </c>
      <c r="BT6" s="96" t="s">
        <v>26</v>
      </c>
      <c r="BU6" s="97" t="s">
        <v>25</v>
      </c>
      <c r="BV6" s="120" t="s">
        <v>27</v>
      </c>
      <c r="BW6" s="120" t="s">
        <v>26</v>
      </c>
      <c r="BX6" s="120" t="s">
        <v>25</v>
      </c>
      <c r="BY6" s="120" t="s">
        <v>27</v>
      </c>
      <c r="BZ6" s="120" t="s">
        <v>26</v>
      </c>
      <c r="CA6" s="120" t="s">
        <v>25</v>
      </c>
      <c r="CB6" s="120" t="s">
        <v>27</v>
      </c>
      <c r="CC6" s="120" t="s">
        <v>26</v>
      </c>
      <c r="CD6" s="120" t="s">
        <v>25</v>
      </c>
      <c r="CE6" s="120" t="s">
        <v>27</v>
      </c>
      <c r="CF6" s="120" t="s">
        <v>26</v>
      </c>
      <c r="CG6" s="120" t="s">
        <v>25</v>
      </c>
      <c r="CH6" s="120" t="s">
        <v>27</v>
      </c>
      <c r="CI6" s="120" t="s">
        <v>26</v>
      </c>
      <c r="CJ6" s="120" t="s">
        <v>25</v>
      </c>
      <c r="CK6" s="120" t="s">
        <v>27</v>
      </c>
      <c r="CL6" s="120" t="s">
        <v>26</v>
      </c>
      <c r="CM6" s="120" t="s">
        <v>25</v>
      </c>
      <c r="CN6" s="120" t="s">
        <v>24</v>
      </c>
      <c r="CO6" s="120" t="s">
        <v>23</v>
      </c>
      <c r="CP6" s="120" t="s">
        <v>22</v>
      </c>
      <c r="CQ6" s="120" t="s">
        <v>0</v>
      </c>
      <c r="CR6" s="145"/>
      <c r="CS6" s="120" t="s">
        <v>21</v>
      </c>
      <c r="CT6" s="120" t="s">
        <v>20</v>
      </c>
      <c r="CU6" s="120" t="s">
        <v>17</v>
      </c>
      <c r="CV6" s="120" t="s">
        <v>19</v>
      </c>
      <c r="CW6" s="120" t="s">
        <v>18</v>
      </c>
      <c r="CX6" s="120" t="s">
        <v>17</v>
      </c>
      <c r="CY6" s="120" t="s">
        <v>16</v>
      </c>
      <c r="CZ6" s="120" t="s">
        <v>15</v>
      </c>
      <c r="DA6" s="120" t="s">
        <v>237</v>
      </c>
      <c r="DB6" s="120" t="s">
        <v>14</v>
      </c>
      <c r="DC6" s="120" t="s">
        <v>284</v>
      </c>
      <c r="DD6" s="120" t="s">
        <v>303</v>
      </c>
      <c r="DE6" s="120" t="s">
        <v>12</v>
      </c>
      <c r="DF6" s="120" t="s">
        <v>98</v>
      </c>
      <c r="DG6" s="120" t="s">
        <v>11</v>
      </c>
      <c r="DH6" s="120" t="s">
        <v>10</v>
      </c>
      <c r="DI6" s="120" t="s">
        <v>9</v>
      </c>
      <c r="DJ6" s="120" t="s">
        <v>8</v>
      </c>
      <c r="DK6" s="120" t="s">
        <v>7</v>
      </c>
      <c r="DL6" s="120" t="s">
        <v>6</v>
      </c>
      <c r="DM6" s="120" t="s">
        <v>158</v>
      </c>
      <c r="DN6" s="145"/>
      <c r="DO6" s="145"/>
      <c r="DP6" s="145"/>
    </row>
    <row r="7" spans="1:121" s="86" customFormat="1" ht="45.75" customHeight="1">
      <c r="A7" s="98"/>
      <c r="B7" s="98"/>
      <c r="C7" s="98"/>
      <c r="D7" s="99"/>
      <c r="E7" s="98"/>
      <c r="F7" s="98"/>
      <c r="G7" s="98"/>
      <c r="H7" s="98"/>
      <c r="I7" s="98"/>
      <c r="J7" s="98"/>
      <c r="K7" s="98"/>
      <c r="L7" s="100"/>
      <c r="M7" s="100" t="s">
        <v>247</v>
      </c>
      <c r="N7" s="100"/>
      <c r="O7" s="100"/>
      <c r="P7" s="100"/>
      <c r="Q7" s="100"/>
      <c r="R7" s="100"/>
      <c r="S7" s="100" t="s">
        <v>5</v>
      </c>
      <c r="T7" s="100" t="s">
        <v>248</v>
      </c>
      <c r="U7" s="100" t="s">
        <v>249</v>
      </c>
      <c r="V7" s="100" t="s">
        <v>250</v>
      </c>
      <c r="W7" s="100" t="s">
        <v>251</v>
      </c>
      <c r="X7" s="100" t="s">
        <v>297</v>
      </c>
      <c r="Y7" s="100" t="s">
        <v>300</v>
      </c>
      <c r="Z7" s="100" t="s">
        <v>301</v>
      </c>
      <c r="AA7" s="100" t="s">
        <v>298</v>
      </c>
      <c r="AB7" s="100"/>
      <c r="AC7" s="100" t="s">
        <v>296</v>
      </c>
      <c r="AD7" s="100" t="s">
        <v>299</v>
      </c>
      <c r="AE7" s="100" t="s">
        <v>252</v>
      </c>
      <c r="AF7" s="98" t="s">
        <v>253</v>
      </c>
      <c r="AG7" s="100" t="s">
        <v>254</v>
      </c>
      <c r="AH7" s="100" t="s">
        <v>255</v>
      </c>
      <c r="AI7" s="101" t="s">
        <v>256</v>
      </c>
      <c r="AJ7" s="98" t="s">
        <v>257</v>
      </c>
      <c r="AK7" s="100" t="s">
        <v>258</v>
      </c>
      <c r="AL7" s="102" t="s">
        <v>259</v>
      </c>
      <c r="AM7" s="100" t="s">
        <v>260</v>
      </c>
      <c r="AN7" s="100" t="s">
        <v>261</v>
      </c>
      <c r="AO7" s="102" t="s">
        <v>262</v>
      </c>
      <c r="AP7" s="100"/>
      <c r="AQ7" s="100"/>
      <c r="AR7" s="100"/>
      <c r="AS7" s="102"/>
      <c r="AT7" s="100">
        <f>SUBTOTAL(9,AT8:AT8)</f>
        <v>21197884.61538462</v>
      </c>
      <c r="AU7" s="103" t="s">
        <v>263</v>
      </c>
      <c r="AV7" s="100"/>
      <c r="AW7" s="103" t="s">
        <v>264</v>
      </c>
      <c r="AX7" s="100"/>
      <c r="AY7" s="103" t="s">
        <v>265</v>
      </c>
      <c r="AZ7" s="100"/>
      <c r="BA7" s="100" t="s">
        <v>266</v>
      </c>
      <c r="BB7" s="100"/>
      <c r="BC7" s="103" t="s">
        <v>267</v>
      </c>
      <c r="BD7" s="100"/>
      <c r="BE7" s="103" t="s">
        <v>268</v>
      </c>
      <c r="BF7" s="100"/>
      <c r="BG7" s="103" t="s">
        <v>269</v>
      </c>
      <c r="BH7" s="100"/>
      <c r="BI7" s="103" t="s">
        <v>270</v>
      </c>
      <c r="BJ7" s="100"/>
      <c r="BK7" s="103" t="s">
        <v>271</v>
      </c>
      <c r="BL7" s="100"/>
      <c r="BM7" s="103" t="s">
        <v>272</v>
      </c>
      <c r="BN7" s="100"/>
      <c r="BO7" s="100" t="s">
        <v>273</v>
      </c>
      <c r="BP7" s="100" t="s">
        <v>274</v>
      </c>
      <c r="BQ7" s="98" t="s">
        <v>275</v>
      </c>
      <c r="BR7" s="100" t="s">
        <v>276</v>
      </c>
      <c r="BS7" s="104" t="s">
        <v>277</v>
      </c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0"/>
      <c r="CS7" s="100" t="s">
        <v>278</v>
      </c>
      <c r="CT7" s="100" t="s">
        <v>279</v>
      </c>
      <c r="CU7" s="100" t="s">
        <v>280</v>
      </c>
      <c r="CV7" s="100"/>
      <c r="CW7" s="100"/>
      <c r="CX7" s="100"/>
      <c r="CY7" s="100" t="s">
        <v>281</v>
      </c>
      <c r="CZ7" s="100"/>
      <c r="DA7" s="100" t="s">
        <v>282</v>
      </c>
      <c r="DB7" s="100" t="s">
        <v>283</v>
      </c>
      <c r="DC7" s="100">
        <f>SUBTOTAL(9,DC8:DC8)</f>
        <v>28759423.07692308</v>
      </c>
      <c r="DD7" s="100" t="s">
        <v>304</v>
      </c>
      <c r="DE7" s="100" t="s">
        <v>285</v>
      </c>
      <c r="DF7" s="100" t="s">
        <v>286</v>
      </c>
      <c r="DG7" s="100" t="s">
        <v>287</v>
      </c>
      <c r="DH7" s="100" t="s">
        <v>288</v>
      </c>
      <c r="DI7" s="100" t="s">
        <v>289</v>
      </c>
      <c r="DJ7" s="100" t="s">
        <v>291</v>
      </c>
      <c r="DK7" s="100" t="s">
        <v>292</v>
      </c>
      <c r="DL7" s="100" t="s">
        <v>293</v>
      </c>
      <c r="DM7" s="100" t="s">
        <v>302</v>
      </c>
      <c r="DN7" s="100" t="s">
        <v>294</v>
      </c>
      <c r="DO7" s="100" t="s">
        <v>295</v>
      </c>
      <c r="DP7" s="100"/>
    </row>
    <row r="8" spans="1:121" s="118" customFormat="1" ht="51" customHeight="1">
      <c r="A8" s="105">
        <v>1</v>
      </c>
      <c r="B8" s="106"/>
      <c r="C8" s="106"/>
      <c r="D8" s="107"/>
      <c r="E8" s="108"/>
      <c r="F8" s="106"/>
      <c r="G8" s="106"/>
      <c r="H8" s="109">
        <v>33936</v>
      </c>
      <c r="I8" s="109">
        <v>45460</v>
      </c>
      <c r="J8" s="110">
        <f>+$M$4-I8</f>
        <v>69</v>
      </c>
      <c r="K8" s="111">
        <v>45529</v>
      </c>
      <c r="L8" s="41" t="s">
        <v>99</v>
      </c>
      <c r="M8" s="105">
        <v>2</v>
      </c>
      <c r="N8" s="111"/>
      <c r="O8" s="111"/>
      <c r="P8" s="111"/>
      <c r="Q8" s="111"/>
      <c r="R8" s="111"/>
      <c r="S8" s="41">
        <f>208/8</f>
        <v>26</v>
      </c>
      <c r="T8" s="112">
        <v>25.5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f>6*6*2</f>
        <v>72</v>
      </c>
      <c r="AB8" s="42">
        <f>+T8+W8+X8</f>
        <v>25.5</v>
      </c>
      <c r="AC8" s="112">
        <v>17</v>
      </c>
      <c r="AD8" s="112">
        <v>72</v>
      </c>
      <c r="AE8" s="112">
        <f>AB8-AC8</f>
        <v>8.5</v>
      </c>
      <c r="AF8" s="113">
        <v>21000000</v>
      </c>
      <c r="AG8" s="114">
        <f t="shared" ref="AG8" si="0">+AF8/26</f>
        <v>807692.30769230775</v>
      </c>
      <c r="AH8" s="114">
        <f t="shared" ref="AH8" si="1">+AF8/208</f>
        <v>100961.53846153847</v>
      </c>
      <c r="AI8" s="113">
        <f>+AC8*AG8*85%+(AB8-AC8)*AG8</f>
        <v>18536538.461538464</v>
      </c>
      <c r="AJ8" s="114">
        <f t="shared" ref="AJ8" si="2">+SUM(AF8,AU8,AW8,AY8,BA8,BE8,BC8)/208</f>
        <v>100961.53846153847</v>
      </c>
      <c r="AK8" s="114">
        <f>+AH8*30%</f>
        <v>30288.461538461539</v>
      </c>
      <c r="AL8" s="113">
        <f>+AD8*AK8*85%+(AA8-AD8)*AK8</f>
        <v>1853653.8461538462</v>
      </c>
      <c r="AM8" s="114">
        <f>+AL8</f>
        <v>1853653.8461538462</v>
      </c>
      <c r="AN8" s="114">
        <v>1</v>
      </c>
      <c r="AO8" s="113">
        <f>+AN8*AG8</f>
        <v>807692.30769230775</v>
      </c>
      <c r="AP8" s="114">
        <v>0</v>
      </c>
      <c r="AQ8" s="114">
        <v>0</v>
      </c>
      <c r="AR8" s="114">
        <v>0</v>
      </c>
      <c r="AS8" s="115">
        <f t="shared" ref="AS8" si="3">+AH8*(AQ8+AP8*85%)*300%</f>
        <v>0</v>
      </c>
      <c r="AT8" s="113">
        <f>+AI8+AL8+AS8+AO8+AR8</f>
        <v>21197884.61538462</v>
      </c>
      <c r="AU8" s="114">
        <v>0</v>
      </c>
      <c r="AV8" s="114">
        <f>IF(V8&gt;=3,0,(AU8/S8*AC8*85%)+(AU8/S8*AE8))</f>
        <v>0</v>
      </c>
      <c r="AW8" s="114">
        <v>0</v>
      </c>
      <c r="AX8" s="114">
        <f>IF(V8&gt;=3,0,(AW8/S8*AC8*85%)+(AW8/S8*AE8))</f>
        <v>0</v>
      </c>
      <c r="AY8" s="114">
        <v>0</v>
      </c>
      <c r="AZ8" s="114">
        <f>IF(V8&gt;=3,0,(AY8/S8*AC8*85%)+(AY8/S8*AE8))</f>
        <v>0</v>
      </c>
      <c r="BA8" s="114">
        <v>0</v>
      </c>
      <c r="BB8" s="114">
        <f>IF(V8&gt;=3,0,(BA8/S8*AC8*85%)+(BA8/S8*AE8))</f>
        <v>0</v>
      </c>
      <c r="BC8" s="116">
        <v>0</v>
      </c>
      <c r="BD8" s="114">
        <f>IF(V8&gt;=3,0,(BC8/S8*AC8*85%)+(BC8/S8*AE8))</f>
        <v>0</v>
      </c>
      <c r="BE8" s="114">
        <v>0</v>
      </c>
      <c r="BF8" s="114">
        <f>IF(V8&gt;=3,0,(BE8/S8*AC8*85%)+(BE8/S8*AE8))</f>
        <v>0</v>
      </c>
      <c r="BG8" s="114">
        <v>500000</v>
      </c>
      <c r="BH8" s="114">
        <f>IF(AND(T8&gt;=S8-1.5,W8&lt;2,Y8&lt;2,AB8&gt;=S8-0.5,L8="N"),500000,IF(AND(T8&gt;=S8-1.5,W8&lt;2,Y8&lt;2,AB8&gt;=S8-0.5,L8="Y"),425000,0))</f>
        <v>500000</v>
      </c>
      <c r="BI8" s="114">
        <v>3500000</v>
      </c>
      <c r="BJ8" s="114">
        <f>IF(V8&gt;=3,0,(BI8/S8*AC8*85%)+(BI8/S8*AE8))</f>
        <v>3089423.076923077</v>
      </c>
      <c r="BK8" s="114">
        <v>1000000</v>
      </c>
      <c r="BL8" s="114">
        <f>IF(V8&gt;=3,0,(BK8/S8*AC8*85%)+(BK8/S8*AE8))</f>
        <v>882692.30769230775</v>
      </c>
      <c r="BM8" s="114">
        <v>0</v>
      </c>
      <c r="BN8" s="114">
        <f>IF(V8&gt;=3,0,(BM8/S8*AC8*85%)+(BM8/S8*AE8))</f>
        <v>0</v>
      </c>
      <c r="BO8" s="114">
        <v>0</v>
      </c>
      <c r="BP8" s="114">
        <f>IF(AND(G8="Female",L8="N",N8=""),AH8*1.5,0)</f>
        <v>0</v>
      </c>
      <c r="BQ8" s="113">
        <f>+BM8+BK8+BI8+BG8+BE8+BA8+AY8+AW8+AU8+BC8</f>
        <v>5000000</v>
      </c>
      <c r="BR8" s="113">
        <f t="shared" ref="BR8" si="4">+BP8+BN8+BL8+BJ8+BH8+BF8+BB8+AZ8+AX8+AV8+BO8+BD8</f>
        <v>4472115.384615385</v>
      </c>
      <c r="BS8" s="112">
        <v>0</v>
      </c>
      <c r="BT8" s="112">
        <v>24</v>
      </c>
      <c r="BU8" s="113">
        <f t="shared" ref="BU8" si="5">+AJ8*(BS8*150%+BT8*150%*85%)</f>
        <v>3089423.076923077</v>
      </c>
      <c r="BV8" s="114">
        <v>0</v>
      </c>
      <c r="BW8" s="114">
        <v>0</v>
      </c>
      <c r="BX8" s="113">
        <f t="shared" ref="BX8" si="6">+AJ8*(BV8*200%+BW8*200%*85%)</f>
        <v>0</v>
      </c>
      <c r="BY8" s="114">
        <v>0</v>
      </c>
      <c r="BZ8" s="114">
        <v>0</v>
      </c>
      <c r="CA8" s="113">
        <f t="shared" ref="CA8" si="7">+AJ8*(BY8*210%+BZ8*210%*85%)</f>
        <v>0</v>
      </c>
      <c r="CB8" s="114">
        <v>0</v>
      </c>
      <c r="CC8" s="114">
        <v>0</v>
      </c>
      <c r="CD8" s="113">
        <f t="shared" ref="CD8" si="8">+AJ8*(CB8*200%+CC8*200%*85%)</f>
        <v>0</v>
      </c>
      <c r="CE8" s="114">
        <v>0</v>
      </c>
      <c r="CF8" s="114">
        <v>0</v>
      </c>
      <c r="CG8" s="113">
        <f t="shared" ref="CG8" si="9">+AJ8*(CE8*270%+CF8*270%*85%)</f>
        <v>0</v>
      </c>
      <c r="CH8" s="114">
        <v>0</v>
      </c>
      <c r="CI8" s="114">
        <v>0</v>
      </c>
      <c r="CJ8" s="113">
        <f t="shared" ref="CJ8" si="10">+AJ8*(CH8*300%+CI8*300%*85%)</f>
        <v>0</v>
      </c>
      <c r="CK8" s="114">
        <v>0</v>
      </c>
      <c r="CL8" s="114">
        <v>0</v>
      </c>
      <c r="CM8" s="113">
        <f t="shared" ref="CM8" si="11">+AJ8*(CK8*390%+CL8*390%*85%)</f>
        <v>0</v>
      </c>
      <c r="CN8" s="113">
        <v>24</v>
      </c>
      <c r="CO8" s="113">
        <f>+SUM(CM8,CJ8,CG8,CD8,CA8,BX8,BU8)</f>
        <v>3089423.076923077</v>
      </c>
      <c r="CP8" s="114">
        <f>AJ8*SUM(BS8,BV8,BY8,CB8,CE8,CH8,CK8)+AJ8
*SUM(BT8,BW8,BZ8,CC8,CF8,CI8,CL8)*85%</f>
        <v>2059615.3846153845</v>
      </c>
      <c r="CQ8" s="114">
        <f t="shared" ref="CQ8" si="12">+CO8-CP8</f>
        <v>1029807.6923076925</v>
      </c>
      <c r="CR8" s="113">
        <f>IF(L8="Y",0,IF(AND(SUM(AF8,AU8,AW8,AY8,BA8,BC8,BE8)&gt;36000000,L8="N"),36000000,SUM(AF8,AU8,AW8,AY8,BA8,BC8,BE8)))</f>
        <v>21000000</v>
      </c>
      <c r="CS8" s="114">
        <f t="shared" ref="CS8:CX8" si="13">+$CR8*CS$4</f>
        <v>1680000</v>
      </c>
      <c r="CT8" s="114">
        <f t="shared" si="13"/>
        <v>315000</v>
      </c>
      <c r="CU8" s="114">
        <f t="shared" si="13"/>
        <v>210000</v>
      </c>
      <c r="CV8" s="114">
        <f t="shared" si="13"/>
        <v>3674999.9999999995</v>
      </c>
      <c r="CW8" s="114">
        <f t="shared" si="13"/>
        <v>630000</v>
      </c>
      <c r="CX8" s="114">
        <f t="shared" si="13"/>
        <v>210000</v>
      </c>
      <c r="CY8" s="113">
        <f t="shared" ref="CY8" si="14">SUM(CS8:CU8)</f>
        <v>2205000</v>
      </c>
      <c r="CZ8" s="113">
        <f t="shared" ref="CZ8" si="15">SUM(CV8:CX8)</f>
        <v>4515000</v>
      </c>
      <c r="DA8" s="114">
        <v>45000</v>
      </c>
      <c r="DB8" s="113">
        <f>+CR8*2%</f>
        <v>420000</v>
      </c>
      <c r="DC8" s="115">
        <f>+AT8+BR8+CO8+DD8</f>
        <v>28759423.07692308</v>
      </c>
      <c r="DD8" s="113">
        <v>0</v>
      </c>
      <c r="DE8" s="117">
        <f>+AM8+CQ8</f>
        <v>2883461.538461539</v>
      </c>
      <c r="DF8" s="117">
        <f>4400000*2</f>
        <v>8800000</v>
      </c>
      <c r="DG8" s="114">
        <f t="shared" ref="DG8" si="16">IF((DC8-DE8-CY8-DF8-11000000)&gt;0,DC8-DE8-CY8-DF8-11000000,0)</f>
        <v>3870961.5384615399</v>
      </c>
      <c r="DH8" s="114">
        <f>IF(DG8&lt;=5000000,DG8*5%,IF(AND(DG8&gt;5000000,DG8&lt;=10000000),DG8*10%-250000,IF(AND(DG8&gt;10000000,DG8&lt;=18000000),DG8*15%-750000,IF(AND(DG8&gt;18000000,DG8&lt;=32000000),DG8*20%-1650000,IF(AND(DG8&gt;32000000,DG8&lt;=52000000),DG8*25%-3250000,IF(AND(DG8&gt;52000000,DG8&lt;=80000000),DG8*30%-5850000,IF(DG8&gt;80000000,DG8*35%-9850000,0)))))))</f>
        <v>193548.07692307699</v>
      </c>
      <c r="DI8" s="115">
        <f t="shared" ref="DI8" si="17">+DC8-CY8-DA8-DH8</f>
        <v>26315875.000000004</v>
      </c>
      <c r="DJ8" s="114">
        <v>0</v>
      </c>
      <c r="DK8" s="114">
        <v>0</v>
      </c>
      <c r="DL8" s="114">
        <v>0</v>
      </c>
      <c r="DM8" s="114"/>
      <c r="DN8" s="114">
        <f t="shared" ref="DN8" si="18">+DJ8+DK8+DL8+DM8</f>
        <v>0</v>
      </c>
      <c r="DO8" s="114">
        <v>0</v>
      </c>
      <c r="DP8" s="113">
        <f>ROUND(DI8-DN8+DO8-DD8,0)</f>
        <v>26315875</v>
      </c>
      <c r="DQ8" s="119"/>
    </row>
    <row r="9" spans="1:121">
      <c r="AI9" s="3"/>
      <c r="AJ9" s="3"/>
      <c r="AK9" s="3"/>
    </row>
    <row r="10" spans="1:121">
      <c r="AI10" s="3"/>
      <c r="AJ10" s="3"/>
    </row>
    <row r="14" spans="1:121">
      <c r="AH14" s="9"/>
    </row>
    <row r="15" spans="1:121">
      <c r="AH15" s="8"/>
    </row>
    <row r="16" spans="1:121">
      <c r="AH16" s="7"/>
      <c r="CO16" s="10"/>
    </row>
  </sheetData>
  <autoFilter ref="A6:DP8" xr:uid="{00000000-0001-0000-0100-000000000000}"/>
  <mergeCells count="40">
    <mergeCell ref="CV5:CX5"/>
    <mergeCell ref="CE5:CG5"/>
    <mergeCell ref="CH5:CJ5"/>
    <mergeCell ref="CK5:CM5"/>
    <mergeCell ref="CN5:CQ5"/>
    <mergeCell ref="CR5:CR6"/>
    <mergeCell ref="CS5:CU5"/>
    <mergeCell ref="DP4:DP6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BS4:CQ4"/>
    <mergeCell ref="CY4:DB5"/>
    <mergeCell ref="DC4:DI5"/>
    <mergeCell ref="DJ4:DM5"/>
    <mergeCell ref="DN4:DN6"/>
    <mergeCell ref="DO4:DO6"/>
    <mergeCell ref="BS5:BU5"/>
    <mergeCell ref="BV5:BX5"/>
    <mergeCell ref="BY5:CA5"/>
    <mergeCell ref="CB5:CD5"/>
    <mergeCell ref="AC4:AD5"/>
    <mergeCell ref="AE4:AE6"/>
    <mergeCell ref="AF4:AT5"/>
    <mergeCell ref="AU4:BF4"/>
    <mergeCell ref="BG4:BP4"/>
    <mergeCell ref="BQ4:BR5"/>
    <mergeCell ref="BM5:BN5"/>
    <mergeCell ref="S4:AB5"/>
    <mergeCell ref="A4:K5"/>
    <mergeCell ref="L4:L5"/>
    <mergeCell ref="M4:M5"/>
    <mergeCell ref="N4:P5"/>
    <mergeCell ref="Q4:R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6"/>
  <sheetViews>
    <sheetView showGridLines="0" tabSelected="1" zoomScale="55" zoomScaleNormal="55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N29" sqref="N29"/>
    </sheetView>
  </sheetViews>
  <sheetFormatPr defaultColWidth="8.85546875" defaultRowHeight="15" outlineLevelCol="1"/>
  <cols>
    <col min="1" max="1" width="9.7109375" style="1" customWidth="1"/>
    <col min="2" max="2" width="18.5703125" style="1" customWidth="1"/>
    <col min="3" max="3" width="8.7109375" style="1" customWidth="1"/>
    <col min="4" max="4" width="37" style="1" bestFit="1" customWidth="1"/>
    <col min="5" max="5" width="26.42578125" style="6" customWidth="1"/>
    <col min="6" max="6" width="26.85546875" style="6" customWidth="1" outlineLevel="1"/>
    <col min="7" max="7" width="12.28515625" style="6" customWidth="1" outlineLevel="1"/>
    <col min="8" max="8" width="18.42578125" style="6" bestFit="1" customWidth="1" outlineLevel="1"/>
    <col min="9" max="9" width="18.42578125" style="2" bestFit="1" customWidth="1" outlineLevel="1"/>
    <col min="10" max="10" width="18.42578125" style="2" customWidth="1" outlineLevel="1"/>
    <col min="11" max="11" width="26" style="2" customWidth="1" outlineLevel="1"/>
    <col min="12" max="12" width="28.42578125" style="1" customWidth="1"/>
    <col min="13" max="13" width="17.28515625" style="1" customWidth="1"/>
    <col min="14" max="14" width="18.7109375" style="6" bestFit="1" customWidth="1"/>
    <col min="15" max="15" width="18.7109375" style="6" customWidth="1"/>
    <col min="16" max="16" width="16.28515625" style="6" bestFit="1" customWidth="1"/>
    <col min="17" max="17" width="17.140625" style="1" hidden="1" customWidth="1"/>
    <col min="18" max="18" width="45.85546875" style="1" hidden="1" customWidth="1"/>
    <col min="19" max="19" width="22.140625" style="1" customWidth="1"/>
    <col min="20" max="20" width="18.140625" style="1" customWidth="1" outlineLevel="1"/>
    <col min="21" max="21" width="19.5703125" style="1" customWidth="1" outlineLevel="1"/>
    <col min="22" max="22" width="19.28515625" style="1" customWidth="1" outlineLevel="1"/>
    <col min="23" max="23" width="12.140625" style="1" customWidth="1" outlineLevel="1"/>
    <col min="24" max="24" width="10.7109375" style="1" customWidth="1" outlineLevel="1"/>
    <col min="25" max="25" width="15.85546875" style="1" customWidth="1" outlineLevel="1"/>
    <col min="26" max="26" width="12.140625" style="1" customWidth="1" outlineLevel="1"/>
    <col min="27" max="27" width="16.5703125" style="1" customWidth="1" outlineLevel="1"/>
    <col min="28" max="28" width="19" style="1" customWidth="1"/>
    <col min="29" max="29" width="13.28515625" style="1" customWidth="1"/>
    <col min="30" max="30" width="17.7109375" style="1" customWidth="1"/>
    <col min="31" max="31" width="21.5703125" style="1" customWidth="1"/>
    <col min="32" max="32" width="22.85546875" style="1" customWidth="1" outlineLevel="1"/>
    <col min="33" max="33" width="16.42578125" style="1" customWidth="1" outlineLevel="1"/>
    <col min="34" max="34" width="20.42578125" style="1" bestFit="1" customWidth="1" outlineLevel="1"/>
    <col min="35" max="35" width="24" style="1" customWidth="1" outlineLevel="1"/>
    <col min="36" max="36" width="16.7109375" style="1" customWidth="1" outlineLevel="1"/>
    <col min="37" max="37" width="13.28515625" style="1" customWidth="1" outlineLevel="1"/>
    <col min="38" max="38" width="20.28515625" style="1" customWidth="1" outlineLevel="1"/>
    <col min="39" max="39" width="19.140625" style="1" customWidth="1" outlineLevel="1"/>
    <col min="40" max="40" width="10.42578125" style="1" customWidth="1" outlineLevel="1"/>
    <col min="41" max="41" width="18.28515625" style="1" customWidth="1" outlineLevel="1"/>
    <col min="42" max="42" width="19.5703125" style="1" customWidth="1" outlineLevel="1"/>
    <col min="43" max="43" width="23.28515625" style="1" customWidth="1" outlineLevel="1"/>
    <col min="44" max="44" width="21.5703125" style="1" customWidth="1" outlineLevel="1"/>
    <col min="45" max="45" width="20.42578125" style="1" customWidth="1" outlineLevel="1"/>
    <col min="46" max="46" width="26" style="1" customWidth="1"/>
    <col min="47" max="47" width="17.7109375" style="1" customWidth="1" outlineLevel="1"/>
    <col min="48" max="48" width="18.28515625" style="1" customWidth="1" outlineLevel="1"/>
    <col min="49" max="49" width="22.28515625" style="1" bestFit="1" customWidth="1" outlineLevel="1"/>
    <col min="50" max="50" width="24.28515625" style="1" bestFit="1" customWidth="1" outlineLevel="1"/>
    <col min="51" max="51" width="22.28515625" style="1" bestFit="1" customWidth="1" outlineLevel="1"/>
    <col min="52" max="52" width="17.7109375" style="1" customWidth="1" outlineLevel="1"/>
    <col min="53" max="54" width="18.28515625" style="1" customWidth="1" outlineLevel="1"/>
    <col min="55" max="58" width="17.7109375" style="1" customWidth="1" outlineLevel="1"/>
    <col min="59" max="59" width="15.7109375" style="1" customWidth="1" outlineLevel="1"/>
    <col min="60" max="60" width="15.28515625" style="1" customWidth="1" outlineLevel="1"/>
    <col min="61" max="61" width="18.5703125" style="1" customWidth="1" outlineLevel="1"/>
    <col min="62" max="62" width="19.28515625" style="1" customWidth="1" outlineLevel="1"/>
    <col min="63" max="63" width="18" style="1" customWidth="1" outlineLevel="1"/>
    <col min="64" max="64" width="20.140625" style="1" customWidth="1" outlineLevel="1"/>
    <col min="65" max="65" width="23.5703125" style="1" bestFit="1" customWidth="1" outlineLevel="1"/>
    <col min="66" max="66" width="17.140625" style="1" customWidth="1" outlineLevel="1"/>
    <col min="67" max="67" width="18.28515625" style="1" customWidth="1" outlineLevel="1"/>
    <col min="68" max="68" width="22.7109375" style="1" customWidth="1" outlineLevel="1"/>
    <col min="69" max="69" width="22.85546875" style="1" customWidth="1"/>
    <col min="70" max="70" width="25.28515625" style="1" bestFit="1" customWidth="1"/>
    <col min="71" max="71" width="19.42578125" style="1" bestFit="1" customWidth="1" outlineLevel="1"/>
    <col min="72" max="72" width="22.28515625" style="58" bestFit="1" customWidth="1" outlineLevel="1"/>
    <col min="73" max="73" width="22" style="61" bestFit="1" customWidth="1" outlineLevel="1"/>
    <col min="74" max="74" width="19.42578125" style="1" bestFit="1" customWidth="1" outlineLevel="1"/>
    <col min="75" max="75" width="20.85546875" style="1" bestFit="1" customWidth="1" outlineLevel="1"/>
    <col min="76" max="76" width="22" style="1" bestFit="1" customWidth="1" outlineLevel="1"/>
    <col min="77" max="77" width="19.42578125" style="1" bestFit="1" customWidth="1" outlineLevel="1"/>
    <col min="78" max="78" width="20.85546875" style="1" bestFit="1" customWidth="1" outlineLevel="1"/>
    <col min="79" max="79" width="17.85546875" style="1" bestFit="1" customWidth="1" outlineLevel="1"/>
    <col min="80" max="80" width="19.42578125" style="1" bestFit="1" customWidth="1" outlineLevel="1"/>
    <col min="81" max="81" width="20.85546875" style="1" bestFit="1" customWidth="1" outlineLevel="1"/>
    <col min="82" max="82" width="22" style="1" bestFit="1" customWidth="1" outlineLevel="1"/>
    <col min="83" max="83" width="19.42578125" style="1" bestFit="1" customWidth="1" outlineLevel="1"/>
    <col min="84" max="84" width="20.85546875" style="1" bestFit="1" customWidth="1" outlineLevel="1"/>
    <col min="85" max="85" width="22" style="1" bestFit="1" customWidth="1" outlineLevel="1"/>
    <col min="86" max="86" width="19.42578125" style="1" bestFit="1" customWidth="1" outlineLevel="1"/>
    <col min="87" max="87" width="20.85546875" style="1" bestFit="1" customWidth="1" outlineLevel="1"/>
    <col min="88" max="88" width="22" style="1" bestFit="1" customWidth="1" outlineLevel="1"/>
    <col min="89" max="89" width="19.42578125" style="1" bestFit="1" customWidth="1" outlineLevel="1"/>
    <col min="90" max="90" width="20.85546875" style="1" bestFit="1" customWidth="1" outlineLevel="1"/>
    <col min="91" max="91" width="22" style="1" bestFit="1" customWidth="1" outlineLevel="1"/>
    <col min="92" max="92" width="16" style="1" bestFit="1" customWidth="1"/>
    <col min="93" max="93" width="26.5703125" style="1" bestFit="1" customWidth="1"/>
    <col min="94" max="94" width="19.5703125" style="1" bestFit="1" customWidth="1"/>
    <col min="95" max="95" width="20.42578125" style="1" bestFit="1" customWidth="1"/>
    <col min="96" max="96" width="21.140625" style="1" bestFit="1" customWidth="1"/>
    <col min="97" max="98" width="21.42578125" style="1" bestFit="1" customWidth="1" outlineLevel="1"/>
    <col min="99" max="99" width="26.5703125" style="1" bestFit="1" customWidth="1" outlineLevel="1"/>
    <col min="100" max="101" width="21.42578125" style="1" bestFit="1" customWidth="1" outlineLevel="1"/>
    <col min="102" max="102" width="27.7109375" style="1" bestFit="1" customWidth="1" outlineLevel="1"/>
    <col min="103" max="103" width="28" style="1" bestFit="1" customWidth="1"/>
    <col min="104" max="104" width="27.42578125" style="1" bestFit="1" customWidth="1"/>
    <col min="105" max="106" width="24.85546875" style="1" bestFit="1" customWidth="1"/>
    <col min="107" max="107" width="22.28515625" style="1" bestFit="1" customWidth="1" outlineLevel="1"/>
    <col min="108" max="108" width="24.85546875" style="1" customWidth="1"/>
    <col min="109" max="109" width="19.85546875" style="1" bestFit="1" customWidth="1" outlineLevel="1"/>
    <col min="110" max="110" width="24.5703125" style="1" bestFit="1" customWidth="1" outlineLevel="1"/>
    <col min="111" max="111" width="25.140625" style="1" bestFit="1" customWidth="1" outlineLevel="1"/>
    <col min="112" max="112" width="18.28515625" style="1" bestFit="1" customWidth="1" outlineLevel="1"/>
    <col min="113" max="113" width="22.28515625" style="1" bestFit="1" customWidth="1"/>
    <col min="114" max="114" width="19.85546875" style="1" bestFit="1" customWidth="1" outlineLevel="1"/>
    <col min="115" max="115" width="21.42578125" style="1" bestFit="1" customWidth="1" outlineLevel="1"/>
    <col min="116" max="116" width="24.5703125" style="1" bestFit="1" customWidth="1" outlineLevel="1"/>
    <col min="117" max="117" width="20.7109375" style="1" bestFit="1" customWidth="1" outlineLevel="1"/>
    <col min="118" max="118" width="17.85546875" style="1" customWidth="1"/>
    <col min="119" max="119" width="25.28515625" style="1" customWidth="1"/>
    <col min="120" max="120" width="23.7109375" style="1" customWidth="1"/>
    <col min="121" max="121" width="20.140625" style="5" bestFit="1" customWidth="1"/>
    <col min="122" max="16384" width="8.85546875" style="5"/>
  </cols>
  <sheetData>
    <row r="1" spans="1:121" s="35" customFormat="1" ht="25.9" customHeight="1">
      <c r="A1" s="31"/>
      <c r="B1" s="32"/>
      <c r="C1" s="32"/>
      <c r="D1" s="32"/>
      <c r="E1" s="33"/>
      <c r="F1" s="33"/>
      <c r="G1" s="33"/>
      <c r="H1" s="33"/>
      <c r="I1" s="34"/>
      <c r="J1" s="34"/>
      <c r="K1" s="34"/>
      <c r="L1" s="32"/>
      <c r="M1" s="32"/>
      <c r="N1" s="33"/>
      <c r="O1" s="33"/>
      <c r="P1" s="33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57"/>
      <c r="BU1" s="60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</row>
    <row r="2" spans="1:121" s="35" customFormat="1" ht="25.9" customHeight="1">
      <c r="A2" s="36"/>
      <c r="B2" s="32"/>
      <c r="C2" s="32"/>
      <c r="D2" s="32"/>
      <c r="E2" s="33"/>
      <c r="F2" s="33"/>
      <c r="G2" s="33"/>
      <c r="H2" s="33"/>
      <c r="I2" s="34"/>
      <c r="J2" s="34"/>
      <c r="K2" s="34"/>
      <c r="L2" s="32"/>
      <c r="M2" s="32"/>
      <c r="N2" s="33"/>
      <c r="O2" s="33"/>
      <c r="P2" s="33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57"/>
      <c r="BU2" s="60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</row>
    <row r="3" spans="1:121" ht="50.45" customHeight="1"/>
    <row r="4" spans="1:121" ht="42" customHeight="1">
      <c r="A4" s="145" t="s">
        <v>87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 t="s">
        <v>86</v>
      </c>
      <c r="M4" s="146">
        <v>45382</v>
      </c>
      <c r="N4" s="147" t="s">
        <v>206</v>
      </c>
      <c r="O4" s="148"/>
      <c r="P4" s="149"/>
      <c r="Q4" s="147" t="s">
        <v>123</v>
      </c>
      <c r="R4" s="149"/>
      <c r="S4" s="145" t="s">
        <v>85</v>
      </c>
      <c r="T4" s="145"/>
      <c r="U4" s="145"/>
      <c r="V4" s="145"/>
      <c r="W4" s="145"/>
      <c r="X4" s="145"/>
      <c r="Y4" s="145"/>
      <c r="Z4" s="145"/>
      <c r="AA4" s="145"/>
      <c r="AB4" s="145"/>
      <c r="AC4" s="154" t="s">
        <v>84</v>
      </c>
      <c r="AD4" s="155"/>
      <c r="AE4" s="158" t="s">
        <v>41</v>
      </c>
      <c r="AF4" s="145" t="s">
        <v>83</v>
      </c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 t="s">
        <v>82</v>
      </c>
      <c r="AV4" s="145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45" t="s">
        <v>81</v>
      </c>
      <c r="BH4" s="145"/>
      <c r="BI4" s="145"/>
      <c r="BJ4" s="145"/>
      <c r="BK4" s="145"/>
      <c r="BL4" s="145"/>
      <c r="BM4" s="145"/>
      <c r="BN4" s="145"/>
      <c r="BO4" s="145"/>
      <c r="BP4" s="145"/>
      <c r="BQ4" s="145" t="s">
        <v>80</v>
      </c>
      <c r="BR4" s="145"/>
      <c r="BS4" s="161" t="s">
        <v>79</v>
      </c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20" t="s">
        <v>78</v>
      </c>
      <c r="CS4" s="90">
        <v>0.08</v>
      </c>
      <c r="CT4" s="90">
        <v>1.4999999999999999E-2</v>
      </c>
      <c r="CU4" s="90">
        <v>0.01</v>
      </c>
      <c r="CV4" s="90">
        <v>0.17499999999999999</v>
      </c>
      <c r="CW4" s="90">
        <v>0.03</v>
      </c>
      <c r="CX4" s="90">
        <v>0.01</v>
      </c>
      <c r="CY4" s="154" t="s">
        <v>77</v>
      </c>
      <c r="CZ4" s="163"/>
      <c r="DA4" s="163"/>
      <c r="DB4" s="155"/>
      <c r="DC4" s="145" t="s">
        <v>76</v>
      </c>
      <c r="DD4" s="145"/>
      <c r="DE4" s="145"/>
      <c r="DF4" s="145"/>
      <c r="DG4" s="145"/>
      <c r="DH4" s="145"/>
      <c r="DI4" s="145"/>
      <c r="DJ4" s="145" t="s">
        <v>290</v>
      </c>
      <c r="DK4" s="145"/>
      <c r="DL4" s="145"/>
      <c r="DM4" s="145"/>
      <c r="DN4" s="145" t="s">
        <v>74</v>
      </c>
      <c r="DO4" s="145" t="s">
        <v>73</v>
      </c>
      <c r="DP4" s="145" t="s">
        <v>72</v>
      </c>
    </row>
    <row r="5" spans="1:121" s="26" customFormat="1" ht="97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  <c r="N5" s="150"/>
      <c r="O5" s="151"/>
      <c r="P5" s="152"/>
      <c r="Q5" s="150"/>
      <c r="R5" s="152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56"/>
      <c r="AD5" s="157"/>
      <c r="AE5" s="159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 t="s">
        <v>88</v>
      </c>
      <c r="AV5" s="145"/>
      <c r="AW5" s="145" t="s">
        <v>71</v>
      </c>
      <c r="AX5" s="145"/>
      <c r="AY5" s="145" t="s">
        <v>70</v>
      </c>
      <c r="AZ5" s="145"/>
      <c r="BA5" s="145" t="s">
        <v>69</v>
      </c>
      <c r="BB5" s="145"/>
      <c r="BC5" s="145" t="s">
        <v>166</v>
      </c>
      <c r="BD5" s="145"/>
      <c r="BE5" s="145" t="s">
        <v>165</v>
      </c>
      <c r="BF5" s="145"/>
      <c r="BG5" s="162" t="s">
        <v>68</v>
      </c>
      <c r="BH5" s="162"/>
      <c r="BI5" s="162" t="s">
        <v>67</v>
      </c>
      <c r="BJ5" s="162"/>
      <c r="BK5" s="162" t="s">
        <v>66</v>
      </c>
      <c r="BL5" s="162"/>
      <c r="BM5" s="162" t="s">
        <v>65</v>
      </c>
      <c r="BN5" s="162"/>
      <c r="BO5" s="91" t="s">
        <v>91</v>
      </c>
      <c r="BP5" s="91" t="s">
        <v>90</v>
      </c>
      <c r="BQ5" s="145"/>
      <c r="BR5" s="145"/>
      <c r="BS5" s="153" t="s">
        <v>64</v>
      </c>
      <c r="BT5" s="145"/>
      <c r="BU5" s="145"/>
      <c r="BV5" s="153" t="s">
        <v>227</v>
      </c>
      <c r="BW5" s="145"/>
      <c r="BX5" s="145"/>
      <c r="BY5" s="153" t="s">
        <v>63</v>
      </c>
      <c r="BZ5" s="145"/>
      <c r="CA5" s="145"/>
      <c r="CB5" s="153" t="s">
        <v>62</v>
      </c>
      <c r="CC5" s="145"/>
      <c r="CD5" s="145"/>
      <c r="CE5" s="153" t="s">
        <v>209</v>
      </c>
      <c r="CF5" s="145"/>
      <c r="CG5" s="145"/>
      <c r="CH5" s="153" t="s">
        <v>210</v>
      </c>
      <c r="CI5" s="145"/>
      <c r="CJ5" s="145"/>
      <c r="CK5" s="153" t="s">
        <v>211</v>
      </c>
      <c r="CL5" s="145"/>
      <c r="CM5" s="145"/>
      <c r="CN5" s="165" t="s">
        <v>61</v>
      </c>
      <c r="CO5" s="166"/>
      <c r="CP5" s="166"/>
      <c r="CQ5" s="167"/>
      <c r="CR5" s="145" t="s">
        <v>60</v>
      </c>
      <c r="CS5" s="145" t="s">
        <v>59</v>
      </c>
      <c r="CT5" s="145"/>
      <c r="CU5" s="145"/>
      <c r="CV5" s="145" t="s">
        <v>58</v>
      </c>
      <c r="CW5" s="145"/>
      <c r="CX5" s="145"/>
      <c r="CY5" s="156"/>
      <c r="CZ5" s="164"/>
      <c r="DA5" s="164"/>
      <c r="DB5" s="157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</row>
    <row r="6" spans="1:121" s="26" customFormat="1" ht="121.5">
      <c r="A6" s="87" t="s">
        <v>57</v>
      </c>
      <c r="B6" s="87" t="s">
        <v>56</v>
      </c>
      <c r="C6" s="87" t="s">
        <v>125</v>
      </c>
      <c r="D6" s="88" t="s">
        <v>55</v>
      </c>
      <c r="E6" s="87" t="s">
        <v>54</v>
      </c>
      <c r="F6" s="87" t="s">
        <v>2</v>
      </c>
      <c r="G6" s="87" t="s">
        <v>53</v>
      </c>
      <c r="H6" s="89" t="s">
        <v>108</v>
      </c>
      <c r="I6" s="87" t="s">
        <v>52</v>
      </c>
      <c r="J6" s="87"/>
      <c r="K6" s="87" t="s">
        <v>107</v>
      </c>
      <c r="L6" s="87" t="s">
        <v>94</v>
      </c>
      <c r="M6" s="92" t="s">
        <v>51</v>
      </c>
      <c r="N6" s="89" t="s">
        <v>205</v>
      </c>
      <c r="O6" s="89" t="s">
        <v>207</v>
      </c>
      <c r="P6" s="89" t="s">
        <v>208</v>
      </c>
      <c r="Q6" s="92" t="s">
        <v>124</v>
      </c>
      <c r="R6" s="92" t="s">
        <v>204</v>
      </c>
      <c r="S6" s="92" t="s">
        <v>50</v>
      </c>
      <c r="T6" s="87" t="s">
        <v>49</v>
      </c>
      <c r="U6" s="87" t="s">
        <v>48</v>
      </c>
      <c r="V6" s="87" t="s">
        <v>47</v>
      </c>
      <c r="W6" s="87" t="s">
        <v>32</v>
      </c>
      <c r="X6" s="87" t="s">
        <v>46</v>
      </c>
      <c r="Y6" s="87" t="s">
        <v>45</v>
      </c>
      <c r="Z6" s="87" t="s">
        <v>44</v>
      </c>
      <c r="AA6" s="87" t="s">
        <v>42</v>
      </c>
      <c r="AB6" s="87" t="s">
        <v>43</v>
      </c>
      <c r="AC6" s="87" t="s">
        <v>43</v>
      </c>
      <c r="AD6" s="87" t="s">
        <v>42</v>
      </c>
      <c r="AE6" s="160"/>
      <c r="AF6" s="93" t="s">
        <v>40</v>
      </c>
      <c r="AG6" s="93" t="s">
        <v>39</v>
      </c>
      <c r="AH6" s="93" t="s">
        <v>38</v>
      </c>
      <c r="AI6" s="94" t="s">
        <v>37</v>
      </c>
      <c r="AJ6" s="93" t="s">
        <v>36</v>
      </c>
      <c r="AK6" s="93" t="s">
        <v>35</v>
      </c>
      <c r="AL6" s="94" t="s">
        <v>34</v>
      </c>
      <c r="AM6" s="93" t="s">
        <v>33</v>
      </c>
      <c r="AN6" s="93" t="s">
        <v>32</v>
      </c>
      <c r="AO6" s="94" t="s">
        <v>31</v>
      </c>
      <c r="AP6" s="93" t="s">
        <v>164</v>
      </c>
      <c r="AQ6" s="93" t="s">
        <v>163</v>
      </c>
      <c r="AR6" s="93" t="s">
        <v>142</v>
      </c>
      <c r="AS6" s="94" t="s">
        <v>161</v>
      </c>
      <c r="AT6" s="91" t="s">
        <v>162</v>
      </c>
      <c r="AU6" s="95" t="s">
        <v>29</v>
      </c>
      <c r="AV6" s="93" t="s">
        <v>28</v>
      </c>
      <c r="AW6" s="95" t="s">
        <v>29</v>
      </c>
      <c r="AX6" s="93" t="s">
        <v>28</v>
      </c>
      <c r="AY6" s="95" t="s">
        <v>29</v>
      </c>
      <c r="AZ6" s="93" t="s">
        <v>28</v>
      </c>
      <c r="BA6" s="93" t="s">
        <v>29</v>
      </c>
      <c r="BB6" s="93" t="s">
        <v>28</v>
      </c>
      <c r="BC6" s="95" t="s">
        <v>29</v>
      </c>
      <c r="BD6" s="93" t="s">
        <v>28</v>
      </c>
      <c r="BE6" s="95" t="s">
        <v>29</v>
      </c>
      <c r="BF6" s="93" t="s">
        <v>28</v>
      </c>
      <c r="BG6" s="95" t="s">
        <v>29</v>
      </c>
      <c r="BH6" s="93" t="s">
        <v>30</v>
      </c>
      <c r="BI6" s="95" t="s">
        <v>29</v>
      </c>
      <c r="BJ6" s="93" t="s">
        <v>28</v>
      </c>
      <c r="BK6" s="95" t="s">
        <v>29</v>
      </c>
      <c r="BL6" s="93" t="s">
        <v>28</v>
      </c>
      <c r="BM6" s="95" t="s">
        <v>29</v>
      </c>
      <c r="BN6" s="93" t="s">
        <v>28</v>
      </c>
      <c r="BO6" s="93" t="s">
        <v>1</v>
      </c>
      <c r="BP6" s="93" t="s">
        <v>1</v>
      </c>
      <c r="BQ6" s="93" t="s">
        <v>29</v>
      </c>
      <c r="BR6" s="93" t="s">
        <v>28</v>
      </c>
      <c r="BS6" s="87" t="s">
        <v>27</v>
      </c>
      <c r="BT6" s="96" t="s">
        <v>26</v>
      </c>
      <c r="BU6" s="97" t="s">
        <v>25</v>
      </c>
      <c r="BV6" s="87" t="s">
        <v>27</v>
      </c>
      <c r="BW6" s="87" t="s">
        <v>26</v>
      </c>
      <c r="BX6" s="87" t="s">
        <v>25</v>
      </c>
      <c r="BY6" s="87" t="s">
        <v>27</v>
      </c>
      <c r="BZ6" s="87" t="s">
        <v>26</v>
      </c>
      <c r="CA6" s="87" t="s">
        <v>25</v>
      </c>
      <c r="CB6" s="87" t="s">
        <v>27</v>
      </c>
      <c r="CC6" s="87" t="s">
        <v>26</v>
      </c>
      <c r="CD6" s="87" t="s">
        <v>25</v>
      </c>
      <c r="CE6" s="87" t="s">
        <v>27</v>
      </c>
      <c r="CF6" s="87" t="s">
        <v>26</v>
      </c>
      <c r="CG6" s="87" t="s">
        <v>25</v>
      </c>
      <c r="CH6" s="87" t="s">
        <v>27</v>
      </c>
      <c r="CI6" s="87" t="s">
        <v>26</v>
      </c>
      <c r="CJ6" s="87" t="s">
        <v>25</v>
      </c>
      <c r="CK6" s="87" t="s">
        <v>27</v>
      </c>
      <c r="CL6" s="87" t="s">
        <v>26</v>
      </c>
      <c r="CM6" s="87" t="s">
        <v>25</v>
      </c>
      <c r="CN6" s="87" t="s">
        <v>24</v>
      </c>
      <c r="CO6" s="87" t="s">
        <v>23</v>
      </c>
      <c r="CP6" s="87" t="s">
        <v>22</v>
      </c>
      <c r="CQ6" s="87" t="s">
        <v>0</v>
      </c>
      <c r="CR6" s="145"/>
      <c r="CS6" s="87" t="s">
        <v>21</v>
      </c>
      <c r="CT6" s="87" t="s">
        <v>20</v>
      </c>
      <c r="CU6" s="87" t="s">
        <v>17</v>
      </c>
      <c r="CV6" s="87" t="s">
        <v>19</v>
      </c>
      <c r="CW6" s="87" t="s">
        <v>18</v>
      </c>
      <c r="CX6" s="87" t="s">
        <v>17</v>
      </c>
      <c r="CY6" s="87" t="s">
        <v>16</v>
      </c>
      <c r="CZ6" s="87" t="s">
        <v>15</v>
      </c>
      <c r="DA6" s="87" t="s">
        <v>237</v>
      </c>
      <c r="DB6" s="87" t="s">
        <v>14</v>
      </c>
      <c r="DC6" s="87" t="s">
        <v>284</v>
      </c>
      <c r="DD6" s="87" t="s">
        <v>303</v>
      </c>
      <c r="DE6" s="87" t="s">
        <v>12</v>
      </c>
      <c r="DF6" s="87" t="s">
        <v>98</v>
      </c>
      <c r="DG6" s="87" t="s">
        <v>11</v>
      </c>
      <c r="DH6" s="87" t="s">
        <v>10</v>
      </c>
      <c r="DI6" s="87" t="s">
        <v>9</v>
      </c>
      <c r="DJ6" s="87" t="s">
        <v>8</v>
      </c>
      <c r="DK6" s="87" t="s">
        <v>7</v>
      </c>
      <c r="DL6" s="87" t="s">
        <v>6</v>
      </c>
      <c r="DM6" s="87" t="s">
        <v>158</v>
      </c>
      <c r="DN6" s="145"/>
      <c r="DO6" s="145"/>
      <c r="DP6" s="145"/>
    </row>
    <row r="7" spans="1:121" s="86" customFormat="1" ht="45.75" customHeight="1">
      <c r="A7" s="98"/>
      <c r="B7" s="98"/>
      <c r="C7" s="98"/>
      <c r="D7" s="99"/>
      <c r="E7" s="98"/>
      <c r="F7" s="98"/>
      <c r="G7" s="98"/>
      <c r="H7" s="98"/>
      <c r="I7" s="98"/>
      <c r="J7" s="98"/>
      <c r="K7" s="98"/>
      <c r="L7" s="100"/>
      <c r="M7" s="100" t="s">
        <v>247</v>
      </c>
      <c r="N7" s="100"/>
      <c r="O7" s="100"/>
      <c r="P7" s="100"/>
      <c r="Q7" s="100"/>
      <c r="R7" s="100"/>
      <c r="S7" s="100" t="s">
        <v>5</v>
      </c>
      <c r="T7" s="100" t="s">
        <v>248</v>
      </c>
      <c r="U7" s="100" t="s">
        <v>249</v>
      </c>
      <c r="V7" s="100" t="s">
        <v>250</v>
      </c>
      <c r="W7" s="100" t="s">
        <v>251</v>
      </c>
      <c r="X7" s="100" t="s">
        <v>297</v>
      </c>
      <c r="Y7" s="100" t="s">
        <v>300</v>
      </c>
      <c r="Z7" s="100" t="s">
        <v>301</v>
      </c>
      <c r="AA7" s="100" t="s">
        <v>298</v>
      </c>
      <c r="AB7" s="100"/>
      <c r="AC7" s="100" t="s">
        <v>296</v>
      </c>
      <c r="AD7" s="100" t="s">
        <v>299</v>
      </c>
      <c r="AE7" s="100" t="s">
        <v>252</v>
      </c>
      <c r="AF7" s="98" t="s">
        <v>253</v>
      </c>
      <c r="AG7" s="100" t="s">
        <v>254</v>
      </c>
      <c r="AH7" s="100" t="s">
        <v>255</v>
      </c>
      <c r="AI7" s="101" t="s">
        <v>256</v>
      </c>
      <c r="AJ7" s="98" t="s">
        <v>257</v>
      </c>
      <c r="AK7" s="100" t="s">
        <v>258</v>
      </c>
      <c r="AL7" s="102" t="s">
        <v>259</v>
      </c>
      <c r="AM7" s="100" t="s">
        <v>260</v>
      </c>
      <c r="AN7" s="100" t="s">
        <v>261</v>
      </c>
      <c r="AO7" s="102" t="s">
        <v>262</v>
      </c>
      <c r="AP7" s="100"/>
      <c r="AQ7" s="100"/>
      <c r="AR7" s="100"/>
      <c r="AS7" s="102"/>
      <c r="AT7" s="100">
        <f>SUBTOTAL(9,AT8:AT8)</f>
        <v>12000000</v>
      </c>
      <c r="AU7" s="103" t="s">
        <v>263</v>
      </c>
      <c r="AV7" s="100"/>
      <c r="AW7" s="103" t="s">
        <v>264</v>
      </c>
      <c r="AX7" s="100"/>
      <c r="AY7" s="103" t="s">
        <v>265</v>
      </c>
      <c r="AZ7" s="100"/>
      <c r="BA7" s="100" t="s">
        <v>266</v>
      </c>
      <c r="BB7" s="100"/>
      <c r="BC7" s="103" t="s">
        <v>267</v>
      </c>
      <c r="BD7" s="100"/>
      <c r="BE7" s="103" t="s">
        <v>268</v>
      </c>
      <c r="BF7" s="100"/>
      <c r="BG7" s="103" t="s">
        <v>269</v>
      </c>
      <c r="BH7" s="100"/>
      <c r="BI7" s="103" t="s">
        <v>270</v>
      </c>
      <c r="BJ7" s="100"/>
      <c r="BK7" s="103" t="s">
        <v>271</v>
      </c>
      <c r="BL7" s="100"/>
      <c r="BM7" s="103" t="s">
        <v>272</v>
      </c>
      <c r="BN7" s="100"/>
      <c r="BO7" s="100" t="s">
        <v>273</v>
      </c>
      <c r="BP7" s="100" t="s">
        <v>274</v>
      </c>
      <c r="BQ7" s="98" t="s">
        <v>275</v>
      </c>
      <c r="BR7" s="100" t="s">
        <v>276</v>
      </c>
      <c r="BS7" s="104" t="s">
        <v>277</v>
      </c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0"/>
      <c r="CS7" s="100" t="s">
        <v>278</v>
      </c>
      <c r="CT7" s="100" t="s">
        <v>279</v>
      </c>
      <c r="CU7" s="100" t="s">
        <v>280</v>
      </c>
      <c r="CV7" s="100"/>
      <c r="CW7" s="100"/>
      <c r="CX7" s="100"/>
      <c r="CY7" s="100" t="s">
        <v>281</v>
      </c>
      <c r="CZ7" s="100"/>
      <c r="DA7" s="100" t="s">
        <v>282</v>
      </c>
      <c r="DB7" s="100" t="s">
        <v>283</v>
      </c>
      <c r="DC7" s="100">
        <f>SUBTOTAL(9,DC8:DC8)</f>
        <v>17265625</v>
      </c>
      <c r="DD7" s="100" t="s">
        <v>304</v>
      </c>
      <c r="DE7" s="100" t="s">
        <v>285</v>
      </c>
      <c r="DF7" s="100" t="s">
        <v>286</v>
      </c>
      <c r="DG7" s="100" t="s">
        <v>287</v>
      </c>
      <c r="DH7" s="100" t="s">
        <v>288</v>
      </c>
      <c r="DI7" s="100" t="s">
        <v>289</v>
      </c>
      <c r="DJ7" s="100" t="s">
        <v>291</v>
      </c>
      <c r="DK7" s="100" t="s">
        <v>292</v>
      </c>
      <c r="DL7" s="100" t="s">
        <v>293</v>
      </c>
      <c r="DM7" s="100" t="s">
        <v>302</v>
      </c>
      <c r="DN7" s="100" t="s">
        <v>294</v>
      </c>
      <c r="DO7" s="100" t="s">
        <v>295</v>
      </c>
      <c r="DP7" s="100"/>
    </row>
    <row r="8" spans="1:121" s="118" customFormat="1" ht="51" customHeight="1">
      <c r="A8" s="105">
        <v>1</v>
      </c>
      <c r="B8" s="106"/>
      <c r="C8" s="106"/>
      <c r="D8" s="107"/>
      <c r="E8" s="108"/>
      <c r="F8" s="106"/>
      <c r="G8" s="106"/>
      <c r="H8" s="109">
        <v>33936</v>
      </c>
      <c r="I8" s="109">
        <v>44866</v>
      </c>
      <c r="J8" s="110">
        <f>+$M$4-I8</f>
        <v>516</v>
      </c>
      <c r="K8" s="111">
        <f>+I8+59</f>
        <v>44925</v>
      </c>
      <c r="L8" s="41" t="s">
        <v>99</v>
      </c>
      <c r="M8" s="105">
        <v>2</v>
      </c>
      <c r="N8" s="111"/>
      <c r="O8" s="111"/>
      <c r="P8" s="111"/>
      <c r="Q8" s="111"/>
      <c r="R8" s="111"/>
      <c r="S8" s="41">
        <f>192/8</f>
        <v>24</v>
      </c>
      <c r="T8" s="112">
        <f>176/8</f>
        <v>22</v>
      </c>
      <c r="U8" s="112">
        <v>2</v>
      </c>
      <c r="V8" s="112">
        <v>0</v>
      </c>
      <c r="W8" s="112">
        <v>2</v>
      </c>
      <c r="X8" s="112">
        <v>0</v>
      </c>
      <c r="Y8" s="112">
        <v>0</v>
      </c>
      <c r="Z8" s="112">
        <v>0</v>
      </c>
      <c r="AA8" s="112"/>
      <c r="AB8" s="42">
        <f>+T8+W8+X8</f>
        <v>24</v>
      </c>
      <c r="AC8" s="112">
        <v>0</v>
      </c>
      <c r="AD8" s="112">
        <v>0</v>
      </c>
      <c r="AE8" s="112">
        <f>AB8-AC8</f>
        <v>24</v>
      </c>
      <c r="AF8" s="113">
        <v>13000000</v>
      </c>
      <c r="AG8" s="114">
        <f t="shared" ref="AG8" si="0">+AF8/26</f>
        <v>500000</v>
      </c>
      <c r="AH8" s="114">
        <f t="shared" ref="AH8" si="1">+AF8/208</f>
        <v>62500</v>
      </c>
      <c r="AI8" s="113">
        <f>+AC8*AG8*85%+(AB8-AC8)*AG8</f>
        <v>12000000</v>
      </c>
      <c r="AJ8" s="114">
        <f t="shared" ref="AJ8" si="2">+SUM(AF8,AU8,AW8,AY8,BA8,BE8,BC8)/208</f>
        <v>62500</v>
      </c>
      <c r="AK8" s="114">
        <f>+AH8*30%</f>
        <v>18750</v>
      </c>
      <c r="AL8" s="113">
        <f>+AD8*AK8*85%+(AA8-AD8)*AK8</f>
        <v>0</v>
      </c>
      <c r="AM8" s="114">
        <f>+AL8</f>
        <v>0</v>
      </c>
      <c r="AN8" s="114">
        <v>0</v>
      </c>
      <c r="AO8" s="113">
        <f>+AN8*AG8</f>
        <v>0</v>
      </c>
      <c r="AP8" s="114">
        <v>0</v>
      </c>
      <c r="AQ8" s="114">
        <v>0</v>
      </c>
      <c r="AR8" s="114">
        <v>0</v>
      </c>
      <c r="AS8" s="115">
        <f t="shared" ref="AS8" si="3">+AH8*(AQ8+AP8*85%)*300%</f>
        <v>0</v>
      </c>
      <c r="AT8" s="113">
        <f>+AI8+AL8+AS8+AO8+AR8</f>
        <v>12000000</v>
      </c>
      <c r="AU8" s="114">
        <v>0</v>
      </c>
      <c r="AV8" s="114">
        <f>IF(V8&gt;=3,0,(AU8/S8*AC8*85%)+(AU8/S8*AE8))</f>
        <v>0</v>
      </c>
      <c r="AW8" s="114">
        <v>0</v>
      </c>
      <c r="AX8" s="114">
        <f>IF(V8&gt;=3,0,(AW8/S8*AC8*85%)+(AW8/S8*AE8))</f>
        <v>0</v>
      </c>
      <c r="AY8" s="114">
        <v>0</v>
      </c>
      <c r="AZ8" s="114">
        <f>IF(V8&gt;=3,0,(AY8/S8*AC8*85%)+(AY8/S8*AE8))</f>
        <v>0</v>
      </c>
      <c r="BA8" s="114">
        <v>0</v>
      </c>
      <c r="BB8" s="114">
        <f>IF(V8&gt;=3,0,(BA8/S8*AC8*85%)+(BA8/S8*AE8))</f>
        <v>0</v>
      </c>
      <c r="BC8" s="116">
        <v>0</v>
      </c>
      <c r="BD8" s="114">
        <f>IF(V8&gt;=3,0,(BC8/S8*AC8*85%)+(BC8/S8*AE8))</f>
        <v>0</v>
      </c>
      <c r="BE8" s="114">
        <v>0</v>
      </c>
      <c r="BF8" s="114">
        <f>IF(V8&gt;=3,0,(BE8/S8*AC8*85%)+(BE8/S8*AE8))</f>
        <v>0</v>
      </c>
      <c r="BG8" s="114">
        <v>500000</v>
      </c>
      <c r="BH8" s="114">
        <f>IF(AND(T8&gt;=S8-1.5,W8&lt;2,Y8&lt;2,AB8&gt;=S8-0.5,L8="N"),500000,IF(AND(T8&gt;=S8-1.5,W8&lt;2,Y8&lt;2,AB8&gt;=S8-0.5,L8="Y"),425000,0))</f>
        <v>0</v>
      </c>
      <c r="BI8" s="114"/>
      <c r="BJ8" s="114">
        <f>IF(V8&gt;=3,0,(BI8/S8*AC8*85%)+(BI8/S8*AE8))</f>
        <v>0</v>
      </c>
      <c r="BK8" s="114">
        <v>500000</v>
      </c>
      <c r="BL8" s="114">
        <f>IF(V8&gt;=3,0,(BK8/S8*AC8*85%)+(BK8/S8*AE8))</f>
        <v>500000</v>
      </c>
      <c r="BM8" s="114">
        <v>2000000</v>
      </c>
      <c r="BN8" s="114">
        <f>IF(V8&gt;=3,0,(BM8/S8*AC8*85%)+(BM8/S8*AE8))</f>
        <v>2000000</v>
      </c>
      <c r="BO8" s="114">
        <v>0</v>
      </c>
      <c r="BP8" s="114">
        <f>IF(AND(G8="Female",L8="N",N8=""),AH8*1.5,0)</f>
        <v>0</v>
      </c>
      <c r="BQ8" s="113">
        <f>+BM8+BK8+BI8+BG8+BE8+BA8+AY8+AW8+AU8+BC8</f>
        <v>3000000</v>
      </c>
      <c r="BR8" s="113">
        <f t="shared" ref="BR8" si="4">+BP8+BN8+BL8+BJ8+BH8+BF8+BB8+AZ8+AX8+AV8+BO8+BD8</f>
        <v>2500000</v>
      </c>
      <c r="BS8" s="112">
        <v>29.5</v>
      </c>
      <c r="BT8" s="112">
        <v>0</v>
      </c>
      <c r="BU8" s="113">
        <f t="shared" ref="BU8" si="5">+AJ8*(BS8*150%+BT8*150%*85%)</f>
        <v>2765625</v>
      </c>
      <c r="BV8" s="114">
        <v>0</v>
      </c>
      <c r="BW8" s="114">
        <v>0</v>
      </c>
      <c r="BX8" s="113">
        <f t="shared" ref="BX8" si="6">+AJ8*(BV8*200%+BW8*200%*85%)</f>
        <v>0</v>
      </c>
      <c r="BY8" s="114">
        <v>0</v>
      </c>
      <c r="BZ8" s="114">
        <v>0</v>
      </c>
      <c r="CA8" s="113">
        <f t="shared" ref="CA8" si="7">+AJ8*(BY8*210%+BZ8*210%*85%)</f>
        <v>0</v>
      </c>
      <c r="CB8" s="114">
        <v>0</v>
      </c>
      <c r="CC8" s="114">
        <v>0</v>
      </c>
      <c r="CD8" s="113">
        <f t="shared" ref="CD8" si="8">+AJ8*(CB8*200%+CC8*200%*85%)</f>
        <v>0</v>
      </c>
      <c r="CE8" s="114">
        <v>0</v>
      </c>
      <c r="CF8" s="114">
        <v>0</v>
      </c>
      <c r="CG8" s="113">
        <f t="shared" ref="CG8" si="9">+AJ8*(CE8*270%+CF8*270%*85%)</f>
        <v>0</v>
      </c>
      <c r="CH8" s="114">
        <v>0</v>
      </c>
      <c r="CI8" s="114">
        <v>0</v>
      </c>
      <c r="CJ8" s="113">
        <f t="shared" ref="CJ8" si="10">+AJ8*(CH8*300%+CI8*300%*85%)</f>
        <v>0</v>
      </c>
      <c r="CK8" s="114">
        <v>0</v>
      </c>
      <c r="CL8" s="114">
        <v>0</v>
      </c>
      <c r="CM8" s="113">
        <f t="shared" ref="CM8" si="11">+AJ8*(CK8*390%+CL8*390%*85%)</f>
        <v>0</v>
      </c>
      <c r="CN8" s="113">
        <f>+SUM(CK8,CH8,CE8,CB8,BY8,BV8,BS8)</f>
        <v>29.5</v>
      </c>
      <c r="CO8" s="113">
        <f>+SUM(CM8,CJ8,CG8,CD8,CA8,BX8,BU8)</f>
        <v>2765625</v>
      </c>
      <c r="CP8" s="114">
        <f>AJ8*SUM(BS8,BV8,BY8,CB8,CE8,CH8,CK8)+AJ8
*SUM(BT8,BW8,BZ8,CC8,CF8,CI8,CL8)*85%</f>
        <v>1843750</v>
      </c>
      <c r="CQ8" s="114">
        <f t="shared" ref="CQ8" si="12">+CO8-CP8</f>
        <v>921875</v>
      </c>
      <c r="CR8" s="113">
        <v>13000000</v>
      </c>
      <c r="CS8" s="114">
        <f t="shared" ref="CS8:CX8" si="13">+$CR8*CS$4</f>
        <v>1040000</v>
      </c>
      <c r="CT8" s="114">
        <f t="shared" si="13"/>
        <v>195000</v>
      </c>
      <c r="CU8" s="114">
        <f t="shared" si="13"/>
        <v>130000</v>
      </c>
      <c r="CV8" s="114">
        <f t="shared" si="13"/>
        <v>2275000</v>
      </c>
      <c r="CW8" s="114">
        <f t="shared" si="13"/>
        <v>390000</v>
      </c>
      <c r="CX8" s="114">
        <f t="shared" si="13"/>
        <v>130000</v>
      </c>
      <c r="CY8" s="113">
        <f t="shared" ref="CY8" si="14">SUM(CS8:CU8)</f>
        <v>1365000</v>
      </c>
      <c r="CZ8" s="113">
        <f t="shared" ref="CZ8" si="15">SUM(CV8:CX8)</f>
        <v>2795000</v>
      </c>
      <c r="DA8" s="114">
        <v>45000</v>
      </c>
      <c r="DB8" s="113">
        <f>+CR8*2%</f>
        <v>260000</v>
      </c>
      <c r="DC8" s="115">
        <f>+AT8+BR8+CO8+DD8</f>
        <v>17265625</v>
      </c>
      <c r="DD8" s="113">
        <v>0</v>
      </c>
      <c r="DE8" s="117">
        <f>+AM8+CQ8</f>
        <v>921875</v>
      </c>
      <c r="DF8" s="117">
        <f>4400000*1</f>
        <v>4400000</v>
      </c>
      <c r="DG8" s="114">
        <f t="shared" ref="DG8" si="16">IF((DC8-DE8-CY8-DF8-11000000)&gt;0,DC8-DE8-CY8-DF8-11000000,0)</f>
        <v>0</v>
      </c>
      <c r="DH8" s="114">
        <f>IF(DG8&lt;=5000000,DG8*5%,IF(AND(DG8&gt;5000000,DG8&lt;=10000000),DG8*10%-250000,IF(AND(DG8&gt;10000000,DG8&lt;=18000000),DG8*15%-750000,IF(AND(DG8&gt;18000000,DG8&lt;=32000000),DG8*20%-1650000,IF(AND(DG8&gt;32000000,DG8&lt;=52000000),DG8*25%-3250000,IF(AND(DG8&gt;52000000,DG8&lt;=80000000),DG8*30%-5850000,IF(DG8&gt;80000000,DG8*35%-9850000,0)))))))</f>
        <v>0</v>
      </c>
      <c r="DI8" s="115">
        <f t="shared" ref="DI8" si="17">+DC8-CY8-DA8-DH8</f>
        <v>15855625</v>
      </c>
      <c r="DJ8" s="114">
        <v>0</v>
      </c>
      <c r="DK8" s="114">
        <v>0</v>
      </c>
      <c r="DL8" s="114">
        <v>0</v>
      </c>
      <c r="DM8" s="114"/>
      <c r="DN8" s="114">
        <f t="shared" ref="DN8" si="18">+DJ8+DK8+DL8+DM8</f>
        <v>0</v>
      </c>
      <c r="DO8" s="114">
        <v>0</v>
      </c>
      <c r="DP8" s="113">
        <f>ROUND(DI8-DN8+DO8-DD8,0)</f>
        <v>15855625</v>
      </c>
      <c r="DQ8" s="119"/>
    </row>
    <row r="9" spans="1:121">
      <c r="AI9" s="3"/>
      <c r="AJ9" s="3"/>
      <c r="AK9" s="3"/>
    </row>
    <row r="10" spans="1:121">
      <c r="AI10" s="3"/>
      <c r="AJ10" s="3"/>
    </row>
    <row r="14" spans="1:121">
      <c r="AH14" s="9"/>
    </row>
    <row r="15" spans="1:121">
      <c r="AH15" s="8"/>
    </row>
    <row r="16" spans="1:121">
      <c r="AH16" s="7"/>
      <c r="CO16" s="10"/>
    </row>
  </sheetData>
  <autoFilter ref="A6:DP8" xr:uid="{00000000-0001-0000-0100-000000000000}"/>
  <sortState xmlns:xlrd2="http://schemas.microsoft.com/office/spreadsheetml/2017/richdata2" ref="A8:DQ9">
    <sortCondition ref="Q8:Q9"/>
  </sortState>
  <mergeCells count="40">
    <mergeCell ref="CV5:CX5"/>
    <mergeCell ref="BI5:BJ5"/>
    <mergeCell ref="AF4:AT5"/>
    <mergeCell ref="BY5:CA5"/>
    <mergeCell ref="CB5:CD5"/>
    <mergeCell ref="CH5:CJ5"/>
    <mergeCell ref="CE5:CG5"/>
    <mergeCell ref="AU4:BF4"/>
    <mergeCell ref="BC5:BD5"/>
    <mergeCell ref="AY5:AZ5"/>
    <mergeCell ref="BA5:BB5"/>
    <mergeCell ref="BE5:BF5"/>
    <mergeCell ref="CN5:CQ5"/>
    <mergeCell ref="BS4:CQ4"/>
    <mergeCell ref="BQ4:BR5"/>
    <mergeCell ref="CR5:CR6"/>
    <mergeCell ref="DO4:DO6"/>
    <mergeCell ref="DP4:DP6"/>
    <mergeCell ref="DJ4:DM5"/>
    <mergeCell ref="DC4:DI5"/>
    <mergeCell ref="CY4:DB5"/>
    <mergeCell ref="DN4:DN6"/>
    <mergeCell ref="A4:K5"/>
    <mergeCell ref="L4:L5"/>
    <mergeCell ref="M4:M5"/>
    <mergeCell ref="AU5:AV5"/>
    <mergeCell ref="AW5:AX5"/>
    <mergeCell ref="S4:AB5"/>
    <mergeCell ref="N4:P5"/>
    <mergeCell ref="AC4:AD5"/>
    <mergeCell ref="AE4:AE6"/>
    <mergeCell ref="Q4:R5"/>
    <mergeCell ref="BG4:BP4"/>
    <mergeCell ref="BG5:BH5"/>
    <mergeCell ref="CS5:CU5"/>
    <mergeCell ref="CK5:CM5"/>
    <mergeCell ref="BV5:BX5"/>
    <mergeCell ref="BK5:BL5"/>
    <mergeCell ref="BM5:BN5"/>
    <mergeCell ref="BS5:BU5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23년 12월 급여 시뮬레이션</vt:lpstr>
      <vt:lpstr>2408</vt:lpstr>
      <vt:lpstr>2409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NGOCDIEM</dc:creator>
  <cp:lastModifiedBy>Khanh Pham</cp:lastModifiedBy>
  <cp:lastPrinted>2023-01-06T02:59:12Z</cp:lastPrinted>
  <dcterms:created xsi:type="dcterms:W3CDTF">2022-09-23T06:01:24Z</dcterms:created>
  <dcterms:modified xsi:type="dcterms:W3CDTF">2025-04-01T02:25:59Z</dcterms:modified>
</cp:coreProperties>
</file>