
<file path=[Content_Types].xml><?xml version="1.0" encoding="utf-8"?>
<Types xmlns="http://schemas.openxmlformats.org/package/2006/content-types">
  <Default Extension="pn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QUIVOS Disco D\2019\09\Tabelas de preços\"/>
    </mc:Choice>
  </mc:AlternateContent>
  <bookViews>
    <workbookView xWindow="0" yWindow="0" windowWidth="20400" windowHeight="7650"/>
  </bookViews>
  <sheets>
    <sheet name="Catalogo" sheetId="1" r:id="rId1"/>
  </sheets>
  <definedNames>
    <definedName name="_xlnm._FilterDatabase" localSheetId="0" hidden="1">Catalogo!$B$2:$V$317</definedName>
  </definedNames>
  <calcPr calcId="162913"/>
</workbook>
</file>

<file path=xl/calcChain.xml><?xml version="1.0" encoding="utf-8"?>
<calcChain xmlns="http://schemas.openxmlformats.org/spreadsheetml/2006/main">
  <c r="Q23" i="1" l="1"/>
  <c r="R14" i="1" s="1"/>
  <c r="Q33" i="1"/>
  <c r="R24" i="1" s="1"/>
  <c r="Q41" i="1"/>
  <c r="Q43" i="1"/>
  <c r="R42" i="1" s="1"/>
  <c r="Q45" i="1"/>
  <c r="R44" i="1" s="1"/>
  <c r="Q47" i="1"/>
  <c r="R46" i="1" s="1"/>
  <c r="Q49" i="1"/>
  <c r="R48" i="1" s="1"/>
  <c r="Q51" i="1"/>
  <c r="R50" i="1" s="1"/>
  <c r="Q55" i="1"/>
  <c r="R52" i="1" s="1"/>
  <c r="Q57" i="1"/>
  <c r="R56" i="1" s="1"/>
  <c r="Q59" i="1"/>
  <c r="R58" i="1" s="1"/>
  <c r="Q61" i="1"/>
  <c r="R60" i="1" s="1"/>
  <c r="Q63" i="1"/>
  <c r="R62" i="1" s="1"/>
  <c r="Q65" i="1"/>
  <c r="R64" i="1" s="1"/>
  <c r="Q67" i="1"/>
  <c r="R66" i="1" s="1"/>
  <c r="Q69" i="1"/>
  <c r="R68" i="1" s="1"/>
  <c r="Q72" i="1"/>
  <c r="R70" i="1" s="1"/>
  <c r="Q74" i="1"/>
  <c r="R73" i="1" s="1"/>
  <c r="Q76" i="1"/>
  <c r="R75" i="1" s="1"/>
  <c r="Q78" i="1"/>
  <c r="R77" i="1" s="1"/>
  <c r="Q80" i="1"/>
  <c r="R79" i="1" s="1"/>
  <c r="Q82" i="1"/>
  <c r="R81" i="1" s="1"/>
  <c r="Q84" i="1"/>
  <c r="R83" i="1" s="1"/>
  <c r="Q86" i="1"/>
  <c r="R85" i="1" s="1"/>
  <c r="Q90" i="1"/>
  <c r="R88" i="1" s="1"/>
  <c r="Q94" i="1"/>
  <c r="R91" i="1" s="1"/>
  <c r="Q96" i="1"/>
  <c r="R95" i="1" s="1"/>
  <c r="Q98" i="1"/>
  <c r="R97" i="1" s="1"/>
  <c r="Q100" i="1"/>
  <c r="R99" i="1" s="1"/>
  <c r="Q102" i="1"/>
  <c r="R101" i="1" s="1"/>
  <c r="Q105" i="1"/>
  <c r="R103" i="1" s="1"/>
  <c r="Q108" i="1"/>
  <c r="R106" i="1" s="1"/>
  <c r="Q110" i="1"/>
  <c r="R109" i="1" s="1"/>
  <c r="Q112" i="1"/>
  <c r="R111" i="1" s="1"/>
  <c r="Q114" i="1"/>
  <c r="R113" i="1" s="1"/>
  <c r="Q116" i="1"/>
  <c r="R115" i="1" s="1"/>
  <c r="Q118" i="1"/>
  <c r="R117" i="1" s="1"/>
  <c r="Q120" i="1"/>
  <c r="R119" i="1" s="1"/>
  <c r="Q122" i="1"/>
  <c r="R121" i="1" s="1"/>
  <c r="Q124" i="1"/>
  <c r="R123" i="1" s="1"/>
  <c r="Q126" i="1"/>
  <c r="R125" i="1" s="1"/>
  <c r="Q128" i="1"/>
  <c r="R127" i="1" s="1"/>
  <c r="Q130" i="1"/>
  <c r="R129" i="1" s="1"/>
  <c r="Q132" i="1"/>
  <c r="R131" i="1" s="1"/>
  <c r="Q134" i="1"/>
  <c r="R133" i="1" s="1"/>
  <c r="Q136" i="1"/>
  <c r="R135" i="1" s="1"/>
  <c r="Q138" i="1"/>
  <c r="R137" i="1" s="1"/>
  <c r="Q140" i="1"/>
  <c r="R139" i="1" s="1"/>
  <c r="Q142" i="1"/>
  <c r="R141" i="1" s="1"/>
  <c r="Q144" i="1"/>
  <c r="R143" i="1" s="1"/>
  <c r="Q147" i="1"/>
  <c r="R145" i="1" s="1"/>
  <c r="Q149" i="1"/>
  <c r="R148" i="1" s="1"/>
  <c r="Q151" i="1"/>
  <c r="R150" i="1" s="1"/>
  <c r="Q153" i="1"/>
  <c r="R152" i="1" s="1"/>
  <c r="Q155" i="1"/>
  <c r="R154" i="1" s="1"/>
  <c r="Q162" i="1"/>
  <c r="R156" i="1" s="1"/>
  <c r="Q164" i="1"/>
  <c r="R163" i="1" s="1"/>
  <c r="Q166" i="1"/>
  <c r="R165" i="1" s="1"/>
  <c r="Q168" i="1"/>
  <c r="R167" i="1" s="1"/>
  <c r="Q170" i="1"/>
  <c r="R169" i="1" s="1"/>
  <c r="Q172" i="1"/>
  <c r="R171" i="1" s="1"/>
  <c r="Q174" i="1"/>
  <c r="R173" i="1" s="1"/>
  <c r="Q176" i="1"/>
  <c r="R175" i="1" s="1"/>
  <c r="Q178" i="1"/>
  <c r="R177" i="1" s="1"/>
  <c r="Q180" i="1"/>
  <c r="R179" i="1" s="1"/>
  <c r="Q182" i="1"/>
  <c r="R181" i="1" s="1"/>
  <c r="Q184" i="1"/>
  <c r="R183" i="1" s="1"/>
  <c r="Q186" i="1"/>
  <c r="R185" i="1" s="1"/>
  <c r="Q188" i="1"/>
  <c r="R187" i="1" s="1"/>
  <c r="Q190" i="1"/>
  <c r="R189" i="1" s="1"/>
  <c r="Q192" i="1"/>
  <c r="R191" i="1" s="1"/>
  <c r="Q194" i="1"/>
  <c r="R193" i="1" s="1"/>
  <c r="Q198" i="1"/>
  <c r="R195" i="1" s="1"/>
  <c r="Q201" i="1"/>
  <c r="R199" i="1" s="1"/>
  <c r="Q205" i="1"/>
  <c r="R202" i="1" s="1"/>
  <c r="Q208" i="1"/>
  <c r="R206" i="1" s="1"/>
  <c r="Q210" i="1"/>
  <c r="R209" i="1" s="1"/>
  <c r="Q212" i="1"/>
  <c r="R211" i="1" s="1"/>
  <c r="Q214" i="1"/>
  <c r="R213" i="1" s="1"/>
  <c r="Q216" i="1"/>
  <c r="R215" i="1" s="1"/>
  <c r="Q218" i="1"/>
  <c r="R217" i="1" s="1"/>
  <c r="Q220" i="1"/>
  <c r="R219" i="1" s="1"/>
  <c r="Q224" i="1"/>
  <c r="R221" i="1" s="1"/>
  <c r="Q229" i="1"/>
  <c r="R225" i="1" s="1"/>
  <c r="Q231" i="1"/>
  <c r="R230" i="1" s="1"/>
  <c r="Q233" i="1"/>
  <c r="R232" i="1" s="1"/>
  <c r="Q235" i="1"/>
  <c r="R234" i="1" s="1"/>
  <c r="Q237" i="1"/>
  <c r="R236" i="1" s="1"/>
  <c r="Q239" i="1"/>
  <c r="R238" i="1" s="1"/>
  <c r="Q241" i="1"/>
  <c r="R240" i="1" s="1"/>
  <c r="Q243" i="1"/>
  <c r="R242" i="1" s="1"/>
  <c r="Q248" i="1"/>
  <c r="R244" i="1" s="1"/>
  <c r="Q250" i="1"/>
  <c r="R249" i="1" s="1"/>
  <c r="Q253" i="1"/>
  <c r="R252" i="1" s="1"/>
  <c r="Q255" i="1"/>
  <c r="R254" i="1" s="1"/>
  <c r="Q256" i="1"/>
  <c r="Q258" i="1"/>
  <c r="R257" i="1" s="1"/>
  <c r="Q260" i="1"/>
  <c r="R259" i="1" s="1"/>
  <c r="Q263" i="1"/>
  <c r="R261" i="1" s="1"/>
  <c r="Q267" i="1"/>
  <c r="R264" i="1" s="1"/>
  <c r="Q269" i="1"/>
  <c r="R268" i="1" s="1"/>
  <c r="Q274" i="1"/>
  <c r="R270" i="1" s="1"/>
  <c r="Q276" i="1"/>
  <c r="R275" i="1" s="1"/>
  <c r="Q278" i="1"/>
  <c r="R277" i="1" s="1"/>
  <c r="Q281" i="1"/>
  <c r="R280" i="1" s="1"/>
  <c r="Q283" i="1"/>
  <c r="R282" i="1" s="1"/>
  <c r="Q285" i="1"/>
  <c r="R284" i="1" s="1"/>
  <c r="Q287" i="1"/>
  <c r="R286" i="1" s="1"/>
  <c r="Q289" i="1"/>
  <c r="R288" i="1" s="1"/>
  <c r="Q291" i="1"/>
  <c r="R290" i="1" s="1"/>
  <c r="Q297" i="1"/>
  <c r="R293" i="1" s="1"/>
  <c r="Q299" i="1"/>
  <c r="Q302" i="1"/>
  <c r="R300" i="1" s="1"/>
  <c r="Q305" i="1"/>
  <c r="R304" i="1" s="1"/>
  <c r="Q311" i="1"/>
  <c r="R306" i="1" s="1"/>
  <c r="Q313" i="1"/>
  <c r="R312" i="1" s="1"/>
  <c r="Q315" i="1"/>
  <c r="R314" i="1" s="1"/>
  <c r="Q317" i="1"/>
  <c r="R316" i="1" s="1"/>
  <c r="R34" i="1"/>
  <c r="F9" i="1" l="1"/>
</calcChain>
</file>

<file path=xl/sharedStrings.xml><?xml version="1.0" encoding="utf-8"?>
<sst xmlns="http://schemas.openxmlformats.org/spreadsheetml/2006/main" count="1653" uniqueCount="497">
  <si>
    <t xml:space="preserve">EMPRESA: </t>
  </si>
  <si>
    <t>MIX BICICLETAS IND. E COM. LTDA</t>
  </si>
  <si>
    <t>DATA:</t>
  </si>
  <si>
    <t>GRUPO:</t>
  </si>
  <si>
    <t>Todos</t>
  </si>
  <si>
    <t>USUARIO:</t>
  </si>
  <si>
    <t>PREÇO BASE:</t>
  </si>
  <si>
    <t>PRECO_VENDA_A</t>
  </si>
  <si>
    <t>ESTADO:</t>
  </si>
  <si>
    <t>OPTANTE SIMPLES:</t>
  </si>
  <si>
    <t>N</t>
  </si>
  <si>
    <t>PROMOCIONAL:</t>
  </si>
  <si>
    <t>TOTAL:</t>
  </si>
  <si>
    <t>CATÁLOGO DE PRODUTOS</t>
  </si>
  <si>
    <t>EMPRESA:</t>
  </si>
  <si>
    <t>CNPJ:</t>
  </si>
  <si>
    <t>CODIGO</t>
  </si>
  <si>
    <t>PESO</t>
  </si>
  <si>
    <t>TAMANHO</t>
  </si>
  <si>
    <t>MODELO</t>
  </si>
  <si>
    <t>PREÇO</t>
  </si>
  <si>
    <t>CONSUMIDOR</t>
  </si>
  <si>
    <t>PREÇO (IPI+ST)</t>
  </si>
  <si>
    <t>QUANT.</t>
  </si>
  <si>
    <t>TOTAL</t>
  </si>
  <si>
    <t>FOTO</t>
  </si>
  <si>
    <t xml:space="preserve">GRUPO: </t>
  </si>
  <si>
    <t>4 - NORTHWAVE</t>
  </si>
  <si>
    <t>R$ 0,00</t>
  </si>
  <si>
    <t>1486-SAPATILHA NORTHWAVE CASUAL MULTI-APP AMARELO FL</t>
  </si>
  <si>
    <t>R$ 302,47</t>
  </si>
  <si>
    <t>1487-SAPATILHA NORTHWAVE CASUAL TERREA PLUS PRETO</t>
  </si>
  <si>
    <t>R$ 349,30</t>
  </si>
  <si>
    <t>1488-SAPATILHA NORTHWAVE CASUAL TERREA PLUS VERD/AMA</t>
  </si>
  <si>
    <t>FV33 33MM</t>
  </si>
  <si>
    <t>FV47 47MM</t>
  </si>
  <si>
    <t>898-CAMARA DE AR RUBENA 26X1.90/2.30 LIGHT VALV. PRESTA</t>
  </si>
  <si>
    <t>R$ 11,15</t>
  </si>
  <si>
    <t>R$ 16,21</t>
  </si>
  <si>
    <t>AV35 35MM</t>
  </si>
  <si>
    <t>899-CAMARA DE AR RUBENA 27.5X1.50/2.10 AV35 VALV. AMERICANA 35MM</t>
  </si>
  <si>
    <t>R$ 8,29</t>
  </si>
  <si>
    <t>R$ 12,06</t>
  </si>
  <si>
    <t>900-CAMARA DE AR RUBENA 27.5X1.9/2.30 LIGHT FV47 VALV. FINA 47 MM / EXTRA LEVE</t>
  </si>
  <si>
    <t>R$ 12,32</t>
  </si>
  <si>
    <t>R$ 17,92</t>
  </si>
  <si>
    <t>949-PNEU MITAS 27.5X2.25 KRATOS TEXTRA TUBELESS 57-584/127 TPI/TUBELESS+TEXTRA</t>
  </si>
  <si>
    <t>R$ 58,94</t>
  </si>
  <si>
    <t>R$ 85,72</t>
  </si>
  <si>
    <t>950-PNEU MITAS 27.5X2.25 ZEFYROS TEXTRA TUBELESS PRETO 57-584/127 TPI/TUBELESS+TEXTRA</t>
  </si>
  <si>
    <t>R$ 69,67</t>
  </si>
  <si>
    <t>PRETO/VERMEL</t>
  </si>
  <si>
    <t>951-PNEU MITAS 700X23C PHOENIX RACING PRO 23-622/127 TPI</t>
  </si>
  <si>
    <t>R$ 55,26</t>
  </si>
  <si>
    <t>R$ 80,37</t>
  </si>
  <si>
    <t>PRETO/AZUL</t>
  </si>
  <si>
    <t>PRETO/AMARELO</t>
  </si>
  <si>
    <t>FAIXA REFLETIVA</t>
  </si>
  <si>
    <t>955-PNEU RUBENA 26X2.0 CITYHOPPER CINZA 52-559/22 TPI (APS+RS)</t>
  </si>
  <si>
    <t>R$ 26,33</t>
  </si>
  <si>
    <t>R$ 38,29</t>
  </si>
  <si>
    <t>957-PNEU RUBENA 26X2.00 CHARYBDIS RACING PRO PRETO 52-559/127 TPI</t>
  </si>
  <si>
    <t>R$ 44,49</t>
  </si>
  <si>
    <t>R$ 64,70</t>
  </si>
  <si>
    <t>958-PNEU RUBENA 26X2.10 ZEFYROS RACING PRO PRETO 54-559/127 TPI</t>
  </si>
  <si>
    <t>PRETO/CINZA</t>
  </si>
  <si>
    <t>959-PNEU RUBENA 26X2.10 ZEFYROS TUBELLES 54-559/127 TPI</t>
  </si>
  <si>
    <t>966-PNEU RUBENA 26X2.45 TRITON XFR RACING PRO 62-559</t>
  </si>
  <si>
    <t>R$ 80,40</t>
  </si>
  <si>
    <t>R$ 116,93</t>
  </si>
  <si>
    <t>967-PNEU RUBENA 27.5X2.00 CHARYBDIS RACING PRO PTO/CZA 52-584/127 TPI</t>
  </si>
  <si>
    <t>R$ 49,69</t>
  </si>
  <si>
    <t>R$ 72,27</t>
  </si>
  <si>
    <t>968-PNEU RUBENA 27.5X2.00 CHARYBDIS TUBELLES PTO/CINZA 52-584/127 TPI</t>
  </si>
  <si>
    <t>R$ 51,40</t>
  </si>
  <si>
    <t>R$ 74,75</t>
  </si>
  <si>
    <t>PRETO/BRANCO</t>
  </si>
  <si>
    <t>969-PNEU RUBENA 27.5X2.10 OCELOT CLASSIC 54-584/22 TPI</t>
  </si>
  <si>
    <t>R$ 12,22</t>
  </si>
  <si>
    <t>R$ 17,76</t>
  </si>
  <si>
    <t>PRETO</t>
  </si>
  <si>
    <t>971-PNEU RUBENA 27.5X2.25 KRATOS RACING PRO PRETO 57-584/127 TPI</t>
  </si>
  <si>
    <t>R$ 50,88</t>
  </si>
  <si>
    <t>R$ 73,99</t>
  </si>
  <si>
    <t>972-PNEU RUBENA 27.5X2.25 KRATOS TUBELESS PRETO 57-584/127 TPI/TUBELESS</t>
  </si>
  <si>
    <t>R$ 55,28</t>
  </si>
  <si>
    <t>R$ 80,41</t>
  </si>
  <si>
    <t>973-PNEU RUBENA 27.5X2.25 SCYLLA RACING PRO PRETO 57-584/127 TPI</t>
  </si>
  <si>
    <t>R$ 48,49</t>
  </si>
  <si>
    <t>R$ 70,52</t>
  </si>
  <si>
    <t>974-PNEU RUBENA 27.5X2.25 SCYLLA RACING PRO PRETO/CINZ 57-584/127 TPI</t>
  </si>
  <si>
    <t>976-PNEU RUBENA 27.5X2.25 SCYLLA TUBELLES PRETO 57-584/127 TPI/TUBELLES</t>
  </si>
  <si>
    <t>R$ 52,90</t>
  </si>
  <si>
    <t>R$ 76,94</t>
  </si>
  <si>
    <t>981-PNEU RUBENA 700X25C SYRINX RACING PRO ANTIFURO PTO 23-622/127 TPI/ANTIFURO+WELTEX</t>
  </si>
  <si>
    <t>R$ 79,65</t>
  </si>
  <si>
    <t>R$ 115,84</t>
  </si>
  <si>
    <t>982-PNEU RUBENA 700X35C 29" SCYLLA SPORT PRETO 37-622/22 TPI</t>
  </si>
  <si>
    <t>R$ 33,44</t>
  </si>
  <si>
    <t>R$ 48,64</t>
  </si>
  <si>
    <t>20 - KODE</t>
  </si>
  <si>
    <t>BRANCO</t>
  </si>
  <si>
    <t>162-ARO 26" KODE LV 32F PARA DISCO - 559X18C</t>
  </si>
  <si>
    <t>R$ 8,00</t>
  </si>
  <si>
    <t>165-ARO 26" KODE SLIM 917 32 F PARA DISCO - 559X18C 539MM 28-54</t>
  </si>
  <si>
    <t>R$ 10,44</t>
  </si>
  <si>
    <t>AMARELO</t>
  </si>
  <si>
    <t>164-ARO 26" KODE SLIM 917 36 F AMARELO PARA DISCO - 559X18C 539MM 28-54</t>
  </si>
  <si>
    <t>168-ARO 26" VZAN ESCAPE AERO 32F BRANCO PARA DISCO - 559X18C</t>
  </si>
  <si>
    <t>R$ 7,86</t>
  </si>
  <si>
    <t>32F</t>
  </si>
  <si>
    <t>53-ARO 29" KODE LV BRANCO PARA DISCO</t>
  </si>
  <si>
    <t>R$ 21,42</t>
  </si>
  <si>
    <t>36F</t>
  </si>
  <si>
    <t>1543-ARO 29" KODE ULTIMATE 917 36F AMARELO PARA DISCO</t>
  </si>
  <si>
    <t>R$ 20,50</t>
  </si>
  <si>
    <t>57-ARO 29" KODE WCT BRANCO PARA DISCO - COM ILHOS</t>
  </si>
  <si>
    <t>R$ 27,60</t>
  </si>
  <si>
    <t>170-BAR END KODE SHELL SOFT GEL BEHY01 TECNEW EMBORRACHADO</t>
  </si>
  <si>
    <t>R$ 26,43</t>
  </si>
  <si>
    <t>R$ 29,07</t>
  </si>
  <si>
    <t>M</t>
  </si>
  <si>
    <t>176-BLOCAGEM DE SELIM KODE ALUMINIO PRETO 6X55MM</t>
  </si>
  <si>
    <t>R$ 2,90</t>
  </si>
  <si>
    <t>R$ 3,18</t>
  </si>
  <si>
    <t>R$ 27,00</t>
  </si>
  <si>
    <t>60-BOMBA DE PÉ KODE GF94HV ALUM C/ CALIB ALTA PRESSÃO BICO REVERSIVEL/ 120PSI/ MTB 29'</t>
  </si>
  <si>
    <t>R$ 148,91</t>
  </si>
  <si>
    <t>R$ 156,36</t>
  </si>
  <si>
    <t>1430-CADEADO DE SEGREDO KODE 5 DIGITOS 1.2-120CM AZUL</t>
  </si>
  <si>
    <t>R$ 15,69</t>
  </si>
  <si>
    <t>R$ 17,26</t>
  </si>
  <si>
    <t>1431-CADEADO DE SEGREDO KODE 5 DIGITOS 1.2-120CM PINK</t>
  </si>
  <si>
    <t>1432-CADEADO DE SEGREDO KODE 5 DIGITOS 1.2-120CM PRETO</t>
  </si>
  <si>
    <t>1429-CADEADO ESPIRAL C/CHAVE KODE 1.2-120CM AZUL</t>
  </si>
  <si>
    <t>R$ 10,61</t>
  </si>
  <si>
    <t>R$ 11,67</t>
  </si>
  <si>
    <t>1434-CADEADO ESPIRAL C/CHAVE KODE 1.2-120CM ROSA</t>
  </si>
  <si>
    <t>1436-CADEADO KODE AÇO INOX C/CHAVE 60*13-20CM BCO</t>
  </si>
  <si>
    <t>R$ 77,92</t>
  </si>
  <si>
    <t>R$ 85,71</t>
  </si>
  <si>
    <t xml:space="preserve">1435-CADEADO KODE AÇO INOX C/CHAVE 60*13-20CM LOG. </t>
  </si>
  <si>
    <t xml:space="preserve">1437-CADEADO KODE AÇO INOX C/CHAVE 60*13-20CM VERDE </t>
  </si>
  <si>
    <t>1438-CADEADO KODE AÇO INOX C/CHAVE 60*13-20CM VERM</t>
  </si>
  <si>
    <t>1439-CADEADO KODE C/CHAVE 0.6-100CM AZUL</t>
  </si>
  <si>
    <t>R$ 22,20</t>
  </si>
  <si>
    <t>R$ 24,42</t>
  </si>
  <si>
    <t>1440-CADEADO KODE C/CHAVE 0.6-100CM LILAS</t>
  </si>
  <si>
    <t>1441-CADEADO KODE C/CHAVE 0.6-100CM PRETO</t>
  </si>
  <si>
    <t>1442-CADEADO KODE C/CHAVE 0.6-100CM VERMELHO</t>
  </si>
  <si>
    <t>1443-CADEADO KODE C/CHAVE 1.4-14.5CM PRETO</t>
  </si>
  <si>
    <t>R$ 34,01</t>
  </si>
  <si>
    <t>R$ 37,41</t>
  </si>
  <si>
    <t xml:space="preserve">1444-CADEADO KODE C/CHAVE 1.4-14.5CM VERDE </t>
  </si>
  <si>
    <t>1445-CADEADO KODE C/CHAVE 1.4-14.5CM VERMELHO</t>
  </si>
  <si>
    <t>BRANCO/PRETO</t>
  </si>
  <si>
    <t>177-CADEADO KODE DE SEGREDO 4 DIGITOS 10X6.5X2.4MM / COM TRAVA AUTOMATICA</t>
  </si>
  <si>
    <t>R$ 26,39</t>
  </si>
  <si>
    <t>R$ 28,50</t>
  </si>
  <si>
    <t>BRANCO/VERDE</t>
  </si>
  <si>
    <t xml:space="preserve">1446-CADEADO KODE EM AÇO C/CHAVE 60*13-20CM BRANCO </t>
  </si>
  <si>
    <t>R$ 57,00</t>
  </si>
  <si>
    <t>R$ 62,70</t>
  </si>
  <si>
    <t>1447-CADEADO KODE EM AÇO C/CHAVE 60*13-20CM LARANJA</t>
  </si>
  <si>
    <t>1448-CADEADO KODE EM AÇO C/CHAVE 60*13-20CM LILAS</t>
  </si>
  <si>
    <t>179-CAIXA CENTRO KODE BMX 50MM PRETO 9 PEÇAS / PARA BMX / EM AÇO</t>
  </si>
  <si>
    <t>R$ 5,81</t>
  </si>
  <si>
    <t>R$ 6,39</t>
  </si>
  <si>
    <t>L</t>
  </si>
  <si>
    <t>VERDE</t>
  </si>
  <si>
    <t>VERMELHO</t>
  </si>
  <si>
    <t>180-ESPAÇADOR KODE ACRÍLICO 5/5/10/10MM 4 PEÇAS</t>
  </si>
  <si>
    <t>R$ 11,14</t>
  </si>
  <si>
    <t>R$ 12,25</t>
  </si>
  <si>
    <t>TRANSPARENTE</t>
  </si>
  <si>
    <t>AZUL</t>
  </si>
  <si>
    <t>LARANJA</t>
  </si>
  <si>
    <t>2MM</t>
  </si>
  <si>
    <t>121-FITA DE GUIDÃO ROAD KODE AZUL FABRICADO EM P.U</t>
  </si>
  <si>
    <t>R$ 36,72</t>
  </si>
  <si>
    <t>R$ 40,39</t>
  </si>
  <si>
    <t>122-FITA DE GUIDÃO ROAD KODE BRANCO FABRICADO EM P.U</t>
  </si>
  <si>
    <t>R$ 31,11</t>
  </si>
  <si>
    <t>R$ 34,22</t>
  </si>
  <si>
    <t>123-FITA DE GUIDÃO ROAD KODE LARANJA FLUOR FABRICADO EM P.U</t>
  </si>
  <si>
    <t>3MM</t>
  </si>
  <si>
    <t>1390-FITA DE GUIDÃO ROAD KODE LARANJA FLUOR FABRICADO EM P.U</t>
  </si>
  <si>
    <t>R$ 41,69</t>
  </si>
  <si>
    <t>R$ 45,85</t>
  </si>
  <si>
    <t>1391-FITA DE GUIDÃO ROAD KODE VERDE FLUOR FABRICADO EM P.U</t>
  </si>
  <si>
    <t>125-FITA DE GUIDÃO ROAD KODE VERDE FLUOR FABRICADO EM P.U</t>
  </si>
  <si>
    <t>187-FREIO U-BRAKE KODE BR926 D/T PRETO 29-45MM</t>
  </si>
  <si>
    <t>R$ 31,65</t>
  </si>
  <si>
    <t>R$ 34,81</t>
  </si>
  <si>
    <t>ALUMÍNIO 7075</t>
  </si>
  <si>
    <t>1378-GUIDAO RETO KODE N05 MTB 700MM 31.8MM BRANCO BACKSWEEP 5°</t>
  </si>
  <si>
    <t>R$ 49,73</t>
  </si>
  <si>
    <t>R$ 54,70</t>
  </si>
  <si>
    <t>ALUMÍNIO 6061</t>
  </si>
  <si>
    <t>188-GUIDAO RETO KODE N05 MTB 700MM 31.8MM BRANCO BACKSWEEP 5°</t>
  </si>
  <si>
    <t>R$ 35,30</t>
  </si>
  <si>
    <t>R$ 38,83</t>
  </si>
  <si>
    <t>156-GUIDAO RETO KODE N05 MTB 700MM 31.8MM PRETO, BACKSWEEP 5°</t>
  </si>
  <si>
    <t>R$ 43,16</t>
  </si>
  <si>
    <t>R$ 47,47</t>
  </si>
  <si>
    <t>ALUMÍNIO 7050</t>
  </si>
  <si>
    <t>1377-GUIDAO RETO KODE N05 MTB 700MM 31.8MM PRETO, BACKSWEEP 5°</t>
  </si>
  <si>
    <t>R$ 63,34</t>
  </si>
  <si>
    <t>190-GUIDAO RETO KODE N18 MTB 700MM 31.8MM BRANCO ALUMINIO 6061, BACKSWEEP 9°</t>
  </si>
  <si>
    <t>R$ 40,90</t>
  </si>
  <si>
    <t>R$ 44,99</t>
  </si>
  <si>
    <t>158-GUIDAO RETO KODE N18 MTB 700MM 31.8MM PRETO ALUMINIO 6061, BACKSWEEP 9°</t>
  </si>
  <si>
    <t>R$ 50,91</t>
  </si>
  <si>
    <t>R$ 56,00</t>
  </si>
  <si>
    <t>191-GUIDÃO RISE KODE HB11 MTB 620MM 25.4MM PRETO ALUMINIO</t>
  </si>
  <si>
    <t>R$ 10,90</t>
  </si>
  <si>
    <t>R$ 11,99</t>
  </si>
  <si>
    <t>192-GUIDAO SEMI RISE KODE MTB 640MM 31.8MM BRANCO ALUMINIO</t>
  </si>
  <si>
    <t>R$ 19,73</t>
  </si>
  <si>
    <t>R$ 21,70</t>
  </si>
  <si>
    <t>S</t>
  </si>
  <si>
    <t>XL</t>
  </si>
  <si>
    <t>228-LUVA KODE PRO CONCEPT AZUL/VERDE GEL(ALTA DENS.)/GRIP/TELA DE RESPIRO</t>
  </si>
  <si>
    <t>R$ 20,15</t>
  </si>
  <si>
    <t>R$ 22,17</t>
  </si>
  <si>
    <t>240-LUVA KODE PROTECTION GEL AZUL/BRANCO/PRETO GEL(ALTA DENS.)/ATOALHADA</t>
  </si>
  <si>
    <t>R$ 21,50</t>
  </si>
  <si>
    <t>R$ 23,65</t>
  </si>
  <si>
    <t>244-LUVA KODE PROTECTION GEL VERMELHO/BRANCO/PRETO GEL(ALTA DENS.)/ATOALHADA</t>
  </si>
  <si>
    <t>R$ 24,58</t>
  </si>
  <si>
    <t>R$ 27,03</t>
  </si>
  <si>
    <t>248-LUVA KODE RACE PRO BRANCO/PRETO GEL(ALTA DENS.)/ATOAL./TELA DE RESPIRO</t>
  </si>
  <si>
    <t>R$ 27,27</t>
  </si>
  <si>
    <t>R$ 29,99</t>
  </si>
  <si>
    <t xml:space="preserve">254-LUVA KODE SEALSKINZ DEDO CURTO PRETO/AZUL </t>
  </si>
  <si>
    <t>R$ 24,75</t>
  </si>
  <si>
    <t>R$ 27,23</t>
  </si>
  <si>
    <t xml:space="preserve">257-LUVA KODE SEALSKINZ DEDO CURTO PRETO/VERMELHO </t>
  </si>
  <si>
    <t>194-MANOPLA KODE 1911 PRO BORRACHA ERGONOMICA</t>
  </si>
  <si>
    <t>R$ 12,54</t>
  </si>
  <si>
    <t>R$ 13,79</t>
  </si>
  <si>
    <t>412-MANOPLA KODE 913 NEOPRENE NEOPRENE / 128MM</t>
  </si>
  <si>
    <t>R$ 7,76</t>
  </si>
  <si>
    <t>R$ 8,54</t>
  </si>
  <si>
    <t>1318-MANOPLA KODE ERGO GEL C/TRAVA AZUL - PRETO/AZUL PARA GRIP SHIF - 95MM  368EP1</t>
  </si>
  <si>
    <t>R$ 14,96</t>
  </si>
  <si>
    <t>R$ 16,45</t>
  </si>
  <si>
    <t>1319-MANOPLA KODE ERGO GEL C/TRAVA AZUL - PRETOVERMELHO PARA GRIP SHIF - 95MM  368EP1</t>
  </si>
  <si>
    <t>1357-MANOPLA KODE ERGO GEL C/TRAVA CROMAD - PRETO/VERM. PARA GRIP SHIF - 95MM  368EP1</t>
  </si>
  <si>
    <t>116MM</t>
  </si>
  <si>
    <t>414-MOV. CENTRAL KODE BB906 QUAD. (C/PARAF) PTO 116MM(1.37X24) 68/70 / ESFERA</t>
  </si>
  <si>
    <t>R$ 9,16</t>
  </si>
  <si>
    <t>R$ 10,08</t>
  </si>
  <si>
    <t>118MM</t>
  </si>
  <si>
    <t>127.5MM</t>
  </si>
  <si>
    <t>113.5MM</t>
  </si>
  <si>
    <t>417-MOV. CENTRAL KODE BB910 QUAD. (C/PARAF)PTO 113MM (1.37X24) 68/73 / ROLAMENTADO</t>
  </si>
  <si>
    <t>R$ 13,82</t>
  </si>
  <si>
    <t>R$ 15,20</t>
  </si>
  <si>
    <t>199-MOVIMENTO DE DIREÇÃO KODE BMX AHEAD SET OVER PRETO PARA ROTOR / COLAR ESFERA 1-1/8¨X34X30</t>
  </si>
  <si>
    <t>R$ 12,75</t>
  </si>
  <si>
    <t>R$ 14,03</t>
  </si>
  <si>
    <t>NWL-305</t>
  </si>
  <si>
    <t>1594-PEDAL KODE 305 ALUMINIO PLATAFORMA 1/2 PRETO</t>
  </si>
  <si>
    <t>R$ 24,68</t>
  </si>
  <si>
    <t>R$ 27,15</t>
  </si>
  <si>
    <t>19"</t>
  </si>
  <si>
    <t>425-QUADRO KODE TOP 29 MTB ALUM PTO/CINZA/AMARELO MOV. BSA/SEMI INTEG./SUP. SELIM 27.2</t>
  </si>
  <si>
    <t>R$ 386,27</t>
  </si>
  <si>
    <t>R$ 424,90</t>
  </si>
  <si>
    <t>429-QUADRO KODE TOP 29 MTB ALUM PTO/CZA/VERDE FLUO MOV. BSA/SEMI INTEG./SUP. SELIM 27.2</t>
  </si>
  <si>
    <t>16"</t>
  </si>
  <si>
    <t>431-QUADRO KODE TOP 29 WCT MTB AZUL/BRANCO ALUM.6061- DISCO POST M/TOP TUBE 560 MM</t>
  </si>
  <si>
    <t>R$ 347,47</t>
  </si>
  <si>
    <t>R$ 382,22</t>
  </si>
  <si>
    <t>17"</t>
  </si>
  <si>
    <t>432-QUADRO KODE TOP 29 WCT MTB BRANCO/AZUL ALUM.6061- DISCO POST MOUNT</t>
  </si>
  <si>
    <t>PRETO/VERMELHO</t>
  </si>
  <si>
    <t>PRETO/VERDE</t>
  </si>
  <si>
    <t>202-SUPORTE DE CARAMANHOLA KODE ALUMINIO  ACOMPANHA 2 PARAFUSOS</t>
  </si>
  <si>
    <t>R$ 6,79</t>
  </si>
  <si>
    <t>R$ 7,46</t>
  </si>
  <si>
    <t>90MM</t>
  </si>
  <si>
    <t>100MM</t>
  </si>
  <si>
    <t>80MM</t>
  </si>
  <si>
    <t>70MM</t>
  </si>
  <si>
    <t>435-SUPORTE DE GUIDÃO KODE ST25 ALUM. 31.8MM BCO 7° POSITIVO OU NEGATIVO</t>
  </si>
  <si>
    <t>R$ 50,47</t>
  </si>
  <si>
    <t>R$ 55,51</t>
  </si>
  <si>
    <t>205-SUSPENSAO 27.5 KODE XCM P/ DISCO ALUMINIO AZUL ESPIGA AÇO/CURSO: 80-100MM/TRAVA OMBRO</t>
  </si>
  <si>
    <t>R$ 136,42</t>
  </si>
  <si>
    <t>R$ 150,06</t>
  </si>
  <si>
    <t>R$ 94,30</t>
  </si>
  <si>
    <t>29 - MICHELIN</t>
  </si>
  <si>
    <t>632-PNEU MICHELIN 29X2.00 WILD MUD ADV. GUM-X PRETO 60TPI-58PSI/TUBELLES/TERRENOS ENLAMEADOS</t>
  </si>
  <si>
    <t>R$ 107,66</t>
  </si>
  <si>
    <t>R$ 156,56</t>
  </si>
  <si>
    <t>633-PNEU MICHELIN 29X2.00 WILD RACE'R ULT. ADV. GUM-X 110TPI-58PSI/TUBELESS/+ RESISTENT A FURO</t>
  </si>
  <si>
    <t>R$ 92,17</t>
  </si>
  <si>
    <t>R$ 134,04</t>
  </si>
  <si>
    <t>636-PNEU MICHELIN 700X20C PRO4 PRETO 116PSI-110TPI/CAMARA A1/BI-COMPOUND</t>
  </si>
  <si>
    <t>R$ 98,92</t>
  </si>
  <si>
    <t>R$ 143,87</t>
  </si>
  <si>
    <t>668-PNEU MICHELIN 700X23C LITHION 2 116PSI-60TPI-8.0 BAR/CAMARA A1</t>
  </si>
  <si>
    <t>R$ 58,81</t>
  </si>
  <si>
    <t>R$ 85,53</t>
  </si>
  <si>
    <t>649-PNEU MICHELIN 700X23C PRO4 116PSI-110TPI/CAMARA A1/BI-COMPOUND</t>
  </si>
  <si>
    <t>640-PNEU MICHELIN 700X23C PRO4 COMP 116 PSI-150TPI-8.0 BAR/CAMARA A1</t>
  </si>
  <si>
    <t>R$ 136,57</t>
  </si>
  <si>
    <t>R$ 198,62</t>
  </si>
  <si>
    <t>639-PNEU MICHELIN 700X23C PRO4 COMP LIMITED PRETO 116 PSI-150 TPI/CAMARA A1</t>
  </si>
  <si>
    <t>R$ 164,03</t>
  </si>
  <si>
    <t>R$ 238,57</t>
  </si>
  <si>
    <t>644-PNEU MICHELIN 700X23C PRO4 ENDURANCE 116PSI-110TPI/CAMARA A1/BI-COMPOUND</t>
  </si>
  <si>
    <t>643-PNEU MICHELIN 700X23C PRO4 ENDURANCE PETO/CINZA 116PSI-110TPI/CAMARA A1/BI-COMPOUND</t>
  </si>
  <si>
    <t>R$ 105,34</t>
  </si>
  <si>
    <t>R$ 153,20</t>
  </si>
  <si>
    <t>648-PNEU MICHELIN 700X23C PRO4 GRIP PRETO 116PSI-110TPI-8.0 BAR/CAMARA A1</t>
  </si>
  <si>
    <t>R$ 117,72</t>
  </si>
  <si>
    <t>R$ 171,21</t>
  </si>
  <si>
    <t>31 - SUNTOUR</t>
  </si>
  <si>
    <t>1203-SUSPENSAO 27.5 SUNTOUR EPIXON XC AR 15MM PRETO 100MM/TRAVA GUIDÃO/RETORNO/EIXO INCLUSO</t>
  </si>
  <si>
    <t>R$ 726,37</t>
  </si>
  <si>
    <t>R$ 799,00</t>
  </si>
  <si>
    <t>TRAVA NO OMBRO</t>
  </si>
  <si>
    <t>1204-SUSPENSAO 27.5 SUNTOUR XCM30 9MM PRETO DISCO/100MM</t>
  </si>
  <si>
    <t>R$ 175,66</t>
  </si>
  <si>
    <t>R$ 193,23</t>
  </si>
  <si>
    <t>TRAVA GUIDÃO</t>
  </si>
  <si>
    <t>1373-SUSPENSAO 27.5 SUNTOUR XCM30 9MM PRETO DISCO/100MM</t>
  </si>
  <si>
    <t>R$ 230,63</t>
  </si>
  <si>
    <t>R$ 253,69</t>
  </si>
  <si>
    <t>1206-SUSPENSAO 27.5 SUNTOUR XCR32 15MM PRETO DISCO/100MM/TRAVA GUIDÃO/RETORNO</t>
  </si>
  <si>
    <t>R$ 326,44</t>
  </si>
  <si>
    <t>R$ 359,08</t>
  </si>
  <si>
    <t>1207-SUSPENSAO 27.5 SUNTOUR XCR32 9MM PRETO DISCO/100MM/TRAVA GUIDÃO/RETORNO</t>
  </si>
  <si>
    <t>R$ 226,69</t>
  </si>
  <si>
    <t>R$ 249,35</t>
  </si>
  <si>
    <t>1208-SUSPENSAO 27.5 SUNTOUR XCT 9MM BRANCO DISCO/100MM/TRAVA OMBRO</t>
  </si>
  <si>
    <t>R$ 150,46</t>
  </si>
  <si>
    <t>R$ 165,50</t>
  </si>
  <si>
    <t xml:space="preserve">33 - NECO </t>
  </si>
  <si>
    <t>TRANSPARENT</t>
  </si>
  <si>
    <t>677-PEDAL NECO WP601 9/16 PLATAFORMA NYLON  95X100MM/COM REFLETOR</t>
  </si>
  <si>
    <t>R$ 16,16</t>
  </si>
  <si>
    <t>R$ 17,78</t>
  </si>
  <si>
    <t xml:space="preserve">45 - ESSAX SELIM </t>
  </si>
  <si>
    <t>35-SELIM ESSAX ADRENALINE XC CARBON 142MM REFORÇOS NAS LATERAIS EM KEVLAR</t>
  </si>
  <si>
    <t>R$ 304,73</t>
  </si>
  <si>
    <t>R$ 335,20</t>
  </si>
  <si>
    <t>PRETO/AMARE</t>
  </si>
  <si>
    <t>R$ 10,20</t>
  </si>
  <si>
    <t>56 - THUMBS UP</t>
  </si>
  <si>
    <t>25G</t>
  </si>
  <si>
    <t>1374-CARTUCHO CO2 THUMBS UP REFIL C/10UNID.</t>
  </si>
  <si>
    <t>R$ 85,73</t>
  </si>
  <si>
    <t>1213-KIT REGULADOR P/CO2 THUMBS UP REGULADOR,VALVULA E ADAPTADOR</t>
  </si>
  <si>
    <t>R$ 32,45</t>
  </si>
  <si>
    <t>R$ 35,70</t>
  </si>
  <si>
    <t>1218-KIT REPARO THUMBS UP 25MM 6-REMENDOS 25MM/LIXA</t>
  </si>
  <si>
    <t>R$ 2,85</t>
  </si>
  <si>
    <t>R$ 3,14</t>
  </si>
  <si>
    <t>1219-KIT REPARO THUMBS UP 25MM C/10. 6-REMENDOS 25MM/LIXA- PACOTE C/10 UNID.</t>
  </si>
  <si>
    <t>R$ 29,70</t>
  </si>
  <si>
    <t>1224-KIT REPARO TUBELESS THUMBS UP C/5 PCS. 1-COLA/2-FERRAMENTAS/5-REMENDOS</t>
  </si>
  <si>
    <t>R$ 9,27</t>
  </si>
  <si>
    <t xml:space="preserve">PREÇO PR (IPI+ST) </t>
  </si>
  <si>
    <t>PREÇO SP (IPI+ST)</t>
  </si>
  <si>
    <t>R$ 12,82</t>
  </si>
  <si>
    <t>R$ 9,54</t>
  </si>
  <si>
    <t>R$ 14,17</t>
  </si>
  <si>
    <t>R$ 67,78</t>
  </si>
  <si>
    <t>R$ 63,55</t>
  </si>
  <si>
    <t>R$ 30,28</t>
  </si>
  <si>
    <t>R$ 51,16</t>
  </si>
  <si>
    <t>R$ 92,46</t>
  </si>
  <si>
    <t>R$ 57,14</t>
  </si>
  <si>
    <t>R$ 59,11</t>
  </si>
  <si>
    <t>R$ 14,05</t>
  </si>
  <si>
    <t>R$ 58,51</t>
  </si>
  <si>
    <t>R$ 63,58</t>
  </si>
  <si>
    <t>R$ 55,76</t>
  </si>
  <si>
    <t>R$ 60,84</t>
  </si>
  <si>
    <t>R$ 91,60</t>
  </si>
  <si>
    <t>R$ 38,46</t>
  </si>
  <si>
    <t>R$ 123,80</t>
  </si>
  <si>
    <t>R$ 105,99</t>
  </si>
  <si>
    <t>R$ 113,76</t>
  </si>
  <si>
    <t>R$ 67,63</t>
  </si>
  <si>
    <t>R$ 157,06</t>
  </si>
  <si>
    <t>R$ 188,64</t>
  </si>
  <si>
    <t>R$ 121,14</t>
  </si>
  <si>
    <t>R$ 135,38</t>
  </si>
  <si>
    <t>PREÇO SC (IPI+ST)</t>
  </si>
  <si>
    <t>R$ 16,03</t>
  </si>
  <si>
    <t>R$ 11,93</t>
  </si>
  <si>
    <t>R$ 17,72</t>
  </si>
  <si>
    <t>R$ 84,74</t>
  </si>
  <si>
    <t>R$ 79,46</t>
  </si>
  <si>
    <t>R$ 37,86</t>
  </si>
  <si>
    <t>R$ 63,97</t>
  </si>
  <si>
    <t>R$ 115,60</t>
  </si>
  <si>
    <t>R$ 71,44</t>
  </si>
  <si>
    <t>R$ 73,90</t>
  </si>
  <si>
    <t>R$ 17,57</t>
  </si>
  <si>
    <t>R$ 73,15</t>
  </si>
  <si>
    <t>R$ 79,50</t>
  </si>
  <si>
    <t>R$ 69,72</t>
  </si>
  <si>
    <t>R$ 76,07</t>
  </si>
  <si>
    <t>R$ 114,53</t>
  </si>
  <si>
    <t>R$ 48,09</t>
  </si>
  <si>
    <t>R$ 154,79</t>
  </si>
  <si>
    <t>R$ 132,52</t>
  </si>
  <si>
    <t>R$ 142,23</t>
  </si>
  <si>
    <t>R$ 84,56</t>
  </si>
  <si>
    <t>R$ 196,38</t>
  </si>
  <si>
    <t>R$ 235,86</t>
  </si>
  <si>
    <t>R$ 151,47</t>
  </si>
  <si>
    <t>R$ 169,27</t>
  </si>
  <si>
    <t>PREÇO RS (IPI+ST)</t>
  </si>
  <si>
    <t>R$ 16,82</t>
  </si>
  <si>
    <t>R$ 12,52</t>
  </si>
  <si>
    <t>R$ 18,60</t>
  </si>
  <si>
    <t>R$ 88,94</t>
  </si>
  <si>
    <t>R$ 83,39</t>
  </si>
  <si>
    <t>R$ 39,74</t>
  </si>
  <si>
    <t>R$ 67,13</t>
  </si>
  <si>
    <t>R$ 121,32</t>
  </si>
  <si>
    <t>R$ 74,98</t>
  </si>
  <si>
    <t>R$ 77,56</t>
  </si>
  <si>
    <t>R$ 18,44</t>
  </si>
  <si>
    <t>R$ 76,77</t>
  </si>
  <si>
    <t>R$ 83,43</t>
  </si>
  <si>
    <t>R$ 73,17</t>
  </si>
  <si>
    <t>R$ 79,83</t>
  </si>
  <si>
    <t>R$ 120,20</t>
  </si>
  <si>
    <t>R$ 162,45</t>
  </si>
  <si>
    <t>R$ 139,08</t>
  </si>
  <si>
    <t>R$ 149,28</t>
  </si>
  <si>
    <t>R$ 88,75</t>
  </si>
  <si>
    <t>R$ 206,10</t>
  </si>
  <si>
    <t>R$ 247,54</t>
  </si>
  <si>
    <t>R$ 158,97</t>
  </si>
  <si>
    <t>R$ 177,65</t>
  </si>
  <si>
    <t>R$ 18,68</t>
  </si>
  <si>
    <t>R$ 13,90</t>
  </si>
  <si>
    <t>R$ 20,65</t>
  </si>
  <si>
    <t>R$ 98,77</t>
  </si>
  <si>
    <t>R$ 92,61</t>
  </si>
  <si>
    <t>R$ 44,13</t>
  </si>
  <si>
    <t>R$ 74,55</t>
  </si>
  <si>
    <t>R$ 134,73</t>
  </si>
  <si>
    <t>R$ 83,26</t>
  </si>
  <si>
    <t>R$ 86,13</t>
  </si>
  <si>
    <t>R$ 20,47</t>
  </si>
  <si>
    <t>R$ 85,26</t>
  </si>
  <si>
    <t>R$ 92,65</t>
  </si>
  <si>
    <t>R$ 81,25</t>
  </si>
  <si>
    <t>R$ 88,65</t>
  </si>
  <si>
    <t>R$ 133,48</t>
  </si>
  <si>
    <t>R$ 56,04</t>
  </si>
  <si>
    <t>R$ 180,40</t>
  </si>
  <si>
    <t>R$ 154,45</t>
  </si>
  <si>
    <t>R$ 165,77</t>
  </si>
  <si>
    <t>R$ 98,55</t>
  </si>
  <si>
    <t>R$ 228,87</t>
  </si>
  <si>
    <t>R$ 274,89</t>
  </si>
  <si>
    <t>R$ 176,53</t>
  </si>
  <si>
    <t>R$ 197,28</t>
  </si>
  <si>
    <t>PREÇO RJ (IPI+ST)</t>
  </si>
  <si>
    <t>R$ 17,91</t>
  </si>
  <si>
    <t>R$ 13,33</t>
  </si>
  <si>
    <t>R$ 19,80</t>
  </si>
  <si>
    <t>R$ 94,70</t>
  </si>
  <si>
    <t>R$ 88,79</t>
  </si>
  <si>
    <t>R$ 42,31</t>
  </si>
  <si>
    <t>R$ 71,48</t>
  </si>
  <si>
    <t>R$ 129,18</t>
  </si>
  <si>
    <t>R$ 79,84</t>
  </si>
  <si>
    <t>R$ 82,58</t>
  </si>
  <si>
    <t>R$ 19,63</t>
  </si>
  <si>
    <t>R$ 81,75</t>
  </si>
  <si>
    <t>R$ 88,84</t>
  </si>
  <si>
    <t>R$ 77,91</t>
  </si>
  <si>
    <t>R$ 85,00</t>
  </si>
  <si>
    <t>R$ 127,98</t>
  </si>
  <si>
    <t>R$ 53,73</t>
  </si>
  <si>
    <t>R$ 172,97</t>
  </si>
  <si>
    <t>R$ 148,09</t>
  </si>
  <si>
    <t>R$ 158,94</t>
  </si>
  <si>
    <t>R$ 94,50</t>
  </si>
  <si>
    <t>R$ 219,45</t>
  </si>
  <si>
    <t>R$ 263,57</t>
  </si>
  <si>
    <t>R$ 169,26</t>
  </si>
  <si>
    <t>R$ 189,15</t>
  </si>
  <si>
    <t>PREÇO MG (IPI+ST)</t>
  </si>
  <si>
    <t>PREÇO CE (IPI+ST)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</si>
</sst>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20"/>
      <color rgb="FFF5F6FA"/>
      <name val="Calibri"/>
    </font>
    <font>
      <b/>
      <sz val="15"/>
      <color rgb="FFF5F6FA"/>
      <name val="Calibri"/>
    </font>
    <font>
      <b/>
      <sz val="20"/>
      <color rgb="FF40407A"/>
      <name val="Calibri"/>
    </font>
    <font>
      <b/>
      <sz val="11"/>
      <color rgb="FFF5F6FA"/>
      <name val="Calibri"/>
    </font>
    <font>
      <b/>
      <sz val="11"/>
      <color rgb="FFECF0F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218C74"/>
        <bgColor rgb="FF000000"/>
      </patternFill>
    </fill>
    <fill>
      <patternFill patternType="solid">
        <fgColor rgb="FF95A5A6"/>
        <bgColor rgb="FF000000"/>
      </patternFill>
    </fill>
    <fill>
      <patternFill patternType="solid">
        <fgColor rgb="FF34ACE0"/>
        <bgColor rgb="FF000000"/>
      </patternFill>
    </fill>
    <fill>
      <patternFill patternType="solid">
        <fgColor rgb="FFFFDA79"/>
        <bgColor rgb="FF000000"/>
      </patternFill>
    </fill>
    <fill>
      <patternFill patternType="solid">
        <fgColor rgb="FFE74C3C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3" borderId="0" xfId="0" applyFont="1" applyFill="1"/>
    <xf numFmtId="0" fontId="0" fillId="0" borderId="1" xfId="0" applyBorder="1"/>
    <xf numFmtId="0" fontId="3" fillId="4" borderId="2" xfId="0" applyFon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3" fillId="4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4" borderId="4" xfId="0" applyFont="1" applyFill="1" applyBorder="1" applyAlignment="1">
      <alignment horizontal="justify" vertical="center"/>
    </xf>
    <xf numFmtId="0" fontId="4" fillId="5" borderId="0" xfId="0" applyFont="1" applyFill="1"/>
    <xf numFmtId="0" fontId="5" fillId="3" borderId="1" xfId="0" applyFont="1" applyFill="1" applyBorder="1"/>
    <xf numFmtId="0" fontId="0" fillId="0" borderId="1" xfId="0" applyBorder="1" applyAlignment="1">
      <alignment horizontal="justify"/>
    </xf>
    <xf numFmtId="0" fontId="6" fillId="6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justify" vertical="center"/>
    </xf>
    <xf numFmtId="0" fontId="0" fillId="0" borderId="11" xfId="0" applyBorder="1" applyAlignment="1">
      <alignment horizontal="justify" vertical="center"/>
    </xf>
    <xf numFmtId="0" fontId="0" fillId="0" borderId="12" xfId="0" applyBorder="1" applyAlignment="1">
      <alignment horizontal="justify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162175" cy="1524000"/>
    <xdr:pic>
      <xdr:nvPicPr>
        <xdr:cNvPr id="2" name="Logo Interesses Pessoais" descr="Logo Interesses Pessoais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7"/>
  <sheetViews>
    <sheetView tabSelected="1" topLeftCell="A52" zoomScale="70" zoomScaleNormal="70" workbookViewId="0">
      <selection activeCell="M12" sqref="M12"/>
    </sheetView>
  </sheetViews>
  <sheetFormatPr defaultRowHeight="15" x14ac:dyDescent="0.25"/>
  <cols>
    <col min="1" max="1" width="1.140625" bestFit="1" customWidth="1"/>
    <col min="2" max="2" width="16.7109375" bestFit="1" customWidth="1"/>
    <col min="4" max="4" width="23.42578125" bestFit="1" customWidth="1"/>
    <col min="5" max="5" width="40" customWidth="1"/>
    <col min="6" max="6" width="37.7109375" bestFit="1" customWidth="1"/>
    <col min="7" max="7" width="17.28515625" bestFit="1" customWidth="1"/>
    <col min="8" max="16" width="23.7109375" bestFit="1" customWidth="1"/>
    <col min="17" max="17" width="10.85546875" bestFit="1" customWidth="1"/>
    <col min="18" max="18" width="9.140625" customWidth="1"/>
    <col min="21" max="22" width="2" bestFit="1" customWidth="1"/>
  </cols>
  <sheetData>
    <row r="2" spans="2:22" x14ac:dyDescent="0.25">
      <c r="E2" s="1" t="s">
        <v>0</v>
      </c>
      <c r="F2" s="2" t="s">
        <v>1</v>
      </c>
      <c r="G2" s="1" t="s">
        <v>2</v>
      </c>
    </row>
    <row r="3" spans="2:22" x14ac:dyDescent="0.25">
      <c r="E3" s="1" t="s">
        <v>3</v>
      </c>
      <c r="F3" s="2" t="s">
        <v>4</v>
      </c>
      <c r="G3" s="1" t="s">
        <v>5</v>
      </c>
    </row>
    <row r="4" spans="2:22" x14ac:dyDescent="0.25">
      <c r="E4" s="1" t="s">
        <v>6</v>
      </c>
      <c r="F4" s="2" t="s">
        <v>7</v>
      </c>
      <c r="G4" s="1"/>
    </row>
    <row r="5" spans="2:22" x14ac:dyDescent="0.25">
      <c r="E5" s="1" t="s">
        <v>8</v>
      </c>
      <c r="F5" s="2"/>
      <c r="G5" s="1"/>
    </row>
    <row r="6" spans="2:22" x14ac:dyDescent="0.25">
      <c r="E6" s="1" t="s">
        <v>9</v>
      </c>
      <c r="F6" s="2" t="s">
        <v>10</v>
      </c>
      <c r="G6" s="1"/>
    </row>
    <row r="7" spans="2:22" x14ac:dyDescent="0.25">
      <c r="E7" s="1" t="s">
        <v>11</v>
      </c>
      <c r="F7" s="2" t="s">
        <v>4</v>
      </c>
      <c r="G7" s="1"/>
    </row>
    <row r="8" spans="2:22" x14ac:dyDescent="0.25">
      <c r="E8" s="1"/>
      <c r="F8" s="2"/>
      <c r="G8" s="1"/>
    </row>
    <row r="9" spans="2:22" x14ac:dyDescent="0.25">
      <c r="E9" s="1" t="s">
        <v>12</v>
      </c>
      <c r="F9" s="2">
        <f>SUM(R12:R95951)</f>
        <v>0</v>
      </c>
      <c r="G9" s="1"/>
    </row>
    <row r="10" spans="2:22" ht="26.25" x14ac:dyDescent="0.25">
      <c r="B10" s="15" t="s">
        <v>13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2:22" ht="19.5" x14ac:dyDescent="0.3">
      <c r="B11" s="3" t="s">
        <v>14</v>
      </c>
      <c r="C11" s="3"/>
      <c r="D11" s="3" t="s">
        <v>15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9.5" x14ac:dyDescent="0.3">
      <c r="B12" s="5" t="s">
        <v>16</v>
      </c>
      <c r="C12" s="6" t="s">
        <v>17</v>
      </c>
      <c r="D12" s="6" t="s">
        <v>18</v>
      </c>
      <c r="E12" s="6" t="s">
        <v>19</v>
      </c>
      <c r="F12" s="6" t="s">
        <v>20</v>
      </c>
      <c r="G12" s="6" t="s">
        <v>21</v>
      </c>
      <c r="H12" s="6" t="s">
        <v>366</v>
      </c>
      <c r="I12" s="6" t="s">
        <v>367</v>
      </c>
      <c r="J12" s="6" t="s">
        <v>393</v>
      </c>
      <c r="K12" s="6" t="s">
        <v>419</v>
      </c>
      <c r="L12" s="6" t="s">
        <v>469</v>
      </c>
      <c r="M12" s="6" t="s">
        <v>22</v>
      </c>
      <c r="N12" s="6" t="s">
        <v>495</v>
      </c>
      <c r="O12" s="6" t="s">
        <v>496</v>
      </c>
      <c r="P12" s="6" t="s">
        <v>22</v>
      </c>
      <c r="Q12" s="6" t="s">
        <v>23</v>
      </c>
      <c r="R12" s="8" t="s">
        <v>24</v>
      </c>
      <c r="S12" s="9" t="s">
        <v>25</v>
      </c>
      <c r="T12" s="10"/>
      <c r="U12" s="10"/>
      <c r="V12" s="7"/>
    </row>
    <row r="13" spans="2:22" ht="26.25" x14ac:dyDescent="0.4">
      <c r="B13" s="11" t="s">
        <v>26</v>
      </c>
      <c r="C13" s="11" t="s">
        <v>27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2:22" x14ac:dyDescent="0.25">
      <c r="B14" s="13">
        <v>13462</v>
      </c>
      <c r="C14" s="4">
        <v>0.01</v>
      </c>
      <c r="D14" s="4">
        <v>38</v>
      </c>
      <c r="E14" s="24" t="s">
        <v>29</v>
      </c>
      <c r="F14" s="27" t="s">
        <v>30</v>
      </c>
      <c r="G14" s="27" t="s">
        <v>28</v>
      </c>
      <c r="H14" s="30" t="s">
        <v>30</v>
      </c>
      <c r="I14" s="30" t="s">
        <v>30</v>
      </c>
      <c r="J14" s="30" t="s">
        <v>30</v>
      </c>
      <c r="K14" s="30" t="s">
        <v>30</v>
      </c>
      <c r="L14" s="30" t="s">
        <v>30</v>
      </c>
      <c r="M14" s="30" t="s">
        <v>30</v>
      </c>
      <c r="N14" s="30" t="s">
        <v>30</v>
      </c>
      <c r="O14" s="30" t="s">
        <v>30</v>
      </c>
      <c r="P14" s="30" t="s">
        <v>30</v>
      </c>
      <c r="Q14" s="12"/>
      <c r="R14" s="31">
        <f>Q23 * 302.47</f>
        <v>0</v>
      </c>
      <c r="S14" s="18"/>
      <c r="T14" s="18"/>
      <c r="U14" s="18"/>
      <c r="V14" s="19"/>
    </row>
    <row r="15" spans="2:22" x14ac:dyDescent="0.25">
      <c r="B15" s="13">
        <v>13463</v>
      </c>
      <c r="C15" s="4">
        <v>0.01</v>
      </c>
      <c r="D15" s="4">
        <v>39</v>
      </c>
      <c r="E15" s="25"/>
      <c r="F15" s="28"/>
      <c r="G15" s="28"/>
      <c r="H15" s="30"/>
      <c r="I15" s="30"/>
      <c r="J15" s="30"/>
      <c r="K15" s="30"/>
      <c r="L15" s="30"/>
      <c r="M15" s="30"/>
      <c r="N15" s="30"/>
      <c r="O15" s="30"/>
      <c r="P15" s="30"/>
      <c r="Q15" s="12"/>
      <c r="R15" s="32"/>
      <c r="S15" s="20"/>
      <c r="T15" s="20"/>
      <c r="U15" s="20"/>
      <c r="V15" s="21"/>
    </row>
    <row r="16" spans="2:22" x14ac:dyDescent="0.25">
      <c r="B16" s="13">
        <v>13464</v>
      </c>
      <c r="C16" s="4">
        <v>0.01</v>
      </c>
      <c r="D16" s="4">
        <v>40</v>
      </c>
      <c r="E16" s="25"/>
      <c r="F16" s="28"/>
      <c r="G16" s="28"/>
      <c r="H16" s="30"/>
      <c r="I16" s="30"/>
      <c r="J16" s="30"/>
      <c r="K16" s="30"/>
      <c r="L16" s="30"/>
      <c r="M16" s="30"/>
      <c r="N16" s="30"/>
      <c r="O16" s="30"/>
      <c r="P16" s="30"/>
      <c r="Q16" s="12"/>
      <c r="R16" s="32"/>
      <c r="S16" s="20"/>
      <c r="T16" s="20"/>
      <c r="U16" s="20"/>
      <c r="V16" s="21"/>
    </row>
    <row r="17" spans="2:22" x14ac:dyDescent="0.25">
      <c r="B17" s="13">
        <v>13465</v>
      </c>
      <c r="C17" s="4">
        <v>0.01</v>
      </c>
      <c r="D17" s="4">
        <v>41</v>
      </c>
      <c r="E17" s="25"/>
      <c r="F17" s="28"/>
      <c r="G17" s="28"/>
      <c r="H17" s="30"/>
      <c r="I17" s="30"/>
      <c r="J17" s="30"/>
      <c r="K17" s="30"/>
      <c r="L17" s="30"/>
      <c r="M17" s="30"/>
      <c r="N17" s="30"/>
      <c r="O17" s="30"/>
      <c r="P17" s="30"/>
      <c r="Q17" s="12"/>
      <c r="R17" s="32"/>
      <c r="S17" s="20"/>
      <c r="T17" s="20"/>
      <c r="U17" s="20"/>
      <c r="V17" s="21"/>
    </row>
    <row r="18" spans="2:22" x14ac:dyDescent="0.25">
      <c r="B18" s="13">
        <v>13466</v>
      </c>
      <c r="C18" s="4">
        <v>0.01</v>
      </c>
      <c r="D18" s="4">
        <v>42</v>
      </c>
      <c r="E18" s="25"/>
      <c r="F18" s="28"/>
      <c r="G18" s="28"/>
      <c r="H18" s="30"/>
      <c r="I18" s="30"/>
      <c r="J18" s="30"/>
      <c r="K18" s="30"/>
      <c r="L18" s="30"/>
      <c r="M18" s="30"/>
      <c r="N18" s="30"/>
      <c r="O18" s="30"/>
      <c r="P18" s="30"/>
      <c r="Q18" s="12"/>
      <c r="R18" s="32"/>
      <c r="S18" s="20"/>
      <c r="T18" s="20"/>
      <c r="U18" s="20"/>
      <c r="V18" s="21"/>
    </row>
    <row r="19" spans="2:22" x14ac:dyDescent="0.25">
      <c r="B19" s="13">
        <v>13467</v>
      </c>
      <c r="C19" s="4">
        <v>0.01</v>
      </c>
      <c r="D19" s="4">
        <v>43</v>
      </c>
      <c r="E19" s="25"/>
      <c r="F19" s="28"/>
      <c r="G19" s="28"/>
      <c r="H19" s="30"/>
      <c r="I19" s="30"/>
      <c r="J19" s="30"/>
      <c r="K19" s="30"/>
      <c r="L19" s="30"/>
      <c r="M19" s="30"/>
      <c r="N19" s="30"/>
      <c r="O19" s="30"/>
      <c r="P19" s="30"/>
      <c r="Q19" s="12"/>
      <c r="R19" s="32"/>
      <c r="S19" s="20"/>
      <c r="T19" s="20"/>
      <c r="U19" s="20"/>
      <c r="V19" s="21"/>
    </row>
    <row r="20" spans="2:22" x14ac:dyDescent="0.25">
      <c r="B20" s="13">
        <v>13468</v>
      </c>
      <c r="C20" s="4">
        <v>0.01</v>
      </c>
      <c r="D20" s="4">
        <v>44</v>
      </c>
      <c r="E20" s="25"/>
      <c r="F20" s="28"/>
      <c r="G20" s="28"/>
      <c r="H20" s="30"/>
      <c r="I20" s="30"/>
      <c r="J20" s="30"/>
      <c r="K20" s="30"/>
      <c r="L20" s="30"/>
      <c r="M20" s="30"/>
      <c r="N20" s="30"/>
      <c r="O20" s="30"/>
      <c r="P20" s="30"/>
      <c r="Q20" s="12"/>
      <c r="R20" s="32"/>
      <c r="S20" s="20"/>
      <c r="T20" s="20"/>
      <c r="U20" s="20"/>
      <c r="V20" s="21"/>
    </row>
    <row r="21" spans="2:22" x14ac:dyDescent="0.25">
      <c r="B21" s="13">
        <v>13469</v>
      </c>
      <c r="C21" s="4">
        <v>0.01</v>
      </c>
      <c r="D21" s="4">
        <v>46</v>
      </c>
      <c r="E21" s="25"/>
      <c r="F21" s="28"/>
      <c r="G21" s="28"/>
      <c r="H21" s="30"/>
      <c r="I21" s="30"/>
      <c r="J21" s="30"/>
      <c r="K21" s="30"/>
      <c r="L21" s="30"/>
      <c r="M21" s="30"/>
      <c r="N21" s="30"/>
      <c r="O21" s="30"/>
      <c r="P21" s="30"/>
      <c r="Q21" s="12"/>
      <c r="R21" s="32"/>
      <c r="S21" s="20"/>
      <c r="T21" s="20"/>
      <c r="U21" s="20"/>
      <c r="V21" s="21"/>
    </row>
    <row r="22" spans="2:22" x14ac:dyDescent="0.25">
      <c r="B22" s="13">
        <v>13470</v>
      </c>
      <c r="C22" s="4">
        <v>0.01</v>
      </c>
      <c r="D22" s="4">
        <v>45</v>
      </c>
      <c r="E22" s="26"/>
      <c r="F22" s="29"/>
      <c r="G22" s="29"/>
      <c r="H22" s="30"/>
      <c r="I22" s="30"/>
      <c r="J22" s="30"/>
      <c r="K22" s="30"/>
      <c r="L22" s="30"/>
      <c r="M22" s="30"/>
      <c r="N22" s="30"/>
      <c r="O22" s="30"/>
      <c r="P22" s="30"/>
      <c r="Q22" s="12"/>
      <c r="R22" s="33"/>
      <c r="S22" s="22"/>
      <c r="T22" s="22"/>
      <c r="U22" s="22"/>
      <c r="V22" s="23"/>
    </row>
    <row r="23" spans="2:22" x14ac:dyDescent="0.25">
      <c r="G23" s="1" t="s">
        <v>12</v>
      </c>
      <c r="Q23">
        <f>SUM(Q14:Q22)</f>
        <v>0</v>
      </c>
    </row>
    <row r="24" spans="2:22" x14ac:dyDescent="0.25">
      <c r="B24" s="13">
        <v>13471</v>
      </c>
      <c r="C24" s="4">
        <v>0.01</v>
      </c>
      <c r="D24" s="4">
        <v>38</v>
      </c>
      <c r="E24" s="24" t="s">
        <v>31</v>
      </c>
      <c r="F24" s="27" t="s">
        <v>32</v>
      </c>
      <c r="G24" s="27" t="s">
        <v>28</v>
      </c>
      <c r="H24" s="30" t="s">
        <v>32</v>
      </c>
      <c r="I24" s="30" t="s">
        <v>32</v>
      </c>
      <c r="J24" s="30" t="s">
        <v>32</v>
      </c>
      <c r="K24" s="30" t="s">
        <v>32</v>
      </c>
      <c r="L24" s="30" t="s">
        <v>32</v>
      </c>
      <c r="M24" s="30" t="s">
        <v>32</v>
      </c>
      <c r="N24" s="30" t="s">
        <v>32</v>
      </c>
      <c r="O24" s="30" t="s">
        <v>32</v>
      </c>
      <c r="P24" s="30" t="s">
        <v>32</v>
      </c>
      <c r="Q24" s="12"/>
      <c r="R24" s="31">
        <f>Q33 * 349.3</f>
        <v>0</v>
      </c>
      <c r="S24" s="18"/>
      <c r="T24" s="18"/>
      <c r="U24" s="18"/>
      <c r="V24" s="19"/>
    </row>
    <row r="25" spans="2:22" x14ac:dyDescent="0.25">
      <c r="B25" s="13">
        <v>13472</v>
      </c>
      <c r="C25" s="4">
        <v>0.01</v>
      </c>
      <c r="D25" s="4">
        <v>39</v>
      </c>
      <c r="E25" s="25"/>
      <c r="F25" s="28"/>
      <c r="G25" s="28"/>
      <c r="H25" s="30"/>
      <c r="I25" s="30"/>
      <c r="J25" s="30"/>
      <c r="K25" s="30"/>
      <c r="L25" s="30"/>
      <c r="M25" s="30"/>
      <c r="N25" s="30"/>
      <c r="O25" s="30"/>
      <c r="P25" s="30"/>
      <c r="Q25" s="12"/>
      <c r="R25" s="32"/>
      <c r="S25" s="20"/>
      <c r="T25" s="20"/>
      <c r="U25" s="20"/>
      <c r="V25" s="21"/>
    </row>
    <row r="26" spans="2:22" x14ac:dyDescent="0.25">
      <c r="B26" s="13">
        <v>13473</v>
      </c>
      <c r="C26" s="4">
        <v>0.01</v>
      </c>
      <c r="D26" s="4">
        <v>40</v>
      </c>
      <c r="E26" s="25"/>
      <c r="F26" s="28"/>
      <c r="G26" s="28"/>
      <c r="H26" s="30"/>
      <c r="I26" s="30"/>
      <c r="J26" s="30"/>
      <c r="K26" s="30"/>
      <c r="L26" s="30"/>
      <c r="M26" s="30"/>
      <c r="N26" s="30"/>
      <c r="O26" s="30"/>
      <c r="P26" s="30"/>
      <c r="Q26" s="12"/>
      <c r="R26" s="32"/>
      <c r="S26" s="20"/>
      <c r="T26" s="20"/>
      <c r="U26" s="20"/>
      <c r="V26" s="21"/>
    </row>
    <row r="27" spans="2:22" x14ac:dyDescent="0.25">
      <c r="B27" s="13">
        <v>13474</v>
      </c>
      <c r="C27" s="4">
        <v>0.01</v>
      </c>
      <c r="D27" s="4">
        <v>41</v>
      </c>
      <c r="E27" s="25"/>
      <c r="F27" s="28"/>
      <c r="G27" s="28"/>
      <c r="H27" s="30"/>
      <c r="I27" s="30"/>
      <c r="J27" s="30"/>
      <c r="K27" s="30"/>
      <c r="L27" s="30"/>
      <c r="M27" s="30"/>
      <c r="N27" s="30"/>
      <c r="O27" s="30"/>
      <c r="P27" s="30"/>
      <c r="Q27" s="12"/>
      <c r="R27" s="32"/>
      <c r="S27" s="20"/>
      <c r="T27" s="20"/>
      <c r="U27" s="20"/>
      <c r="V27" s="21"/>
    </row>
    <row r="28" spans="2:22" x14ac:dyDescent="0.25">
      <c r="B28" s="13">
        <v>13475</v>
      </c>
      <c r="C28" s="4">
        <v>0.01</v>
      </c>
      <c r="D28" s="4">
        <v>42</v>
      </c>
      <c r="E28" s="25"/>
      <c r="F28" s="28"/>
      <c r="G28" s="28"/>
      <c r="H28" s="30"/>
      <c r="I28" s="30"/>
      <c r="J28" s="30"/>
      <c r="K28" s="30"/>
      <c r="L28" s="30"/>
      <c r="M28" s="30"/>
      <c r="N28" s="30"/>
      <c r="O28" s="30"/>
      <c r="P28" s="30"/>
      <c r="Q28" s="12"/>
      <c r="R28" s="32"/>
      <c r="S28" s="20"/>
      <c r="T28" s="20"/>
      <c r="U28" s="20"/>
      <c r="V28" s="21"/>
    </row>
    <row r="29" spans="2:22" x14ac:dyDescent="0.25">
      <c r="B29" s="13">
        <v>13476</v>
      </c>
      <c r="C29" s="4">
        <v>0.01</v>
      </c>
      <c r="D29" s="4">
        <v>43</v>
      </c>
      <c r="E29" s="25"/>
      <c r="F29" s="28"/>
      <c r="G29" s="28"/>
      <c r="H29" s="30"/>
      <c r="I29" s="30"/>
      <c r="J29" s="30"/>
      <c r="K29" s="30"/>
      <c r="L29" s="30"/>
      <c r="M29" s="30"/>
      <c r="N29" s="30"/>
      <c r="O29" s="30"/>
      <c r="P29" s="30"/>
      <c r="Q29" s="12"/>
      <c r="R29" s="32"/>
      <c r="S29" s="20"/>
      <c r="T29" s="20"/>
      <c r="U29" s="20"/>
      <c r="V29" s="21"/>
    </row>
    <row r="30" spans="2:22" x14ac:dyDescent="0.25">
      <c r="B30" s="13">
        <v>13477</v>
      </c>
      <c r="C30" s="4">
        <v>0.01</v>
      </c>
      <c r="D30" s="4">
        <v>44</v>
      </c>
      <c r="E30" s="25"/>
      <c r="F30" s="28"/>
      <c r="G30" s="28"/>
      <c r="H30" s="30"/>
      <c r="I30" s="30"/>
      <c r="J30" s="30"/>
      <c r="K30" s="30"/>
      <c r="L30" s="30"/>
      <c r="M30" s="30"/>
      <c r="N30" s="30"/>
      <c r="O30" s="30"/>
      <c r="P30" s="30"/>
      <c r="Q30" s="12"/>
      <c r="R30" s="32"/>
      <c r="S30" s="20"/>
      <c r="T30" s="20"/>
      <c r="U30" s="20"/>
      <c r="V30" s="21"/>
    </row>
    <row r="31" spans="2:22" x14ac:dyDescent="0.25">
      <c r="B31" s="13">
        <v>13478</v>
      </c>
      <c r="C31" s="4">
        <v>0.01</v>
      </c>
      <c r="D31" s="4">
        <v>45</v>
      </c>
      <c r="E31" s="25"/>
      <c r="F31" s="28"/>
      <c r="G31" s="28"/>
      <c r="H31" s="30"/>
      <c r="I31" s="30"/>
      <c r="J31" s="30"/>
      <c r="K31" s="30"/>
      <c r="L31" s="30"/>
      <c r="M31" s="30"/>
      <c r="N31" s="30"/>
      <c r="O31" s="30"/>
      <c r="P31" s="30"/>
      <c r="Q31" s="12"/>
      <c r="R31" s="32"/>
      <c r="S31" s="20"/>
      <c r="T31" s="20"/>
      <c r="U31" s="20"/>
      <c r="V31" s="21"/>
    </row>
    <row r="32" spans="2:22" x14ac:dyDescent="0.25">
      <c r="B32" s="13">
        <v>13479</v>
      </c>
      <c r="C32" s="4">
        <v>0.01</v>
      </c>
      <c r="D32" s="4">
        <v>46</v>
      </c>
      <c r="E32" s="26"/>
      <c r="F32" s="29"/>
      <c r="G32" s="29"/>
      <c r="H32" s="30"/>
      <c r="I32" s="30"/>
      <c r="J32" s="30"/>
      <c r="K32" s="30"/>
      <c r="L32" s="30"/>
      <c r="M32" s="30"/>
      <c r="N32" s="30"/>
      <c r="O32" s="30"/>
      <c r="P32" s="30"/>
      <c r="Q32" s="12"/>
      <c r="R32" s="33"/>
      <c r="S32" s="22"/>
      <c r="T32" s="22"/>
      <c r="U32" s="22"/>
      <c r="V32" s="23"/>
    </row>
    <row r="33" spans="2:22" x14ac:dyDescent="0.25">
      <c r="G33" s="1" t="s">
        <v>12</v>
      </c>
      <c r="Q33">
        <f>SUM(Q24:Q32)</f>
        <v>0</v>
      </c>
    </row>
    <row r="34" spans="2:22" x14ac:dyDescent="0.25">
      <c r="B34" s="13">
        <v>13480</v>
      </c>
      <c r="C34" s="4">
        <v>0.01</v>
      </c>
      <c r="D34" s="4">
        <v>38</v>
      </c>
      <c r="E34" s="24" t="s">
        <v>33</v>
      </c>
      <c r="F34" s="27" t="s">
        <v>32</v>
      </c>
      <c r="G34" s="27" t="s">
        <v>28</v>
      </c>
      <c r="H34" s="30" t="s">
        <v>32</v>
      </c>
      <c r="I34" s="30" t="s">
        <v>32</v>
      </c>
      <c r="J34" s="30" t="s">
        <v>32</v>
      </c>
      <c r="K34" s="30" t="s">
        <v>32</v>
      </c>
      <c r="L34" s="30" t="s">
        <v>32</v>
      </c>
      <c r="M34" s="30" t="s">
        <v>32</v>
      </c>
      <c r="N34" s="30" t="s">
        <v>32</v>
      </c>
      <c r="O34" s="30" t="s">
        <v>32</v>
      </c>
      <c r="P34" s="30" t="s">
        <v>32</v>
      </c>
      <c r="Q34" s="12"/>
      <c r="R34" s="31">
        <f>Q41 * 349.3</f>
        <v>0</v>
      </c>
      <c r="S34" s="18"/>
      <c r="T34" s="18"/>
      <c r="U34" s="18"/>
      <c r="V34" s="19"/>
    </row>
    <row r="35" spans="2:22" x14ac:dyDescent="0.25">
      <c r="B35" s="13">
        <v>13481</v>
      </c>
      <c r="C35" s="4">
        <v>0.01</v>
      </c>
      <c r="D35" s="4">
        <v>39</v>
      </c>
      <c r="E35" s="25"/>
      <c r="F35" s="28"/>
      <c r="G35" s="28"/>
      <c r="H35" s="30"/>
      <c r="I35" s="30"/>
      <c r="J35" s="30"/>
      <c r="K35" s="30"/>
      <c r="L35" s="30"/>
      <c r="M35" s="30"/>
      <c r="N35" s="30"/>
      <c r="O35" s="30"/>
      <c r="P35" s="30"/>
      <c r="Q35" s="12"/>
      <c r="R35" s="32"/>
      <c r="S35" s="20"/>
      <c r="T35" s="20"/>
      <c r="U35" s="20"/>
      <c r="V35" s="21"/>
    </row>
    <row r="36" spans="2:22" x14ac:dyDescent="0.25">
      <c r="B36" s="13">
        <v>13482</v>
      </c>
      <c r="C36" s="4">
        <v>0.01</v>
      </c>
      <c r="D36" s="4">
        <v>40</v>
      </c>
      <c r="E36" s="25"/>
      <c r="F36" s="28"/>
      <c r="G36" s="28"/>
      <c r="H36" s="30"/>
      <c r="I36" s="30"/>
      <c r="J36" s="30"/>
      <c r="K36" s="30"/>
      <c r="L36" s="30"/>
      <c r="M36" s="30"/>
      <c r="N36" s="30"/>
      <c r="O36" s="30"/>
      <c r="P36" s="30"/>
      <c r="Q36" s="12"/>
      <c r="R36" s="32"/>
      <c r="S36" s="20"/>
      <c r="T36" s="20"/>
      <c r="U36" s="20"/>
      <c r="V36" s="21"/>
    </row>
    <row r="37" spans="2:22" x14ac:dyDescent="0.25">
      <c r="B37" s="13">
        <v>13483</v>
      </c>
      <c r="C37" s="4">
        <v>0.01</v>
      </c>
      <c r="D37" s="4">
        <v>41</v>
      </c>
      <c r="E37" s="25"/>
      <c r="F37" s="28"/>
      <c r="G37" s="28"/>
      <c r="H37" s="30"/>
      <c r="I37" s="30"/>
      <c r="J37" s="30"/>
      <c r="K37" s="30"/>
      <c r="L37" s="30"/>
      <c r="M37" s="30"/>
      <c r="N37" s="30"/>
      <c r="O37" s="30"/>
      <c r="P37" s="30"/>
      <c r="Q37" s="12"/>
      <c r="R37" s="32"/>
      <c r="S37" s="20"/>
      <c r="T37" s="20"/>
      <c r="U37" s="20"/>
      <c r="V37" s="21"/>
    </row>
    <row r="38" spans="2:22" x14ac:dyDescent="0.25">
      <c r="B38" s="13">
        <v>13484</v>
      </c>
      <c r="C38" s="4">
        <v>0.01</v>
      </c>
      <c r="D38" s="4">
        <v>42</v>
      </c>
      <c r="E38" s="25"/>
      <c r="F38" s="28"/>
      <c r="G38" s="28"/>
      <c r="H38" s="30"/>
      <c r="I38" s="30"/>
      <c r="J38" s="30"/>
      <c r="K38" s="30"/>
      <c r="L38" s="30"/>
      <c r="M38" s="30"/>
      <c r="N38" s="30"/>
      <c r="O38" s="30"/>
      <c r="P38" s="30"/>
      <c r="Q38" s="12"/>
      <c r="R38" s="32"/>
      <c r="S38" s="20"/>
      <c r="T38" s="20"/>
      <c r="U38" s="20"/>
      <c r="V38" s="21"/>
    </row>
    <row r="39" spans="2:22" x14ac:dyDescent="0.25">
      <c r="B39" s="13">
        <v>13485</v>
      </c>
      <c r="C39" s="4">
        <v>0.01</v>
      </c>
      <c r="D39" s="4">
        <v>43</v>
      </c>
      <c r="E39" s="25"/>
      <c r="F39" s="28"/>
      <c r="G39" s="28"/>
      <c r="H39" s="30"/>
      <c r="I39" s="30"/>
      <c r="J39" s="30"/>
      <c r="K39" s="30"/>
      <c r="L39" s="30"/>
      <c r="M39" s="30"/>
      <c r="N39" s="30"/>
      <c r="O39" s="30"/>
      <c r="P39" s="30"/>
      <c r="Q39" s="12"/>
      <c r="R39" s="32"/>
      <c r="S39" s="20"/>
      <c r="T39" s="20"/>
      <c r="U39" s="20"/>
      <c r="V39" s="21"/>
    </row>
    <row r="40" spans="2:22" x14ac:dyDescent="0.25">
      <c r="B40" s="13">
        <v>13486</v>
      </c>
      <c r="C40" s="4">
        <v>0.01</v>
      </c>
      <c r="D40" s="4">
        <v>44</v>
      </c>
      <c r="E40" s="26"/>
      <c r="F40" s="29"/>
      <c r="G40" s="29"/>
      <c r="H40" s="30"/>
      <c r="I40" s="30"/>
      <c r="J40" s="30"/>
      <c r="K40" s="30"/>
      <c r="L40" s="30"/>
      <c r="M40" s="30"/>
      <c r="N40" s="30"/>
      <c r="O40" s="30"/>
      <c r="P40" s="30"/>
      <c r="Q40" s="12"/>
      <c r="R40" s="33"/>
      <c r="S40" s="22"/>
      <c r="T40" s="22"/>
      <c r="U40" s="22"/>
      <c r="V40" s="23"/>
    </row>
    <row r="41" spans="2:22" x14ac:dyDescent="0.25">
      <c r="G41" s="1" t="s">
        <v>12</v>
      </c>
      <c r="Q41">
        <f>SUM(Q34:Q40)</f>
        <v>0</v>
      </c>
    </row>
    <row r="42" spans="2:22" x14ac:dyDescent="0.25">
      <c r="B42" s="13">
        <v>7687</v>
      </c>
      <c r="C42" s="4">
        <v>0.125</v>
      </c>
      <c r="D42" s="4" t="s">
        <v>34</v>
      </c>
      <c r="E42" s="16" t="s">
        <v>36</v>
      </c>
      <c r="F42" s="30" t="s">
        <v>37</v>
      </c>
      <c r="G42" s="30" t="s">
        <v>28</v>
      </c>
      <c r="H42" s="30" t="s">
        <v>38</v>
      </c>
      <c r="I42" s="14" t="s">
        <v>368</v>
      </c>
      <c r="J42" s="14" t="s">
        <v>394</v>
      </c>
      <c r="K42" s="14" t="s">
        <v>420</v>
      </c>
      <c r="L42" s="14" t="s">
        <v>444</v>
      </c>
      <c r="M42" s="14" t="s">
        <v>470</v>
      </c>
      <c r="N42" s="14" t="s">
        <v>420</v>
      </c>
      <c r="O42" s="14" t="s">
        <v>368</v>
      </c>
      <c r="P42" s="14" t="s">
        <v>420</v>
      </c>
      <c r="Q42" s="12"/>
      <c r="R42" s="17">
        <f>Q43 * 16.21</f>
        <v>0</v>
      </c>
      <c r="S42" s="18"/>
      <c r="T42" s="18"/>
      <c r="U42" s="18"/>
      <c r="V42" s="19"/>
    </row>
    <row r="43" spans="2:22" x14ac:dyDescent="0.25">
      <c r="G43" s="1" t="s">
        <v>12</v>
      </c>
      <c r="Q43">
        <f>SUM(Q42:Q42)</f>
        <v>0</v>
      </c>
    </row>
    <row r="44" spans="2:22" x14ac:dyDescent="0.25">
      <c r="B44" s="13">
        <v>9661</v>
      </c>
      <c r="C44" s="4">
        <v>0.18</v>
      </c>
      <c r="D44" s="4" t="s">
        <v>39</v>
      </c>
      <c r="E44" s="16" t="s">
        <v>40</v>
      </c>
      <c r="F44" s="30" t="s">
        <v>41</v>
      </c>
      <c r="G44" s="30" t="s">
        <v>28</v>
      </c>
      <c r="H44" s="30" t="s">
        <v>42</v>
      </c>
      <c r="I44" s="14" t="s">
        <v>369</v>
      </c>
      <c r="J44" s="14" t="s">
        <v>395</v>
      </c>
      <c r="K44" s="14" t="s">
        <v>421</v>
      </c>
      <c r="L44" s="14" t="s">
        <v>445</v>
      </c>
      <c r="M44" s="14" t="s">
        <v>471</v>
      </c>
      <c r="N44" s="14" t="s">
        <v>421</v>
      </c>
      <c r="O44" s="14" t="s">
        <v>369</v>
      </c>
      <c r="P44" s="14" t="s">
        <v>421</v>
      </c>
      <c r="Q44" s="12"/>
      <c r="R44" s="17">
        <f>Q45 * 12.06</f>
        <v>0</v>
      </c>
      <c r="S44" s="18"/>
      <c r="T44" s="18"/>
      <c r="U44" s="18"/>
      <c r="V44" s="19"/>
    </row>
    <row r="45" spans="2:22" x14ac:dyDescent="0.25">
      <c r="G45" s="1" t="s">
        <v>12</v>
      </c>
      <c r="Q45">
        <f>SUM(Q44:Q44)</f>
        <v>0</v>
      </c>
    </row>
    <row r="46" spans="2:22" x14ac:dyDescent="0.25">
      <c r="B46" s="13">
        <v>7690</v>
      </c>
      <c r="C46" s="4">
        <v>0.14000000000000001</v>
      </c>
      <c r="D46" s="4" t="s">
        <v>35</v>
      </c>
      <c r="E46" s="16" t="s">
        <v>43</v>
      </c>
      <c r="F46" s="30" t="s">
        <v>44</v>
      </c>
      <c r="G46" s="30" t="s">
        <v>28</v>
      </c>
      <c r="H46" s="30" t="s">
        <v>45</v>
      </c>
      <c r="I46" s="14" t="s">
        <v>370</v>
      </c>
      <c r="J46" s="14" t="s">
        <v>396</v>
      </c>
      <c r="K46" s="14" t="s">
        <v>422</v>
      </c>
      <c r="L46" s="14" t="s">
        <v>446</v>
      </c>
      <c r="M46" s="14" t="s">
        <v>472</v>
      </c>
      <c r="N46" s="14" t="s">
        <v>422</v>
      </c>
      <c r="O46" s="14" t="s">
        <v>370</v>
      </c>
      <c r="P46" s="14" t="s">
        <v>422</v>
      </c>
      <c r="Q46" s="12"/>
      <c r="R46" s="17">
        <f>Q47 * 17.92</f>
        <v>0</v>
      </c>
      <c r="S46" s="18"/>
      <c r="T46" s="18"/>
      <c r="U46" s="18"/>
      <c r="V46" s="19"/>
    </row>
    <row r="47" spans="2:22" x14ac:dyDescent="0.25">
      <c r="G47" s="1" t="s">
        <v>12</v>
      </c>
      <c r="Q47">
        <f>SUM(Q46:Q46)</f>
        <v>0</v>
      </c>
    </row>
    <row r="48" spans="2:22" x14ac:dyDescent="0.25">
      <c r="B48" s="13">
        <v>10272</v>
      </c>
      <c r="C48" s="4">
        <v>0.71</v>
      </c>
      <c r="D48" s="4"/>
      <c r="E48" s="16" t="s">
        <v>46</v>
      </c>
      <c r="F48" s="30" t="s">
        <v>47</v>
      </c>
      <c r="G48" s="30" t="s">
        <v>28</v>
      </c>
      <c r="H48" s="30" t="s">
        <v>48</v>
      </c>
      <c r="I48" s="14" t="s">
        <v>371</v>
      </c>
      <c r="J48" s="14" t="s">
        <v>397</v>
      </c>
      <c r="K48" s="14" t="s">
        <v>423</v>
      </c>
      <c r="L48" s="14" t="s">
        <v>447</v>
      </c>
      <c r="M48" s="14" t="s">
        <v>473</v>
      </c>
      <c r="N48" s="14" t="s">
        <v>423</v>
      </c>
      <c r="O48" s="14" t="s">
        <v>371</v>
      </c>
      <c r="P48" s="14" t="s">
        <v>423</v>
      </c>
      <c r="Q48" s="12"/>
      <c r="R48" s="17">
        <f>Q49 * 85.72</f>
        <v>0</v>
      </c>
      <c r="S48" s="18"/>
      <c r="T48" s="18"/>
      <c r="U48" s="18"/>
      <c r="V48" s="19"/>
    </row>
    <row r="49" spans="2:22" x14ac:dyDescent="0.25">
      <c r="G49" s="1" t="s">
        <v>12</v>
      </c>
      <c r="Q49">
        <f>SUM(Q48:Q48)</f>
        <v>0</v>
      </c>
    </row>
    <row r="50" spans="2:22" x14ac:dyDescent="0.25">
      <c r="B50" s="13">
        <v>10273</v>
      </c>
      <c r="C50" s="4">
        <v>0.61</v>
      </c>
      <c r="D50" s="4"/>
      <c r="E50" s="16" t="s">
        <v>49</v>
      </c>
      <c r="F50" s="30" t="s">
        <v>47</v>
      </c>
      <c r="G50" s="30" t="s">
        <v>28</v>
      </c>
      <c r="H50" s="30" t="s">
        <v>48</v>
      </c>
      <c r="I50" s="14" t="s">
        <v>371</v>
      </c>
      <c r="J50" s="14" t="s">
        <v>397</v>
      </c>
      <c r="K50" s="14" t="s">
        <v>423</v>
      </c>
      <c r="L50" s="14" t="s">
        <v>447</v>
      </c>
      <c r="M50" s="14" t="s">
        <v>473</v>
      </c>
      <c r="N50" s="14" t="s">
        <v>423</v>
      </c>
      <c r="O50" s="14" t="s">
        <v>371</v>
      </c>
      <c r="P50" s="14" t="s">
        <v>423</v>
      </c>
      <c r="Q50" s="12"/>
      <c r="R50" s="17">
        <f>Q51 * 85.72</f>
        <v>0</v>
      </c>
      <c r="S50" s="18"/>
      <c r="T50" s="18"/>
      <c r="U50" s="18"/>
      <c r="V50" s="19"/>
    </row>
    <row r="51" spans="2:22" x14ac:dyDescent="0.25">
      <c r="G51" s="1" t="s">
        <v>12</v>
      </c>
      <c r="Q51">
        <f>SUM(Q50:Q50)</f>
        <v>0</v>
      </c>
    </row>
    <row r="52" spans="2:22" x14ac:dyDescent="0.25">
      <c r="B52" s="13">
        <v>7655</v>
      </c>
      <c r="C52" s="4">
        <v>0.185</v>
      </c>
      <c r="D52" s="4" t="s">
        <v>51</v>
      </c>
      <c r="E52" s="24" t="s">
        <v>52</v>
      </c>
      <c r="F52" s="27" t="s">
        <v>53</v>
      </c>
      <c r="G52" s="27" t="s">
        <v>28</v>
      </c>
      <c r="H52" s="30" t="s">
        <v>54</v>
      </c>
      <c r="I52" s="30" t="s">
        <v>372</v>
      </c>
      <c r="J52" s="30" t="s">
        <v>398</v>
      </c>
      <c r="K52" s="30" t="s">
        <v>424</v>
      </c>
      <c r="L52" s="30" t="s">
        <v>448</v>
      </c>
      <c r="M52" s="30" t="s">
        <v>474</v>
      </c>
      <c r="N52" s="30" t="s">
        <v>424</v>
      </c>
      <c r="O52" s="30" t="s">
        <v>372</v>
      </c>
      <c r="P52" s="30" t="s">
        <v>424</v>
      </c>
      <c r="Q52" s="12"/>
      <c r="R52" s="31">
        <f>Q55 * 80.37</f>
        <v>0</v>
      </c>
      <c r="S52" s="18"/>
      <c r="T52" s="18"/>
      <c r="U52" s="18"/>
      <c r="V52" s="19"/>
    </row>
    <row r="53" spans="2:22" x14ac:dyDescent="0.25">
      <c r="B53" s="13">
        <v>7657</v>
      </c>
      <c r="C53" s="4">
        <v>0.19</v>
      </c>
      <c r="D53" s="4" t="s">
        <v>55</v>
      </c>
      <c r="E53" s="25"/>
      <c r="F53" s="28"/>
      <c r="G53" s="28"/>
      <c r="H53" s="30"/>
      <c r="I53" s="30"/>
      <c r="J53" s="30"/>
      <c r="K53" s="30"/>
      <c r="L53" s="30"/>
      <c r="M53" s="30"/>
      <c r="N53" s="30"/>
      <c r="O53" s="30"/>
      <c r="P53" s="30"/>
      <c r="Q53" s="12"/>
      <c r="R53" s="32"/>
      <c r="S53" s="20"/>
      <c r="T53" s="20"/>
      <c r="U53" s="20"/>
      <c r="V53" s="21"/>
    </row>
    <row r="54" spans="2:22" x14ac:dyDescent="0.25">
      <c r="B54" s="13">
        <v>8966</v>
      </c>
      <c r="C54" s="4">
        <v>0.19</v>
      </c>
      <c r="D54" s="4" t="s">
        <v>56</v>
      </c>
      <c r="E54" s="26"/>
      <c r="F54" s="29"/>
      <c r="G54" s="29"/>
      <c r="H54" s="30"/>
      <c r="I54" s="30"/>
      <c r="J54" s="30"/>
      <c r="K54" s="30"/>
      <c r="L54" s="30"/>
      <c r="M54" s="30"/>
      <c r="N54" s="30"/>
      <c r="O54" s="30"/>
      <c r="P54" s="30"/>
      <c r="Q54" s="12"/>
      <c r="R54" s="33"/>
      <c r="S54" s="20"/>
      <c r="T54" s="20"/>
      <c r="U54" s="20"/>
      <c r="V54" s="21"/>
    </row>
    <row r="55" spans="2:22" x14ac:dyDescent="0.25">
      <c r="G55" s="1" t="s">
        <v>12</v>
      </c>
      <c r="Q55">
        <f>SUM(Q52:Q54)</f>
        <v>0</v>
      </c>
    </row>
    <row r="56" spans="2:22" x14ac:dyDescent="0.25">
      <c r="B56" s="13">
        <v>6736</v>
      </c>
      <c r="C56" s="4">
        <v>0.86</v>
      </c>
      <c r="D56" s="4" t="s">
        <v>57</v>
      </c>
      <c r="E56" s="16" t="s">
        <v>58</v>
      </c>
      <c r="F56" s="30" t="s">
        <v>59</v>
      </c>
      <c r="G56" s="30" t="s">
        <v>28</v>
      </c>
      <c r="H56" s="30" t="s">
        <v>60</v>
      </c>
      <c r="I56" s="14" t="s">
        <v>373</v>
      </c>
      <c r="J56" s="14" t="s">
        <v>399</v>
      </c>
      <c r="K56" s="14" t="s">
        <v>425</v>
      </c>
      <c r="L56" s="14" t="s">
        <v>449</v>
      </c>
      <c r="M56" s="14" t="s">
        <v>475</v>
      </c>
      <c r="N56" s="14" t="s">
        <v>425</v>
      </c>
      <c r="O56" s="14" t="s">
        <v>373</v>
      </c>
      <c r="P56" s="14" t="s">
        <v>425</v>
      </c>
      <c r="Q56" s="12"/>
      <c r="R56" s="17">
        <f>Q57 * 38.29</f>
        <v>0</v>
      </c>
      <c r="S56" s="18"/>
      <c r="T56" s="18"/>
      <c r="U56" s="18"/>
      <c r="V56" s="19"/>
    </row>
    <row r="57" spans="2:22" x14ac:dyDescent="0.25">
      <c r="G57" s="1" t="s">
        <v>12</v>
      </c>
      <c r="Q57">
        <f>SUM(Q56:Q56)</f>
        <v>0</v>
      </c>
    </row>
    <row r="58" spans="2:22" x14ac:dyDescent="0.25">
      <c r="B58" s="13">
        <v>5973</v>
      </c>
      <c r="C58" s="4">
        <v>0.48</v>
      </c>
      <c r="D58" s="4"/>
      <c r="E58" s="16" t="s">
        <v>61</v>
      </c>
      <c r="F58" s="30" t="s">
        <v>62</v>
      </c>
      <c r="G58" s="30" t="s">
        <v>28</v>
      </c>
      <c r="H58" s="30" t="s">
        <v>63</v>
      </c>
      <c r="I58" s="14" t="s">
        <v>374</v>
      </c>
      <c r="J58" s="14" t="s">
        <v>400</v>
      </c>
      <c r="K58" s="14" t="s">
        <v>426</v>
      </c>
      <c r="L58" s="14" t="s">
        <v>450</v>
      </c>
      <c r="M58" s="14" t="s">
        <v>476</v>
      </c>
      <c r="N58" s="14" t="s">
        <v>426</v>
      </c>
      <c r="O58" s="14" t="s">
        <v>374</v>
      </c>
      <c r="P58" s="14" t="s">
        <v>426</v>
      </c>
      <c r="Q58" s="12"/>
      <c r="R58" s="17">
        <f>Q59 * 64.7</f>
        <v>0</v>
      </c>
      <c r="S58" s="18"/>
      <c r="T58" s="18"/>
      <c r="U58" s="18"/>
      <c r="V58" s="19"/>
    </row>
    <row r="59" spans="2:22" x14ac:dyDescent="0.25">
      <c r="G59" s="1" t="s">
        <v>12</v>
      </c>
      <c r="Q59">
        <f>SUM(Q58:Q58)</f>
        <v>0</v>
      </c>
    </row>
    <row r="60" spans="2:22" x14ac:dyDescent="0.25">
      <c r="B60" s="13">
        <v>5979</v>
      </c>
      <c r="C60" s="4">
        <v>0.45</v>
      </c>
      <c r="D60" s="4"/>
      <c r="E60" s="16" t="s">
        <v>64</v>
      </c>
      <c r="F60" s="30" t="s">
        <v>62</v>
      </c>
      <c r="G60" s="30" t="s">
        <v>28</v>
      </c>
      <c r="H60" s="30" t="s">
        <v>63</v>
      </c>
      <c r="I60" s="14" t="s">
        <v>374</v>
      </c>
      <c r="J60" s="14" t="s">
        <v>400</v>
      </c>
      <c r="K60" s="14" t="s">
        <v>426</v>
      </c>
      <c r="L60" s="14" t="s">
        <v>450</v>
      </c>
      <c r="M60" s="14" t="s">
        <v>476</v>
      </c>
      <c r="N60" s="14" t="s">
        <v>426</v>
      </c>
      <c r="O60" s="14" t="s">
        <v>374</v>
      </c>
      <c r="P60" s="14" t="s">
        <v>426</v>
      </c>
      <c r="Q60" s="12"/>
      <c r="R60" s="17">
        <f>Q61 * 64.7</f>
        <v>0</v>
      </c>
      <c r="S60" s="18"/>
      <c r="T60" s="18"/>
      <c r="U60" s="18"/>
      <c r="V60" s="19"/>
    </row>
    <row r="61" spans="2:22" x14ac:dyDescent="0.25">
      <c r="G61" s="1" t="s">
        <v>12</v>
      </c>
      <c r="Q61">
        <f>SUM(Q60:Q60)</f>
        <v>0</v>
      </c>
    </row>
    <row r="62" spans="2:22" x14ac:dyDescent="0.25">
      <c r="B62" s="13">
        <v>6041</v>
      </c>
      <c r="C62" s="4">
        <v>0.48</v>
      </c>
      <c r="D62" s="4" t="s">
        <v>65</v>
      </c>
      <c r="E62" s="16" t="s">
        <v>66</v>
      </c>
      <c r="F62" s="30" t="s">
        <v>62</v>
      </c>
      <c r="G62" s="30" t="s">
        <v>28</v>
      </c>
      <c r="H62" s="30" t="s">
        <v>63</v>
      </c>
      <c r="I62" s="14" t="s">
        <v>374</v>
      </c>
      <c r="J62" s="14" t="s">
        <v>400</v>
      </c>
      <c r="K62" s="14" t="s">
        <v>426</v>
      </c>
      <c r="L62" s="14" t="s">
        <v>450</v>
      </c>
      <c r="M62" s="14" t="s">
        <v>476</v>
      </c>
      <c r="N62" s="14" t="s">
        <v>426</v>
      </c>
      <c r="O62" s="14" t="s">
        <v>374</v>
      </c>
      <c r="P62" s="14" t="s">
        <v>426</v>
      </c>
      <c r="Q62" s="12"/>
      <c r="R62" s="17">
        <f>Q63 * 64.7</f>
        <v>0</v>
      </c>
      <c r="S62" s="18"/>
      <c r="T62" s="18"/>
      <c r="U62" s="18"/>
      <c r="V62" s="19"/>
    </row>
    <row r="63" spans="2:22" x14ac:dyDescent="0.25">
      <c r="G63" s="1" t="s">
        <v>12</v>
      </c>
      <c r="Q63">
        <f>SUM(Q62:Q62)</f>
        <v>0</v>
      </c>
    </row>
    <row r="64" spans="2:22" x14ac:dyDescent="0.25">
      <c r="B64" s="13">
        <v>6730</v>
      </c>
      <c r="C64" s="4">
        <v>0.84</v>
      </c>
      <c r="D64" s="4"/>
      <c r="E64" s="16" t="s">
        <v>67</v>
      </c>
      <c r="F64" s="30" t="s">
        <v>68</v>
      </c>
      <c r="G64" s="30" t="s">
        <v>28</v>
      </c>
      <c r="H64" s="30" t="s">
        <v>69</v>
      </c>
      <c r="I64" s="14" t="s">
        <v>375</v>
      </c>
      <c r="J64" s="14" t="s">
        <v>401</v>
      </c>
      <c r="K64" s="14" t="s">
        <v>427</v>
      </c>
      <c r="L64" s="14" t="s">
        <v>451</v>
      </c>
      <c r="M64" s="14" t="s">
        <v>477</v>
      </c>
      <c r="N64" s="14" t="s">
        <v>427</v>
      </c>
      <c r="O64" s="14" t="s">
        <v>375</v>
      </c>
      <c r="P64" s="14" t="s">
        <v>427</v>
      </c>
      <c r="Q64" s="12"/>
      <c r="R64" s="17">
        <f>Q65 * 116.93</f>
        <v>0</v>
      </c>
      <c r="S64" s="18"/>
      <c r="T64" s="18"/>
      <c r="U64" s="18"/>
      <c r="V64" s="19"/>
    </row>
    <row r="65" spans="2:22" x14ac:dyDescent="0.25">
      <c r="G65" s="1" t="s">
        <v>12</v>
      </c>
      <c r="Q65">
        <f>SUM(Q64:Q64)</f>
        <v>0</v>
      </c>
    </row>
    <row r="66" spans="2:22" x14ac:dyDescent="0.25">
      <c r="B66" s="13">
        <v>8012</v>
      </c>
      <c r="C66" s="4">
        <v>0.52</v>
      </c>
      <c r="D66" s="4"/>
      <c r="E66" s="16" t="s">
        <v>70</v>
      </c>
      <c r="F66" s="30" t="s">
        <v>71</v>
      </c>
      <c r="G66" s="30" t="s">
        <v>28</v>
      </c>
      <c r="H66" s="30" t="s">
        <v>72</v>
      </c>
      <c r="I66" s="14" t="s">
        <v>376</v>
      </c>
      <c r="J66" s="14" t="s">
        <v>402</v>
      </c>
      <c r="K66" s="14" t="s">
        <v>428</v>
      </c>
      <c r="L66" s="14" t="s">
        <v>452</v>
      </c>
      <c r="M66" s="14" t="s">
        <v>478</v>
      </c>
      <c r="N66" s="14" t="s">
        <v>428</v>
      </c>
      <c r="O66" s="14" t="s">
        <v>376</v>
      </c>
      <c r="P66" s="14" t="s">
        <v>428</v>
      </c>
      <c r="Q66" s="12"/>
      <c r="R66" s="17">
        <f>Q67 * 72.27</f>
        <v>0</v>
      </c>
      <c r="S66" s="18"/>
      <c r="T66" s="18"/>
      <c r="U66" s="18"/>
      <c r="V66" s="19"/>
    </row>
    <row r="67" spans="2:22" x14ac:dyDescent="0.25">
      <c r="G67" s="1" t="s">
        <v>12</v>
      </c>
      <c r="Q67">
        <f>SUM(Q66:Q66)</f>
        <v>0</v>
      </c>
    </row>
    <row r="68" spans="2:22" x14ac:dyDescent="0.25">
      <c r="B68" s="13">
        <v>7652</v>
      </c>
      <c r="C68" s="4">
        <v>0.55000000000000004</v>
      </c>
      <c r="D68" s="4"/>
      <c r="E68" s="16" t="s">
        <v>73</v>
      </c>
      <c r="F68" s="30" t="s">
        <v>74</v>
      </c>
      <c r="G68" s="30" t="s">
        <v>28</v>
      </c>
      <c r="H68" s="30" t="s">
        <v>75</v>
      </c>
      <c r="I68" s="14" t="s">
        <v>377</v>
      </c>
      <c r="J68" s="14" t="s">
        <v>403</v>
      </c>
      <c r="K68" s="14" t="s">
        <v>429</v>
      </c>
      <c r="L68" s="14" t="s">
        <v>453</v>
      </c>
      <c r="M68" s="14" t="s">
        <v>479</v>
      </c>
      <c r="N68" s="14" t="s">
        <v>429</v>
      </c>
      <c r="O68" s="14" t="s">
        <v>377</v>
      </c>
      <c r="P68" s="14" t="s">
        <v>429</v>
      </c>
      <c r="Q68" s="12"/>
      <c r="R68" s="17">
        <f>Q69 * 74.75</f>
        <v>0</v>
      </c>
      <c r="S68" s="18"/>
      <c r="T68" s="18"/>
      <c r="U68" s="18"/>
      <c r="V68" s="19"/>
    </row>
    <row r="69" spans="2:22" x14ac:dyDescent="0.25">
      <c r="G69" s="1" t="s">
        <v>12</v>
      </c>
      <c r="Q69">
        <f>SUM(Q68:Q68)</f>
        <v>0</v>
      </c>
    </row>
    <row r="70" spans="2:22" x14ac:dyDescent="0.25">
      <c r="B70" s="13">
        <v>8014</v>
      </c>
      <c r="C70" s="4">
        <v>0.88</v>
      </c>
      <c r="D70" s="4" t="s">
        <v>76</v>
      </c>
      <c r="E70" s="24" t="s">
        <v>77</v>
      </c>
      <c r="F70" s="27" t="s">
        <v>78</v>
      </c>
      <c r="G70" s="27" t="s">
        <v>28</v>
      </c>
      <c r="H70" s="30" t="s">
        <v>79</v>
      </c>
      <c r="I70" s="30" t="s">
        <v>378</v>
      </c>
      <c r="J70" s="30" t="s">
        <v>404</v>
      </c>
      <c r="K70" s="30" t="s">
        <v>430</v>
      </c>
      <c r="L70" s="30" t="s">
        <v>454</v>
      </c>
      <c r="M70" s="30" t="s">
        <v>480</v>
      </c>
      <c r="N70" s="30" t="s">
        <v>430</v>
      </c>
      <c r="O70" s="30" t="s">
        <v>378</v>
      </c>
      <c r="P70" s="30" t="s">
        <v>430</v>
      </c>
      <c r="Q70" s="12"/>
      <c r="R70" s="31">
        <f>Q72 * 17.76</f>
        <v>0</v>
      </c>
      <c r="S70" s="18"/>
      <c r="T70" s="18"/>
      <c r="U70" s="18"/>
      <c r="V70" s="19"/>
    </row>
    <row r="71" spans="2:22" x14ac:dyDescent="0.25">
      <c r="B71" s="13">
        <v>8015</v>
      </c>
      <c r="C71" s="4">
        <v>0.87</v>
      </c>
      <c r="D71" s="4" t="s">
        <v>80</v>
      </c>
      <c r="E71" s="26"/>
      <c r="F71" s="29"/>
      <c r="G71" s="29"/>
      <c r="H71" s="30"/>
      <c r="I71" s="30"/>
      <c r="J71" s="30"/>
      <c r="K71" s="30"/>
      <c r="L71" s="30"/>
      <c r="M71" s="30"/>
      <c r="N71" s="30"/>
      <c r="O71" s="30"/>
      <c r="P71" s="30"/>
      <c r="Q71" s="12"/>
      <c r="R71" s="33"/>
      <c r="S71" s="20"/>
      <c r="T71" s="20"/>
      <c r="U71" s="20"/>
      <c r="V71" s="21"/>
    </row>
    <row r="72" spans="2:22" x14ac:dyDescent="0.25">
      <c r="G72" s="1" t="s">
        <v>12</v>
      </c>
      <c r="Q72">
        <f>SUM(Q70:Q71)</f>
        <v>0</v>
      </c>
    </row>
    <row r="73" spans="2:22" x14ac:dyDescent="0.25">
      <c r="B73" s="13">
        <v>8967</v>
      </c>
      <c r="C73" s="4">
        <v>0.65</v>
      </c>
      <c r="D73" s="4"/>
      <c r="E73" s="16" t="s">
        <v>81</v>
      </c>
      <c r="F73" s="30" t="s">
        <v>82</v>
      </c>
      <c r="G73" s="30" t="s">
        <v>28</v>
      </c>
      <c r="H73" s="30" t="s">
        <v>83</v>
      </c>
      <c r="I73" s="14" t="s">
        <v>379</v>
      </c>
      <c r="J73" s="14" t="s">
        <v>405</v>
      </c>
      <c r="K73" s="14" t="s">
        <v>431</v>
      </c>
      <c r="L73" s="14" t="s">
        <v>455</v>
      </c>
      <c r="M73" s="14" t="s">
        <v>481</v>
      </c>
      <c r="N73" s="14" t="s">
        <v>431</v>
      </c>
      <c r="O73" s="14" t="s">
        <v>379</v>
      </c>
      <c r="P73" s="14" t="s">
        <v>431</v>
      </c>
      <c r="Q73" s="12"/>
      <c r="R73" s="17">
        <f>Q74 * 73.99</f>
        <v>0</v>
      </c>
      <c r="S73" s="18"/>
      <c r="T73" s="18"/>
      <c r="U73" s="18"/>
      <c r="V73" s="19"/>
    </row>
    <row r="74" spans="2:22" x14ac:dyDescent="0.25">
      <c r="G74" s="1" t="s">
        <v>12</v>
      </c>
      <c r="Q74">
        <f>SUM(Q73:Q73)</f>
        <v>0</v>
      </c>
    </row>
    <row r="75" spans="2:22" x14ac:dyDescent="0.25">
      <c r="B75" s="13">
        <v>8968</v>
      </c>
      <c r="C75" s="4">
        <v>0.65</v>
      </c>
      <c r="D75" s="4"/>
      <c r="E75" s="16" t="s">
        <v>84</v>
      </c>
      <c r="F75" s="30" t="s">
        <v>85</v>
      </c>
      <c r="G75" s="30" t="s">
        <v>28</v>
      </c>
      <c r="H75" s="30" t="s">
        <v>86</v>
      </c>
      <c r="I75" s="14" t="s">
        <v>380</v>
      </c>
      <c r="J75" s="14" t="s">
        <v>406</v>
      </c>
      <c r="K75" s="14" t="s">
        <v>432</v>
      </c>
      <c r="L75" s="14" t="s">
        <v>456</v>
      </c>
      <c r="M75" s="14" t="s">
        <v>482</v>
      </c>
      <c r="N75" s="14" t="s">
        <v>432</v>
      </c>
      <c r="O75" s="14" t="s">
        <v>380</v>
      </c>
      <c r="P75" s="14" t="s">
        <v>432</v>
      </c>
      <c r="Q75" s="12"/>
      <c r="R75" s="17">
        <f>Q76 * 80.41</f>
        <v>0</v>
      </c>
      <c r="S75" s="18"/>
      <c r="T75" s="18"/>
      <c r="U75" s="18"/>
      <c r="V75" s="19"/>
    </row>
    <row r="76" spans="2:22" x14ac:dyDescent="0.25">
      <c r="G76" s="1" t="s">
        <v>12</v>
      </c>
      <c r="Q76">
        <f>SUM(Q75:Q75)</f>
        <v>0</v>
      </c>
    </row>
    <row r="77" spans="2:22" x14ac:dyDescent="0.25">
      <c r="B77" s="13">
        <v>7647</v>
      </c>
      <c r="C77" s="4">
        <v>0.52</v>
      </c>
      <c r="D77" s="4"/>
      <c r="E77" s="16" t="s">
        <v>87</v>
      </c>
      <c r="F77" s="30" t="s">
        <v>88</v>
      </c>
      <c r="G77" s="30" t="s">
        <v>28</v>
      </c>
      <c r="H77" s="30" t="s">
        <v>89</v>
      </c>
      <c r="I77" s="14" t="s">
        <v>381</v>
      </c>
      <c r="J77" s="14" t="s">
        <v>407</v>
      </c>
      <c r="K77" s="14" t="s">
        <v>433</v>
      </c>
      <c r="L77" s="14" t="s">
        <v>457</v>
      </c>
      <c r="M77" s="14" t="s">
        <v>483</v>
      </c>
      <c r="N77" s="14" t="s">
        <v>433</v>
      </c>
      <c r="O77" s="14" t="s">
        <v>381</v>
      </c>
      <c r="P77" s="14" t="s">
        <v>433</v>
      </c>
      <c r="Q77" s="12"/>
      <c r="R77" s="17">
        <f>Q78 * 70.52</f>
        <v>0</v>
      </c>
      <c r="S77" s="18"/>
      <c r="T77" s="18"/>
      <c r="U77" s="18"/>
      <c r="V77" s="19"/>
    </row>
    <row r="78" spans="2:22" x14ac:dyDescent="0.25">
      <c r="G78" s="1" t="s">
        <v>12</v>
      </c>
      <c r="Q78">
        <f>SUM(Q77:Q77)</f>
        <v>0</v>
      </c>
    </row>
    <row r="79" spans="2:22" x14ac:dyDescent="0.25">
      <c r="B79" s="13">
        <v>7648</v>
      </c>
      <c r="C79" s="4">
        <v>0.57999999999999996</v>
      </c>
      <c r="D79" s="4"/>
      <c r="E79" s="16" t="s">
        <v>90</v>
      </c>
      <c r="F79" s="30" t="s">
        <v>71</v>
      </c>
      <c r="G79" s="30" t="s">
        <v>28</v>
      </c>
      <c r="H79" s="30" t="s">
        <v>72</v>
      </c>
      <c r="I79" s="14" t="s">
        <v>376</v>
      </c>
      <c r="J79" s="14" t="s">
        <v>402</v>
      </c>
      <c r="K79" s="14" t="s">
        <v>428</v>
      </c>
      <c r="L79" s="14" t="s">
        <v>452</v>
      </c>
      <c r="M79" s="14" t="s">
        <v>478</v>
      </c>
      <c r="N79" s="14" t="s">
        <v>428</v>
      </c>
      <c r="O79" s="14" t="s">
        <v>376</v>
      </c>
      <c r="P79" s="14" t="s">
        <v>428</v>
      </c>
      <c r="Q79" s="12"/>
      <c r="R79" s="17">
        <f>Q80 * 72.27</f>
        <v>0</v>
      </c>
      <c r="S79" s="18"/>
      <c r="T79" s="18"/>
      <c r="U79" s="18"/>
      <c r="V79" s="19"/>
    </row>
    <row r="80" spans="2:22" x14ac:dyDescent="0.25">
      <c r="G80" s="1" t="s">
        <v>12</v>
      </c>
      <c r="Q80">
        <f>SUM(Q79:Q79)</f>
        <v>0</v>
      </c>
    </row>
    <row r="81" spans="2:22" x14ac:dyDescent="0.25">
      <c r="B81" s="13">
        <v>7645</v>
      </c>
      <c r="C81" s="4">
        <v>0.56000000000000005</v>
      </c>
      <c r="D81" s="4"/>
      <c r="E81" s="16" t="s">
        <v>91</v>
      </c>
      <c r="F81" s="30" t="s">
        <v>92</v>
      </c>
      <c r="G81" s="30" t="s">
        <v>28</v>
      </c>
      <c r="H81" s="30" t="s">
        <v>93</v>
      </c>
      <c r="I81" s="14" t="s">
        <v>382</v>
      </c>
      <c r="J81" s="14" t="s">
        <v>408</v>
      </c>
      <c r="K81" s="14" t="s">
        <v>434</v>
      </c>
      <c r="L81" s="14" t="s">
        <v>458</v>
      </c>
      <c r="M81" s="14" t="s">
        <v>484</v>
      </c>
      <c r="N81" s="14" t="s">
        <v>434</v>
      </c>
      <c r="O81" s="14" t="s">
        <v>382</v>
      </c>
      <c r="P81" s="14" t="s">
        <v>434</v>
      </c>
      <c r="Q81" s="12"/>
      <c r="R81" s="17">
        <f>Q82 * 76.94</f>
        <v>0</v>
      </c>
      <c r="S81" s="18"/>
      <c r="T81" s="18"/>
      <c r="U81" s="18"/>
      <c r="V81" s="19"/>
    </row>
    <row r="82" spans="2:22" x14ac:dyDescent="0.25">
      <c r="G82" s="1" t="s">
        <v>12</v>
      </c>
      <c r="Q82">
        <f>SUM(Q81:Q81)</f>
        <v>0</v>
      </c>
    </row>
    <row r="83" spans="2:22" x14ac:dyDescent="0.25">
      <c r="B83" s="13">
        <v>10271</v>
      </c>
      <c r="C83" s="4">
        <v>0.23499999999999999</v>
      </c>
      <c r="D83" s="4"/>
      <c r="E83" s="16" t="s">
        <v>94</v>
      </c>
      <c r="F83" s="30" t="s">
        <v>95</v>
      </c>
      <c r="G83" s="30" t="s">
        <v>28</v>
      </c>
      <c r="H83" s="30" t="s">
        <v>96</v>
      </c>
      <c r="I83" s="14" t="s">
        <v>383</v>
      </c>
      <c r="J83" s="14" t="s">
        <v>409</v>
      </c>
      <c r="K83" s="14" t="s">
        <v>435</v>
      </c>
      <c r="L83" s="14" t="s">
        <v>459</v>
      </c>
      <c r="M83" s="14" t="s">
        <v>485</v>
      </c>
      <c r="N83" s="14" t="s">
        <v>435</v>
      </c>
      <c r="O83" s="14" t="s">
        <v>383</v>
      </c>
      <c r="P83" s="14" t="s">
        <v>435</v>
      </c>
      <c r="Q83" s="12"/>
      <c r="R83" s="17">
        <f>Q84 * 115.84</f>
        <v>0</v>
      </c>
      <c r="S83" s="18"/>
      <c r="T83" s="18"/>
      <c r="U83" s="18"/>
      <c r="V83" s="19"/>
    </row>
    <row r="84" spans="2:22" x14ac:dyDescent="0.25">
      <c r="G84" s="1" t="s">
        <v>12</v>
      </c>
      <c r="Q84">
        <f>SUM(Q83:Q83)</f>
        <v>0</v>
      </c>
    </row>
    <row r="85" spans="2:22" x14ac:dyDescent="0.25">
      <c r="B85" s="13">
        <v>10468</v>
      </c>
      <c r="C85" s="4">
        <v>0.63</v>
      </c>
      <c r="D85" s="4"/>
      <c r="E85" s="16" t="s">
        <v>97</v>
      </c>
      <c r="F85" s="30" t="s">
        <v>98</v>
      </c>
      <c r="G85" s="30" t="s">
        <v>28</v>
      </c>
      <c r="H85" s="30" t="s">
        <v>99</v>
      </c>
      <c r="I85" s="14" t="s">
        <v>384</v>
      </c>
      <c r="J85" s="14" t="s">
        <v>410</v>
      </c>
      <c r="K85" s="14" t="s">
        <v>287</v>
      </c>
      <c r="L85" s="14" t="s">
        <v>460</v>
      </c>
      <c r="M85" s="14" t="s">
        <v>486</v>
      </c>
      <c r="N85" s="14" t="s">
        <v>287</v>
      </c>
      <c r="O85" s="14" t="s">
        <v>384</v>
      </c>
      <c r="P85" s="14" t="s">
        <v>287</v>
      </c>
      <c r="Q85" s="12"/>
      <c r="R85" s="17">
        <f>Q86 * 48.64</f>
        <v>0</v>
      </c>
      <c r="S85" s="18"/>
      <c r="T85" s="18"/>
      <c r="U85" s="18"/>
      <c r="V85" s="19"/>
    </row>
    <row r="86" spans="2:22" x14ac:dyDescent="0.25">
      <c r="G86" s="1" t="s">
        <v>12</v>
      </c>
      <c r="Q86">
        <f>SUM(Q85:Q85)</f>
        <v>0</v>
      </c>
    </row>
    <row r="87" spans="2:22" ht="26.25" x14ac:dyDescent="0.4">
      <c r="B87" s="11" t="s">
        <v>26</v>
      </c>
      <c r="C87" s="11" t="s">
        <v>100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22" x14ac:dyDescent="0.25">
      <c r="B88" s="13">
        <v>9097</v>
      </c>
      <c r="C88" s="4">
        <v>0.55000000000000004</v>
      </c>
      <c r="D88" s="4" t="s">
        <v>101</v>
      </c>
      <c r="E88" s="24" t="s">
        <v>102</v>
      </c>
      <c r="F88" s="27" t="s">
        <v>103</v>
      </c>
      <c r="G88" s="27" t="s">
        <v>28</v>
      </c>
      <c r="H88" s="30" t="s">
        <v>103</v>
      </c>
      <c r="I88" s="30" t="s">
        <v>103</v>
      </c>
      <c r="J88" s="30" t="s">
        <v>103</v>
      </c>
      <c r="K88" s="30" t="s">
        <v>103</v>
      </c>
      <c r="L88" s="30" t="s">
        <v>103</v>
      </c>
      <c r="M88" s="30" t="s">
        <v>103</v>
      </c>
      <c r="N88" s="30" t="s">
        <v>103</v>
      </c>
      <c r="O88" s="30" t="s">
        <v>103</v>
      </c>
      <c r="P88" s="30" t="s">
        <v>103</v>
      </c>
      <c r="Q88" s="12"/>
      <c r="R88" s="31">
        <f>Q90 * 8</f>
        <v>0</v>
      </c>
      <c r="S88" s="18"/>
      <c r="T88" s="18"/>
      <c r="U88" s="18"/>
      <c r="V88" s="19"/>
    </row>
    <row r="89" spans="2:22" x14ac:dyDescent="0.25">
      <c r="B89" s="13">
        <v>9098</v>
      </c>
      <c r="C89" s="4">
        <v>0.55000000000000004</v>
      </c>
      <c r="D89" s="4" t="s">
        <v>80</v>
      </c>
      <c r="E89" s="26"/>
      <c r="F89" s="29"/>
      <c r="G89" s="29"/>
      <c r="H89" s="30"/>
      <c r="I89" s="30"/>
      <c r="J89" s="30"/>
      <c r="K89" s="30"/>
      <c r="L89" s="30"/>
      <c r="M89" s="30"/>
      <c r="N89" s="30"/>
      <c r="O89" s="30"/>
      <c r="P89" s="30"/>
      <c r="Q89" s="12"/>
      <c r="R89" s="33"/>
      <c r="S89" s="20"/>
      <c r="T89" s="20"/>
      <c r="U89" s="20"/>
      <c r="V89" s="21"/>
    </row>
    <row r="90" spans="2:22" x14ac:dyDescent="0.25">
      <c r="G90" s="1" t="s">
        <v>12</v>
      </c>
      <c r="Q90">
        <f>SUM(Q88:Q89)</f>
        <v>0</v>
      </c>
    </row>
    <row r="91" spans="2:22" x14ac:dyDescent="0.25">
      <c r="B91" s="13">
        <v>8294</v>
      </c>
      <c r="C91" s="4">
        <v>0.47499999999999998</v>
      </c>
      <c r="D91" s="4" t="s">
        <v>80</v>
      </c>
      <c r="E91" s="24" t="s">
        <v>104</v>
      </c>
      <c r="F91" s="27" t="s">
        <v>105</v>
      </c>
      <c r="G91" s="27" t="s">
        <v>28</v>
      </c>
      <c r="H91" s="30" t="s">
        <v>105</v>
      </c>
      <c r="I91" s="30" t="s">
        <v>105</v>
      </c>
      <c r="J91" s="30" t="s">
        <v>105</v>
      </c>
      <c r="K91" s="30" t="s">
        <v>105</v>
      </c>
      <c r="L91" s="30" t="s">
        <v>105</v>
      </c>
      <c r="M91" s="30" t="s">
        <v>105</v>
      </c>
      <c r="N91" s="30" t="s">
        <v>105</v>
      </c>
      <c r="O91" s="30" t="s">
        <v>105</v>
      </c>
      <c r="P91" s="30" t="s">
        <v>105</v>
      </c>
      <c r="Q91" s="12"/>
      <c r="R91" s="31">
        <f>Q94 * 10.44</f>
        <v>0</v>
      </c>
      <c r="S91" s="18"/>
      <c r="T91" s="18"/>
      <c r="U91" s="18"/>
      <c r="V91" s="19"/>
    </row>
    <row r="92" spans="2:22" x14ac:dyDescent="0.25">
      <c r="B92" s="13">
        <v>8296</v>
      </c>
      <c r="C92" s="4">
        <v>0.47499999999999998</v>
      </c>
      <c r="D92" s="4" t="s">
        <v>101</v>
      </c>
      <c r="E92" s="25"/>
      <c r="F92" s="28"/>
      <c r="G92" s="28"/>
      <c r="H92" s="30"/>
      <c r="I92" s="30"/>
      <c r="J92" s="30"/>
      <c r="K92" s="30"/>
      <c r="L92" s="30"/>
      <c r="M92" s="30"/>
      <c r="N92" s="30"/>
      <c r="O92" s="30"/>
      <c r="P92" s="30"/>
      <c r="Q92" s="12"/>
      <c r="R92" s="32"/>
      <c r="S92" s="20"/>
      <c r="T92" s="20"/>
      <c r="U92" s="20"/>
      <c r="V92" s="21"/>
    </row>
    <row r="93" spans="2:22" x14ac:dyDescent="0.25">
      <c r="B93" s="13">
        <v>8298</v>
      </c>
      <c r="C93" s="4">
        <v>0.47499999999999998</v>
      </c>
      <c r="D93" s="4" t="s">
        <v>106</v>
      </c>
      <c r="E93" s="26"/>
      <c r="F93" s="29"/>
      <c r="G93" s="29"/>
      <c r="H93" s="30"/>
      <c r="I93" s="30"/>
      <c r="J93" s="30"/>
      <c r="K93" s="30"/>
      <c r="L93" s="30"/>
      <c r="M93" s="30"/>
      <c r="N93" s="30"/>
      <c r="O93" s="30"/>
      <c r="P93" s="30"/>
      <c r="Q93" s="12"/>
      <c r="R93" s="33"/>
      <c r="S93" s="20"/>
      <c r="T93" s="20"/>
      <c r="U93" s="20"/>
      <c r="V93" s="21"/>
    </row>
    <row r="94" spans="2:22" x14ac:dyDescent="0.25">
      <c r="G94" s="1" t="s">
        <v>12</v>
      </c>
      <c r="Q94">
        <f>SUM(Q91:Q93)</f>
        <v>0</v>
      </c>
    </row>
    <row r="95" spans="2:22" x14ac:dyDescent="0.25">
      <c r="B95" s="13">
        <v>8297</v>
      </c>
      <c r="C95" s="4">
        <v>0.47499999999999998</v>
      </c>
      <c r="D95" s="4"/>
      <c r="E95" s="16" t="s">
        <v>107</v>
      </c>
      <c r="F95" s="30" t="s">
        <v>105</v>
      </c>
      <c r="G95" s="30" t="s">
        <v>28</v>
      </c>
      <c r="H95" s="30" t="s">
        <v>105</v>
      </c>
      <c r="I95" s="14" t="s">
        <v>105</v>
      </c>
      <c r="J95" s="14" t="s">
        <v>105</v>
      </c>
      <c r="K95" s="14" t="s">
        <v>105</v>
      </c>
      <c r="L95" s="14" t="s">
        <v>105</v>
      </c>
      <c r="M95" s="14" t="s">
        <v>105</v>
      </c>
      <c r="N95" s="14" t="s">
        <v>105</v>
      </c>
      <c r="O95" s="14" t="s">
        <v>105</v>
      </c>
      <c r="P95" s="14" t="s">
        <v>105</v>
      </c>
      <c r="Q95" s="12"/>
      <c r="R95" s="17">
        <f>Q96 * 10.44</f>
        <v>0</v>
      </c>
      <c r="S95" s="18"/>
      <c r="T95" s="18"/>
      <c r="U95" s="18"/>
      <c r="V95" s="19"/>
    </row>
    <row r="96" spans="2:22" x14ac:dyDescent="0.25">
      <c r="G96" s="1" t="s">
        <v>12</v>
      </c>
      <c r="Q96">
        <f>SUM(Q95:Q95)</f>
        <v>0</v>
      </c>
    </row>
    <row r="97" spans="2:22" x14ac:dyDescent="0.25">
      <c r="B97" s="13">
        <v>9081</v>
      </c>
      <c r="C97" s="4">
        <v>0.5</v>
      </c>
      <c r="D97" s="4"/>
      <c r="E97" s="16" t="s">
        <v>108</v>
      </c>
      <c r="F97" s="30" t="s">
        <v>109</v>
      </c>
      <c r="G97" s="30" t="s">
        <v>28</v>
      </c>
      <c r="H97" s="30" t="s">
        <v>109</v>
      </c>
      <c r="I97" s="14" t="s">
        <v>109</v>
      </c>
      <c r="J97" s="14" t="s">
        <v>109</v>
      </c>
      <c r="K97" s="14" t="s">
        <v>109</v>
      </c>
      <c r="L97" s="14" t="s">
        <v>109</v>
      </c>
      <c r="M97" s="14" t="s">
        <v>109</v>
      </c>
      <c r="N97" s="14" t="s">
        <v>109</v>
      </c>
      <c r="O97" s="14" t="s">
        <v>109</v>
      </c>
      <c r="P97" s="14" t="s">
        <v>109</v>
      </c>
      <c r="Q97" s="12"/>
      <c r="R97" s="17">
        <f>Q98 * 7.86</f>
        <v>0</v>
      </c>
      <c r="S97" s="18"/>
      <c r="T97" s="18"/>
      <c r="U97" s="18"/>
      <c r="V97" s="19"/>
    </row>
    <row r="98" spans="2:22" x14ac:dyDescent="0.25">
      <c r="G98" s="1" t="s">
        <v>12</v>
      </c>
      <c r="Q98">
        <f>SUM(Q97:Q97)</f>
        <v>0</v>
      </c>
    </row>
    <row r="99" spans="2:22" x14ac:dyDescent="0.25">
      <c r="B99" s="13">
        <v>9105</v>
      </c>
      <c r="C99" s="4">
        <v>0.63</v>
      </c>
      <c r="D99" s="4" t="s">
        <v>110</v>
      </c>
      <c r="E99" s="16" t="s">
        <v>111</v>
      </c>
      <c r="F99" s="30" t="s">
        <v>112</v>
      </c>
      <c r="G99" s="30" t="s">
        <v>28</v>
      </c>
      <c r="H99" s="30" t="s">
        <v>112</v>
      </c>
      <c r="I99" s="14" t="s">
        <v>112</v>
      </c>
      <c r="J99" s="14" t="s">
        <v>112</v>
      </c>
      <c r="K99" s="14" t="s">
        <v>112</v>
      </c>
      <c r="L99" s="14" t="s">
        <v>112</v>
      </c>
      <c r="M99" s="14" t="s">
        <v>112</v>
      </c>
      <c r="N99" s="14" t="s">
        <v>112</v>
      </c>
      <c r="O99" s="14" t="s">
        <v>112</v>
      </c>
      <c r="P99" s="14" t="s">
        <v>112</v>
      </c>
      <c r="Q99" s="12"/>
      <c r="R99" s="17">
        <f>Q100 * 21.42</f>
        <v>0</v>
      </c>
      <c r="S99" s="18"/>
      <c r="T99" s="18"/>
      <c r="U99" s="18"/>
      <c r="V99" s="19"/>
    </row>
    <row r="100" spans="2:22" x14ac:dyDescent="0.25">
      <c r="G100" s="1" t="s">
        <v>12</v>
      </c>
      <c r="Q100">
        <f>SUM(Q99:Q99)</f>
        <v>0</v>
      </c>
    </row>
    <row r="101" spans="2:22" x14ac:dyDescent="0.25">
      <c r="B101" s="13">
        <v>8285</v>
      </c>
      <c r="C101" s="4">
        <v>0.56000000000000005</v>
      </c>
      <c r="D101" s="4" t="s">
        <v>113</v>
      </c>
      <c r="E101" s="16" t="s">
        <v>114</v>
      </c>
      <c r="F101" s="30" t="s">
        <v>115</v>
      </c>
      <c r="G101" s="30" t="s">
        <v>28</v>
      </c>
      <c r="H101" s="30" t="s">
        <v>115</v>
      </c>
      <c r="I101" s="14" t="s">
        <v>115</v>
      </c>
      <c r="J101" s="14" t="s">
        <v>115</v>
      </c>
      <c r="K101" s="14" t="s">
        <v>115</v>
      </c>
      <c r="L101" s="14" t="s">
        <v>115</v>
      </c>
      <c r="M101" s="14" t="s">
        <v>115</v>
      </c>
      <c r="N101" s="14" t="s">
        <v>115</v>
      </c>
      <c r="O101" s="14" t="s">
        <v>115</v>
      </c>
      <c r="P101" s="14" t="s">
        <v>115</v>
      </c>
      <c r="Q101" s="12"/>
      <c r="R101" s="17">
        <f>Q102 * 20.5</f>
        <v>0</v>
      </c>
      <c r="S101" s="18"/>
      <c r="T101" s="18"/>
      <c r="U101" s="18"/>
      <c r="V101" s="19"/>
    </row>
    <row r="102" spans="2:22" x14ac:dyDescent="0.25">
      <c r="G102" s="1" t="s">
        <v>12</v>
      </c>
      <c r="Q102">
        <f>SUM(Q101:Q101)</f>
        <v>0</v>
      </c>
    </row>
    <row r="103" spans="2:22" x14ac:dyDescent="0.25">
      <c r="B103" s="13">
        <v>9093</v>
      </c>
      <c r="C103" s="4">
        <v>0.56000000000000005</v>
      </c>
      <c r="D103" s="4" t="s">
        <v>110</v>
      </c>
      <c r="E103" s="24" t="s">
        <v>116</v>
      </c>
      <c r="F103" s="27" t="s">
        <v>117</v>
      </c>
      <c r="G103" s="27" t="s">
        <v>28</v>
      </c>
      <c r="H103" s="30" t="s">
        <v>117</v>
      </c>
      <c r="I103" s="30" t="s">
        <v>117</v>
      </c>
      <c r="J103" s="30" t="s">
        <v>117</v>
      </c>
      <c r="K103" s="30" t="s">
        <v>117</v>
      </c>
      <c r="L103" s="30" t="s">
        <v>117</v>
      </c>
      <c r="M103" s="30" t="s">
        <v>117</v>
      </c>
      <c r="N103" s="30" t="s">
        <v>117</v>
      </c>
      <c r="O103" s="30" t="s">
        <v>117</v>
      </c>
      <c r="P103" s="30" t="s">
        <v>117</v>
      </c>
      <c r="Q103" s="12"/>
      <c r="R103" s="31">
        <f>Q105 * 27.6</f>
        <v>0</v>
      </c>
      <c r="S103" s="18"/>
      <c r="T103" s="18"/>
      <c r="U103" s="18"/>
      <c r="V103" s="19"/>
    </row>
    <row r="104" spans="2:22" x14ac:dyDescent="0.25">
      <c r="B104" s="13">
        <v>9095</v>
      </c>
      <c r="C104" s="4">
        <v>0.56000000000000005</v>
      </c>
      <c r="D104" s="4" t="s">
        <v>113</v>
      </c>
      <c r="E104" s="26"/>
      <c r="F104" s="29"/>
      <c r="G104" s="29"/>
      <c r="H104" s="30"/>
      <c r="I104" s="30"/>
      <c r="J104" s="30"/>
      <c r="K104" s="30"/>
      <c r="L104" s="30"/>
      <c r="M104" s="30"/>
      <c r="N104" s="30"/>
      <c r="O104" s="30"/>
      <c r="P104" s="30"/>
      <c r="Q104" s="12"/>
      <c r="R104" s="33"/>
      <c r="S104" s="20"/>
      <c r="T104" s="20"/>
      <c r="U104" s="20"/>
      <c r="V104" s="21"/>
    </row>
    <row r="105" spans="2:22" x14ac:dyDescent="0.25">
      <c r="G105" s="1" t="s">
        <v>12</v>
      </c>
      <c r="Q105">
        <f>SUM(Q103:Q104)</f>
        <v>0</v>
      </c>
    </row>
    <row r="106" spans="2:22" x14ac:dyDescent="0.25">
      <c r="B106" s="13">
        <v>7231</v>
      </c>
      <c r="C106" s="4">
        <v>0.12</v>
      </c>
      <c r="D106" s="4" t="s">
        <v>101</v>
      </c>
      <c r="E106" s="24" t="s">
        <v>118</v>
      </c>
      <c r="F106" s="27" t="s">
        <v>119</v>
      </c>
      <c r="G106" s="27" t="s">
        <v>28</v>
      </c>
      <c r="H106" s="30" t="s">
        <v>120</v>
      </c>
      <c r="I106" s="30" t="s">
        <v>120</v>
      </c>
      <c r="J106" s="30" t="s">
        <v>120</v>
      </c>
      <c r="K106" s="30" t="s">
        <v>120</v>
      </c>
      <c r="L106" s="30" t="s">
        <v>120</v>
      </c>
      <c r="M106" s="30" t="s">
        <v>120</v>
      </c>
      <c r="N106" s="30" t="s">
        <v>120</v>
      </c>
      <c r="O106" s="30" t="s">
        <v>120</v>
      </c>
      <c r="P106" s="30" t="s">
        <v>120</v>
      </c>
      <c r="Q106" s="12"/>
      <c r="R106" s="31">
        <f>Q108 * 29.07</f>
        <v>0</v>
      </c>
      <c r="S106" s="18"/>
      <c r="T106" s="18"/>
      <c r="U106" s="18"/>
      <c r="V106" s="19"/>
    </row>
    <row r="107" spans="2:22" x14ac:dyDescent="0.25">
      <c r="B107" s="13">
        <v>7235</v>
      </c>
      <c r="C107" s="4">
        <v>0.12</v>
      </c>
      <c r="D107" s="4" t="s">
        <v>106</v>
      </c>
      <c r="E107" s="26"/>
      <c r="F107" s="29"/>
      <c r="G107" s="29"/>
      <c r="H107" s="30"/>
      <c r="I107" s="30"/>
      <c r="J107" s="30"/>
      <c r="K107" s="30"/>
      <c r="L107" s="30"/>
      <c r="M107" s="30"/>
      <c r="N107" s="30"/>
      <c r="O107" s="30"/>
      <c r="P107" s="30"/>
      <c r="Q107" s="12"/>
      <c r="R107" s="33"/>
      <c r="S107" s="20"/>
      <c r="T107" s="20"/>
      <c r="U107" s="20"/>
      <c r="V107" s="21"/>
    </row>
    <row r="108" spans="2:22" x14ac:dyDescent="0.25">
      <c r="G108" s="1" t="s">
        <v>12</v>
      </c>
      <c r="Q108">
        <f>SUM(Q106:Q107)</f>
        <v>0</v>
      </c>
    </row>
    <row r="109" spans="2:22" x14ac:dyDescent="0.25">
      <c r="B109" s="13">
        <v>7290</v>
      </c>
      <c r="C109" s="4">
        <v>3.5000000000000003E-2</v>
      </c>
      <c r="D109" s="4"/>
      <c r="E109" s="16" t="s">
        <v>122</v>
      </c>
      <c r="F109" s="30" t="s">
        <v>123</v>
      </c>
      <c r="G109" s="30" t="s">
        <v>28</v>
      </c>
      <c r="H109" s="30" t="s">
        <v>124</v>
      </c>
      <c r="I109" s="14" t="s">
        <v>124</v>
      </c>
      <c r="J109" s="14" t="s">
        <v>124</v>
      </c>
      <c r="K109" s="14" t="s">
        <v>124</v>
      </c>
      <c r="L109" s="14" t="s">
        <v>124</v>
      </c>
      <c r="M109" s="14" t="s">
        <v>124</v>
      </c>
      <c r="N109" s="14" t="s">
        <v>124</v>
      </c>
      <c r="O109" s="14" t="s">
        <v>124</v>
      </c>
      <c r="P109" s="14" t="s">
        <v>124</v>
      </c>
      <c r="Q109" s="12"/>
      <c r="R109" s="17">
        <f>Q110 * 3.18</f>
        <v>0</v>
      </c>
      <c r="S109" s="18"/>
      <c r="T109" s="18"/>
      <c r="U109" s="18"/>
      <c r="V109" s="19"/>
    </row>
    <row r="110" spans="2:22" x14ac:dyDescent="0.25">
      <c r="G110" s="1" t="s">
        <v>12</v>
      </c>
      <c r="Q110">
        <f>SUM(Q109:Q109)</f>
        <v>0</v>
      </c>
    </row>
    <row r="111" spans="2:22" x14ac:dyDescent="0.25">
      <c r="B111" s="13">
        <v>12551</v>
      </c>
      <c r="C111" s="4">
        <v>0.8</v>
      </c>
      <c r="D111" s="4"/>
      <c r="E111" s="16" t="s">
        <v>126</v>
      </c>
      <c r="F111" s="30" t="s">
        <v>127</v>
      </c>
      <c r="G111" s="30" t="s">
        <v>28</v>
      </c>
      <c r="H111" s="30" t="s">
        <v>128</v>
      </c>
      <c r="I111" s="14" t="s">
        <v>128</v>
      </c>
      <c r="J111" s="14" t="s">
        <v>128</v>
      </c>
      <c r="K111" s="14" t="s">
        <v>128</v>
      </c>
      <c r="L111" s="14" t="s">
        <v>128</v>
      </c>
      <c r="M111" s="14" t="s">
        <v>128</v>
      </c>
      <c r="N111" s="14" t="s">
        <v>128</v>
      </c>
      <c r="O111" s="14" t="s">
        <v>128</v>
      </c>
      <c r="P111" s="14" t="s">
        <v>128</v>
      </c>
      <c r="Q111" s="12"/>
      <c r="R111" s="17">
        <f>Q112 * 156.36</f>
        <v>0</v>
      </c>
      <c r="S111" s="18"/>
      <c r="T111" s="18"/>
      <c r="U111" s="18"/>
      <c r="V111" s="19"/>
    </row>
    <row r="112" spans="2:22" x14ac:dyDescent="0.25">
      <c r="G112" s="1" t="s">
        <v>12</v>
      </c>
      <c r="Q112">
        <f>SUM(Q111:Q111)</f>
        <v>0</v>
      </c>
    </row>
    <row r="113" spans="2:22" x14ac:dyDescent="0.25">
      <c r="B113" s="13">
        <v>13563</v>
      </c>
      <c r="C113" s="4">
        <v>0.42</v>
      </c>
      <c r="D113" s="4"/>
      <c r="E113" s="16" t="s">
        <v>129</v>
      </c>
      <c r="F113" s="30" t="s">
        <v>130</v>
      </c>
      <c r="G113" s="30" t="s">
        <v>28</v>
      </c>
      <c r="H113" s="30" t="s">
        <v>131</v>
      </c>
      <c r="I113" s="14" t="s">
        <v>131</v>
      </c>
      <c r="J113" s="14" t="s">
        <v>131</v>
      </c>
      <c r="K113" s="14" t="s">
        <v>131</v>
      </c>
      <c r="L113" s="14" t="s">
        <v>131</v>
      </c>
      <c r="M113" s="14" t="s">
        <v>131</v>
      </c>
      <c r="N113" s="14" t="s">
        <v>131</v>
      </c>
      <c r="O113" s="14" t="s">
        <v>131</v>
      </c>
      <c r="P113" s="14" t="s">
        <v>131</v>
      </c>
      <c r="Q113" s="12"/>
      <c r="R113" s="17">
        <f>Q114 * 17.26</f>
        <v>0</v>
      </c>
      <c r="S113" s="18"/>
      <c r="T113" s="18"/>
      <c r="U113" s="18"/>
      <c r="V113" s="19"/>
    </row>
    <row r="114" spans="2:22" x14ac:dyDescent="0.25">
      <c r="G114" s="1" t="s">
        <v>12</v>
      </c>
      <c r="Q114">
        <f>SUM(Q113:Q113)</f>
        <v>0</v>
      </c>
    </row>
    <row r="115" spans="2:22" x14ac:dyDescent="0.25">
      <c r="B115" s="13">
        <v>13564</v>
      </c>
      <c r="C115" s="4">
        <v>0.42</v>
      </c>
      <c r="D115" s="4"/>
      <c r="E115" s="16" t="s">
        <v>132</v>
      </c>
      <c r="F115" s="30" t="s">
        <v>130</v>
      </c>
      <c r="G115" s="30" t="s">
        <v>28</v>
      </c>
      <c r="H115" s="30" t="s">
        <v>131</v>
      </c>
      <c r="I115" s="14" t="s">
        <v>131</v>
      </c>
      <c r="J115" s="14" t="s">
        <v>131</v>
      </c>
      <c r="K115" s="14" t="s">
        <v>131</v>
      </c>
      <c r="L115" s="14" t="s">
        <v>131</v>
      </c>
      <c r="M115" s="14" t="s">
        <v>131</v>
      </c>
      <c r="N115" s="14" t="s">
        <v>131</v>
      </c>
      <c r="O115" s="14" t="s">
        <v>131</v>
      </c>
      <c r="P115" s="14" t="s">
        <v>131</v>
      </c>
      <c r="Q115" s="12"/>
      <c r="R115" s="17">
        <f>Q116 * 17.26</f>
        <v>0</v>
      </c>
      <c r="S115" s="18"/>
      <c r="T115" s="18"/>
      <c r="U115" s="18"/>
      <c r="V115" s="19"/>
    </row>
    <row r="116" spans="2:22" x14ac:dyDescent="0.25">
      <c r="G116" s="1" t="s">
        <v>12</v>
      </c>
      <c r="Q116">
        <f>SUM(Q115:Q115)</f>
        <v>0</v>
      </c>
    </row>
    <row r="117" spans="2:22" x14ac:dyDescent="0.25">
      <c r="B117" s="13">
        <v>13562</v>
      </c>
      <c r="C117" s="4">
        <v>0.42</v>
      </c>
      <c r="D117" s="4"/>
      <c r="E117" s="16" t="s">
        <v>133</v>
      </c>
      <c r="F117" s="30" t="s">
        <v>130</v>
      </c>
      <c r="G117" s="30" t="s">
        <v>28</v>
      </c>
      <c r="H117" s="30" t="s">
        <v>131</v>
      </c>
      <c r="I117" s="14" t="s">
        <v>131</v>
      </c>
      <c r="J117" s="14" t="s">
        <v>131</v>
      </c>
      <c r="K117" s="14" t="s">
        <v>131</v>
      </c>
      <c r="L117" s="14" t="s">
        <v>131</v>
      </c>
      <c r="M117" s="14" t="s">
        <v>131</v>
      </c>
      <c r="N117" s="14" t="s">
        <v>131</v>
      </c>
      <c r="O117" s="14" t="s">
        <v>131</v>
      </c>
      <c r="P117" s="14" t="s">
        <v>131</v>
      </c>
      <c r="Q117" s="12"/>
      <c r="R117" s="17">
        <f>Q118 * 17.26</f>
        <v>0</v>
      </c>
      <c r="S117" s="18"/>
      <c r="T117" s="18"/>
      <c r="U117" s="18"/>
      <c r="V117" s="19"/>
    </row>
    <row r="118" spans="2:22" x14ac:dyDescent="0.25">
      <c r="G118" s="1" t="s">
        <v>12</v>
      </c>
      <c r="Q118">
        <f>SUM(Q117:Q117)</f>
        <v>0</v>
      </c>
    </row>
    <row r="119" spans="2:22" x14ac:dyDescent="0.25">
      <c r="B119" s="13">
        <v>13560</v>
      </c>
      <c r="C119" s="4">
        <v>0.32</v>
      </c>
      <c r="D119" s="4"/>
      <c r="E119" s="16" t="s">
        <v>134</v>
      </c>
      <c r="F119" s="30" t="s">
        <v>135</v>
      </c>
      <c r="G119" s="30" t="s">
        <v>28</v>
      </c>
      <c r="H119" s="30" t="s">
        <v>136</v>
      </c>
      <c r="I119" s="14" t="s">
        <v>136</v>
      </c>
      <c r="J119" s="14" t="s">
        <v>136</v>
      </c>
      <c r="K119" s="14" t="s">
        <v>136</v>
      </c>
      <c r="L119" s="14" t="s">
        <v>136</v>
      </c>
      <c r="M119" s="14" t="s">
        <v>136</v>
      </c>
      <c r="N119" s="14" t="s">
        <v>136</v>
      </c>
      <c r="O119" s="14" t="s">
        <v>136</v>
      </c>
      <c r="P119" s="14" t="s">
        <v>136</v>
      </c>
      <c r="Q119" s="12"/>
      <c r="R119" s="17">
        <f>Q120 * 11.67</f>
        <v>0</v>
      </c>
      <c r="S119" s="18"/>
      <c r="T119" s="18"/>
      <c r="U119" s="18"/>
      <c r="V119" s="19"/>
    </row>
    <row r="120" spans="2:22" x14ac:dyDescent="0.25">
      <c r="G120" s="1" t="s">
        <v>12</v>
      </c>
      <c r="Q120">
        <f>SUM(Q119:Q119)</f>
        <v>0</v>
      </c>
    </row>
    <row r="121" spans="2:22" x14ac:dyDescent="0.25">
      <c r="B121" s="13">
        <v>13561</v>
      </c>
      <c r="C121" s="4">
        <v>0.32</v>
      </c>
      <c r="D121" s="4"/>
      <c r="E121" s="16" t="s">
        <v>137</v>
      </c>
      <c r="F121" s="30" t="s">
        <v>135</v>
      </c>
      <c r="G121" s="30" t="s">
        <v>28</v>
      </c>
      <c r="H121" s="30" t="s">
        <v>136</v>
      </c>
      <c r="I121" s="14" t="s">
        <v>136</v>
      </c>
      <c r="J121" s="14" t="s">
        <v>136</v>
      </c>
      <c r="K121" s="14" t="s">
        <v>136</v>
      </c>
      <c r="L121" s="14" t="s">
        <v>136</v>
      </c>
      <c r="M121" s="14" t="s">
        <v>136</v>
      </c>
      <c r="N121" s="14" t="s">
        <v>136</v>
      </c>
      <c r="O121" s="14" t="s">
        <v>136</v>
      </c>
      <c r="P121" s="14" t="s">
        <v>136</v>
      </c>
      <c r="Q121" s="12"/>
      <c r="R121" s="17">
        <f>Q122 * 11.67</f>
        <v>0</v>
      </c>
      <c r="S121" s="18"/>
      <c r="T121" s="18"/>
      <c r="U121" s="18"/>
      <c r="V121" s="19"/>
    </row>
    <row r="122" spans="2:22" x14ac:dyDescent="0.25">
      <c r="G122" s="1" t="s">
        <v>12</v>
      </c>
      <c r="Q122">
        <f>SUM(Q121:Q121)</f>
        <v>0</v>
      </c>
    </row>
    <row r="123" spans="2:22" x14ac:dyDescent="0.25">
      <c r="B123" s="13">
        <v>13576</v>
      </c>
      <c r="C123" s="4">
        <v>0.88</v>
      </c>
      <c r="D123" s="4"/>
      <c r="E123" s="16" t="s">
        <v>138</v>
      </c>
      <c r="F123" s="30" t="s">
        <v>139</v>
      </c>
      <c r="G123" s="30" t="s">
        <v>28</v>
      </c>
      <c r="H123" s="30" t="s">
        <v>140</v>
      </c>
      <c r="I123" s="14" t="s">
        <v>140</v>
      </c>
      <c r="J123" s="14" t="s">
        <v>140</v>
      </c>
      <c r="K123" s="14" t="s">
        <v>140</v>
      </c>
      <c r="L123" s="14" t="s">
        <v>140</v>
      </c>
      <c r="M123" s="14" t="s">
        <v>140</v>
      </c>
      <c r="N123" s="14" t="s">
        <v>140</v>
      </c>
      <c r="O123" s="14" t="s">
        <v>140</v>
      </c>
      <c r="P123" s="14" t="s">
        <v>140</v>
      </c>
      <c r="Q123" s="12"/>
      <c r="R123" s="17">
        <f>Q124 * 85.71</f>
        <v>0</v>
      </c>
      <c r="S123" s="18"/>
      <c r="T123" s="18"/>
      <c r="U123" s="18"/>
      <c r="V123" s="19"/>
    </row>
    <row r="124" spans="2:22" x14ac:dyDescent="0.25">
      <c r="G124" s="1" t="s">
        <v>12</v>
      </c>
      <c r="Q124">
        <f>SUM(Q123:Q123)</f>
        <v>0</v>
      </c>
    </row>
    <row r="125" spans="2:22" x14ac:dyDescent="0.25">
      <c r="B125" s="13">
        <v>13577</v>
      </c>
      <c r="C125" s="4">
        <v>0.88</v>
      </c>
      <c r="D125" s="4"/>
      <c r="E125" s="16" t="s">
        <v>141</v>
      </c>
      <c r="F125" s="30" t="s">
        <v>139</v>
      </c>
      <c r="G125" s="30" t="s">
        <v>28</v>
      </c>
      <c r="H125" s="30" t="s">
        <v>140</v>
      </c>
      <c r="I125" s="14" t="s">
        <v>140</v>
      </c>
      <c r="J125" s="14" t="s">
        <v>140</v>
      </c>
      <c r="K125" s="14" t="s">
        <v>140</v>
      </c>
      <c r="L125" s="14" t="s">
        <v>140</v>
      </c>
      <c r="M125" s="14" t="s">
        <v>140</v>
      </c>
      <c r="N125" s="14" t="s">
        <v>140</v>
      </c>
      <c r="O125" s="14" t="s">
        <v>140</v>
      </c>
      <c r="P125" s="14" t="s">
        <v>140</v>
      </c>
      <c r="Q125" s="12"/>
      <c r="R125" s="17">
        <f>Q126 * 85.71</f>
        <v>0</v>
      </c>
      <c r="S125" s="18"/>
      <c r="T125" s="18"/>
      <c r="U125" s="18"/>
      <c r="V125" s="19"/>
    </row>
    <row r="126" spans="2:22" x14ac:dyDescent="0.25">
      <c r="G126" s="1" t="s">
        <v>12</v>
      </c>
      <c r="Q126">
        <f>SUM(Q125:Q125)</f>
        <v>0</v>
      </c>
    </row>
    <row r="127" spans="2:22" x14ac:dyDescent="0.25">
      <c r="B127" s="13">
        <v>13575</v>
      </c>
      <c r="C127" s="4">
        <v>0.88</v>
      </c>
      <c r="D127" s="4"/>
      <c r="E127" s="16" t="s">
        <v>142</v>
      </c>
      <c r="F127" s="30" t="s">
        <v>139</v>
      </c>
      <c r="G127" s="30" t="s">
        <v>28</v>
      </c>
      <c r="H127" s="30" t="s">
        <v>140</v>
      </c>
      <c r="I127" s="14" t="s">
        <v>140</v>
      </c>
      <c r="J127" s="14" t="s">
        <v>140</v>
      </c>
      <c r="K127" s="14" t="s">
        <v>140</v>
      </c>
      <c r="L127" s="14" t="s">
        <v>140</v>
      </c>
      <c r="M127" s="14" t="s">
        <v>140</v>
      </c>
      <c r="N127" s="14" t="s">
        <v>140</v>
      </c>
      <c r="O127" s="14" t="s">
        <v>140</v>
      </c>
      <c r="P127" s="14" t="s">
        <v>140</v>
      </c>
      <c r="Q127" s="12"/>
      <c r="R127" s="17">
        <f>Q128 * 85.71</f>
        <v>0</v>
      </c>
      <c r="S127" s="18"/>
      <c r="T127" s="18"/>
      <c r="U127" s="18"/>
      <c r="V127" s="19"/>
    </row>
    <row r="128" spans="2:22" x14ac:dyDescent="0.25">
      <c r="G128" s="1" t="s">
        <v>12</v>
      </c>
      <c r="Q128">
        <f>SUM(Q127:Q127)</f>
        <v>0</v>
      </c>
    </row>
    <row r="129" spans="2:22" x14ac:dyDescent="0.25">
      <c r="B129" s="13">
        <v>13574</v>
      </c>
      <c r="C129" s="4">
        <v>0.88</v>
      </c>
      <c r="D129" s="4"/>
      <c r="E129" s="16" t="s">
        <v>143</v>
      </c>
      <c r="F129" s="30" t="s">
        <v>139</v>
      </c>
      <c r="G129" s="30" t="s">
        <v>28</v>
      </c>
      <c r="H129" s="30" t="s">
        <v>140</v>
      </c>
      <c r="I129" s="14" t="s">
        <v>140</v>
      </c>
      <c r="J129" s="14" t="s">
        <v>140</v>
      </c>
      <c r="K129" s="14" t="s">
        <v>140</v>
      </c>
      <c r="L129" s="14" t="s">
        <v>140</v>
      </c>
      <c r="M129" s="14" t="s">
        <v>140</v>
      </c>
      <c r="N129" s="14" t="s">
        <v>140</v>
      </c>
      <c r="O129" s="14" t="s">
        <v>140</v>
      </c>
      <c r="P129" s="14" t="s">
        <v>140</v>
      </c>
      <c r="Q129" s="12"/>
      <c r="R129" s="17">
        <f>Q130 * 85.71</f>
        <v>0</v>
      </c>
      <c r="S129" s="18"/>
      <c r="T129" s="18"/>
      <c r="U129" s="18"/>
      <c r="V129" s="19"/>
    </row>
    <row r="130" spans="2:22" x14ac:dyDescent="0.25">
      <c r="G130" s="1" t="s">
        <v>12</v>
      </c>
      <c r="Q130">
        <f>SUM(Q129:Q129)</f>
        <v>0</v>
      </c>
    </row>
    <row r="131" spans="2:22" x14ac:dyDescent="0.25">
      <c r="B131" s="13">
        <v>13568</v>
      </c>
      <c r="C131" s="4">
        <v>0.8</v>
      </c>
      <c r="D131" s="4"/>
      <c r="E131" s="16" t="s">
        <v>144</v>
      </c>
      <c r="F131" s="30" t="s">
        <v>145</v>
      </c>
      <c r="G131" s="30" t="s">
        <v>28</v>
      </c>
      <c r="H131" s="30" t="s">
        <v>146</v>
      </c>
      <c r="I131" s="14" t="s">
        <v>146</v>
      </c>
      <c r="J131" s="14" t="s">
        <v>146</v>
      </c>
      <c r="K131" s="14" t="s">
        <v>146</v>
      </c>
      <c r="L131" s="14" t="s">
        <v>146</v>
      </c>
      <c r="M131" s="14" t="s">
        <v>146</v>
      </c>
      <c r="N131" s="14" t="s">
        <v>146</v>
      </c>
      <c r="O131" s="14" t="s">
        <v>146</v>
      </c>
      <c r="P131" s="14" t="s">
        <v>146</v>
      </c>
      <c r="Q131" s="12"/>
      <c r="R131" s="17">
        <f>Q132 * 24.42</f>
        <v>0</v>
      </c>
      <c r="S131" s="18"/>
      <c r="T131" s="18"/>
      <c r="U131" s="18"/>
      <c r="V131" s="19"/>
    </row>
    <row r="132" spans="2:22" x14ac:dyDescent="0.25">
      <c r="G132" s="1" t="s">
        <v>12</v>
      </c>
      <c r="Q132">
        <f>SUM(Q131:Q131)</f>
        <v>0</v>
      </c>
    </row>
    <row r="133" spans="2:22" x14ac:dyDescent="0.25">
      <c r="B133" s="13">
        <v>13570</v>
      </c>
      <c r="C133" s="4">
        <v>0.8</v>
      </c>
      <c r="D133" s="4"/>
      <c r="E133" s="16" t="s">
        <v>147</v>
      </c>
      <c r="F133" s="30" t="s">
        <v>145</v>
      </c>
      <c r="G133" s="30" t="s">
        <v>28</v>
      </c>
      <c r="H133" s="30" t="s">
        <v>146</v>
      </c>
      <c r="I133" s="14" t="s">
        <v>146</v>
      </c>
      <c r="J133" s="14" t="s">
        <v>146</v>
      </c>
      <c r="K133" s="14" t="s">
        <v>146</v>
      </c>
      <c r="L133" s="14" t="s">
        <v>146</v>
      </c>
      <c r="M133" s="14" t="s">
        <v>146</v>
      </c>
      <c r="N133" s="14" t="s">
        <v>146</v>
      </c>
      <c r="O133" s="14" t="s">
        <v>146</v>
      </c>
      <c r="P133" s="14" t="s">
        <v>146</v>
      </c>
      <c r="Q133" s="12"/>
      <c r="R133" s="17">
        <f>Q134 * 24.42</f>
        <v>0</v>
      </c>
      <c r="S133" s="18"/>
      <c r="T133" s="18"/>
      <c r="U133" s="18"/>
      <c r="V133" s="19"/>
    </row>
    <row r="134" spans="2:22" x14ac:dyDescent="0.25">
      <c r="G134" s="1" t="s">
        <v>12</v>
      </c>
      <c r="Q134">
        <f>SUM(Q133:Q133)</f>
        <v>0</v>
      </c>
    </row>
    <row r="135" spans="2:22" x14ac:dyDescent="0.25">
      <c r="B135" s="13">
        <v>13820</v>
      </c>
      <c r="C135" s="4">
        <v>0.8</v>
      </c>
      <c r="D135" s="4"/>
      <c r="E135" s="16" t="s">
        <v>148</v>
      </c>
      <c r="F135" s="30" t="s">
        <v>145</v>
      </c>
      <c r="G135" s="30" t="s">
        <v>28</v>
      </c>
      <c r="H135" s="30" t="s">
        <v>146</v>
      </c>
      <c r="I135" s="14" t="s">
        <v>146</v>
      </c>
      <c r="J135" s="14" t="s">
        <v>146</v>
      </c>
      <c r="K135" s="14" t="s">
        <v>146</v>
      </c>
      <c r="L135" s="14" t="s">
        <v>146</v>
      </c>
      <c r="M135" s="14" t="s">
        <v>146</v>
      </c>
      <c r="N135" s="14" t="s">
        <v>146</v>
      </c>
      <c r="O135" s="14" t="s">
        <v>146</v>
      </c>
      <c r="P135" s="14" t="s">
        <v>146</v>
      </c>
      <c r="Q135" s="12"/>
      <c r="R135" s="17">
        <f>Q136 * 24.42</f>
        <v>0</v>
      </c>
      <c r="S135" s="18"/>
      <c r="T135" s="18"/>
      <c r="U135" s="18"/>
      <c r="V135" s="19"/>
    </row>
    <row r="136" spans="2:22" x14ac:dyDescent="0.25">
      <c r="G136" s="1" t="s">
        <v>12</v>
      </c>
      <c r="Q136">
        <f>SUM(Q135:Q135)</f>
        <v>0</v>
      </c>
    </row>
    <row r="137" spans="2:22" x14ac:dyDescent="0.25">
      <c r="B137" s="13">
        <v>13569</v>
      </c>
      <c r="C137" s="4">
        <v>0.8</v>
      </c>
      <c r="D137" s="4"/>
      <c r="E137" s="16" t="s">
        <v>149</v>
      </c>
      <c r="F137" s="30" t="s">
        <v>145</v>
      </c>
      <c r="G137" s="30" t="s">
        <v>28</v>
      </c>
      <c r="H137" s="30" t="s">
        <v>146</v>
      </c>
      <c r="I137" s="14" t="s">
        <v>146</v>
      </c>
      <c r="J137" s="14" t="s">
        <v>146</v>
      </c>
      <c r="K137" s="14" t="s">
        <v>146</v>
      </c>
      <c r="L137" s="14" t="s">
        <v>146</v>
      </c>
      <c r="M137" s="14" t="s">
        <v>146</v>
      </c>
      <c r="N137" s="14" t="s">
        <v>146</v>
      </c>
      <c r="O137" s="14" t="s">
        <v>146</v>
      </c>
      <c r="P137" s="14" t="s">
        <v>146</v>
      </c>
      <c r="Q137" s="12"/>
      <c r="R137" s="17">
        <f>Q138 * 24.42</f>
        <v>0</v>
      </c>
      <c r="S137" s="18"/>
      <c r="T137" s="18"/>
      <c r="U137" s="18"/>
      <c r="V137" s="19"/>
    </row>
    <row r="138" spans="2:22" x14ac:dyDescent="0.25">
      <c r="G138" s="1" t="s">
        <v>12</v>
      </c>
      <c r="Q138">
        <f>SUM(Q137:Q137)</f>
        <v>0</v>
      </c>
    </row>
    <row r="139" spans="2:22" x14ac:dyDescent="0.25">
      <c r="B139" s="13">
        <v>13565</v>
      </c>
      <c r="C139" s="4">
        <v>0.9</v>
      </c>
      <c r="D139" s="4"/>
      <c r="E139" s="16" t="s">
        <v>150</v>
      </c>
      <c r="F139" s="30" t="s">
        <v>151</v>
      </c>
      <c r="G139" s="30" t="s">
        <v>28</v>
      </c>
      <c r="H139" s="30" t="s">
        <v>152</v>
      </c>
      <c r="I139" s="14" t="s">
        <v>152</v>
      </c>
      <c r="J139" s="14" t="s">
        <v>152</v>
      </c>
      <c r="K139" s="14" t="s">
        <v>152</v>
      </c>
      <c r="L139" s="14" t="s">
        <v>152</v>
      </c>
      <c r="M139" s="14" t="s">
        <v>152</v>
      </c>
      <c r="N139" s="14" t="s">
        <v>152</v>
      </c>
      <c r="O139" s="14" t="s">
        <v>152</v>
      </c>
      <c r="P139" s="14" t="s">
        <v>152</v>
      </c>
      <c r="Q139" s="12"/>
      <c r="R139" s="17">
        <f>Q140 * 37.41</f>
        <v>0</v>
      </c>
      <c r="S139" s="18"/>
      <c r="T139" s="18"/>
      <c r="U139" s="18"/>
      <c r="V139" s="19"/>
    </row>
    <row r="140" spans="2:22" x14ac:dyDescent="0.25">
      <c r="G140" s="1" t="s">
        <v>12</v>
      </c>
      <c r="Q140">
        <f>SUM(Q139:Q139)</f>
        <v>0</v>
      </c>
    </row>
    <row r="141" spans="2:22" x14ac:dyDescent="0.25">
      <c r="B141" s="13">
        <v>13566</v>
      </c>
      <c r="C141" s="4">
        <v>0.9</v>
      </c>
      <c r="D141" s="4"/>
      <c r="E141" s="16" t="s">
        <v>153</v>
      </c>
      <c r="F141" s="30" t="s">
        <v>151</v>
      </c>
      <c r="G141" s="30" t="s">
        <v>28</v>
      </c>
      <c r="H141" s="30" t="s">
        <v>152</v>
      </c>
      <c r="I141" s="14" t="s">
        <v>152</v>
      </c>
      <c r="J141" s="14" t="s">
        <v>152</v>
      </c>
      <c r="K141" s="14" t="s">
        <v>152</v>
      </c>
      <c r="L141" s="14" t="s">
        <v>152</v>
      </c>
      <c r="M141" s="14" t="s">
        <v>152</v>
      </c>
      <c r="N141" s="14" t="s">
        <v>152</v>
      </c>
      <c r="O141" s="14" t="s">
        <v>152</v>
      </c>
      <c r="P141" s="14" t="s">
        <v>152</v>
      </c>
      <c r="Q141" s="12"/>
      <c r="R141" s="17">
        <f>Q142 * 37.41</f>
        <v>0</v>
      </c>
      <c r="S141" s="18"/>
      <c r="T141" s="18"/>
      <c r="U141" s="18"/>
      <c r="V141" s="19"/>
    </row>
    <row r="142" spans="2:22" x14ac:dyDescent="0.25">
      <c r="G142" s="1" t="s">
        <v>12</v>
      </c>
      <c r="Q142">
        <f>SUM(Q141:Q141)</f>
        <v>0</v>
      </c>
    </row>
    <row r="143" spans="2:22" x14ac:dyDescent="0.25">
      <c r="B143" s="13">
        <v>13567</v>
      </c>
      <c r="C143" s="4">
        <v>0.9</v>
      </c>
      <c r="D143" s="4"/>
      <c r="E143" s="16" t="s">
        <v>154</v>
      </c>
      <c r="F143" s="30" t="s">
        <v>151</v>
      </c>
      <c r="G143" s="30" t="s">
        <v>28</v>
      </c>
      <c r="H143" s="30" t="s">
        <v>152</v>
      </c>
      <c r="I143" s="14" t="s">
        <v>152</v>
      </c>
      <c r="J143" s="14" t="s">
        <v>152</v>
      </c>
      <c r="K143" s="14" t="s">
        <v>152</v>
      </c>
      <c r="L143" s="14" t="s">
        <v>152</v>
      </c>
      <c r="M143" s="14" t="s">
        <v>152</v>
      </c>
      <c r="N143" s="14" t="s">
        <v>152</v>
      </c>
      <c r="O143" s="14" t="s">
        <v>152</v>
      </c>
      <c r="P143" s="14" t="s">
        <v>152</v>
      </c>
      <c r="Q143" s="12"/>
      <c r="R143" s="17">
        <f>Q144 * 37.41</f>
        <v>0</v>
      </c>
      <c r="S143" s="18"/>
      <c r="T143" s="18"/>
      <c r="U143" s="18"/>
      <c r="V143" s="19"/>
    </row>
    <row r="144" spans="2:22" x14ac:dyDescent="0.25">
      <c r="G144" s="1" t="s">
        <v>12</v>
      </c>
      <c r="Q144">
        <f>SUM(Q143:Q143)</f>
        <v>0</v>
      </c>
    </row>
    <row r="145" spans="2:22" x14ac:dyDescent="0.25">
      <c r="B145" s="13">
        <v>7905</v>
      </c>
      <c r="C145" s="4">
        <v>0.12</v>
      </c>
      <c r="D145" s="4" t="s">
        <v>155</v>
      </c>
      <c r="E145" s="24" t="s">
        <v>156</v>
      </c>
      <c r="F145" s="27" t="s">
        <v>157</v>
      </c>
      <c r="G145" s="27" t="s">
        <v>28</v>
      </c>
      <c r="H145" s="30" t="s">
        <v>158</v>
      </c>
      <c r="I145" s="30" t="s">
        <v>158</v>
      </c>
      <c r="J145" s="30" t="s">
        <v>158</v>
      </c>
      <c r="K145" s="30" t="s">
        <v>158</v>
      </c>
      <c r="L145" s="30" t="s">
        <v>158</v>
      </c>
      <c r="M145" s="30" t="s">
        <v>158</v>
      </c>
      <c r="N145" s="30" t="s">
        <v>158</v>
      </c>
      <c r="O145" s="30" t="s">
        <v>158</v>
      </c>
      <c r="P145" s="30" t="s">
        <v>158</v>
      </c>
      <c r="Q145" s="12"/>
      <c r="R145" s="31">
        <f>Q147 * 28.5</f>
        <v>0</v>
      </c>
      <c r="S145" s="18"/>
      <c r="T145" s="18"/>
      <c r="U145" s="18"/>
      <c r="V145" s="19"/>
    </row>
    <row r="146" spans="2:22" x14ac:dyDescent="0.25">
      <c r="B146" s="13">
        <v>7906</v>
      </c>
      <c r="C146" s="4">
        <v>0.12</v>
      </c>
      <c r="D146" s="4" t="s">
        <v>159</v>
      </c>
      <c r="E146" s="26"/>
      <c r="F146" s="29"/>
      <c r="G146" s="29"/>
      <c r="H146" s="30"/>
      <c r="I146" s="30"/>
      <c r="J146" s="30"/>
      <c r="K146" s="30"/>
      <c r="L146" s="30"/>
      <c r="M146" s="30"/>
      <c r="N146" s="30"/>
      <c r="O146" s="30"/>
      <c r="P146" s="30"/>
      <c r="Q146" s="12"/>
      <c r="R146" s="33"/>
      <c r="S146" s="20"/>
      <c r="T146" s="20"/>
      <c r="U146" s="20"/>
      <c r="V146" s="21"/>
    </row>
    <row r="147" spans="2:22" x14ac:dyDescent="0.25">
      <c r="G147" s="1" t="s">
        <v>12</v>
      </c>
      <c r="Q147">
        <f>SUM(Q145:Q146)</f>
        <v>0</v>
      </c>
    </row>
    <row r="148" spans="2:22" x14ac:dyDescent="0.25">
      <c r="B148" s="13">
        <v>13571</v>
      </c>
      <c r="C148" s="4">
        <v>0.84</v>
      </c>
      <c r="D148" s="4"/>
      <c r="E148" s="16" t="s">
        <v>160</v>
      </c>
      <c r="F148" s="30" t="s">
        <v>161</v>
      </c>
      <c r="G148" s="30" t="s">
        <v>28</v>
      </c>
      <c r="H148" s="30" t="s">
        <v>162</v>
      </c>
      <c r="I148" s="14" t="s">
        <v>162</v>
      </c>
      <c r="J148" s="14" t="s">
        <v>162</v>
      </c>
      <c r="K148" s="14" t="s">
        <v>162</v>
      </c>
      <c r="L148" s="14" t="s">
        <v>162</v>
      </c>
      <c r="M148" s="14" t="s">
        <v>162</v>
      </c>
      <c r="N148" s="14" t="s">
        <v>162</v>
      </c>
      <c r="O148" s="14" t="s">
        <v>162</v>
      </c>
      <c r="P148" s="14" t="s">
        <v>162</v>
      </c>
      <c r="Q148" s="12"/>
      <c r="R148" s="17">
        <f>Q149 * 62.7</f>
        <v>0</v>
      </c>
      <c r="S148" s="18"/>
      <c r="T148" s="18"/>
      <c r="U148" s="18"/>
      <c r="V148" s="19"/>
    </row>
    <row r="149" spans="2:22" x14ac:dyDescent="0.25">
      <c r="G149" s="1" t="s">
        <v>12</v>
      </c>
      <c r="Q149">
        <f>SUM(Q148:Q148)</f>
        <v>0</v>
      </c>
    </row>
    <row r="150" spans="2:22" x14ac:dyDescent="0.25">
      <c r="B150" s="13">
        <v>13572</v>
      </c>
      <c r="C150" s="4">
        <v>0.84</v>
      </c>
      <c r="D150" s="4"/>
      <c r="E150" s="16" t="s">
        <v>163</v>
      </c>
      <c r="F150" s="30" t="s">
        <v>161</v>
      </c>
      <c r="G150" s="30" t="s">
        <v>28</v>
      </c>
      <c r="H150" s="30" t="s">
        <v>162</v>
      </c>
      <c r="I150" s="14" t="s">
        <v>162</v>
      </c>
      <c r="J150" s="14" t="s">
        <v>162</v>
      </c>
      <c r="K150" s="14" t="s">
        <v>162</v>
      </c>
      <c r="L150" s="14" t="s">
        <v>162</v>
      </c>
      <c r="M150" s="14" t="s">
        <v>162</v>
      </c>
      <c r="N150" s="14" t="s">
        <v>162</v>
      </c>
      <c r="O150" s="14" t="s">
        <v>162</v>
      </c>
      <c r="P150" s="14" t="s">
        <v>162</v>
      </c>
      <c r="Q150" s="12"/>
      <c r="R150" s="17">
        <f>Q151 * 62.7</f>
        <v>0</v>
      </c>
      <c r="S150" s="18"/>
      <c r="T150" s="18"/>
      <c r="U150" s="18"/>
      <c r="V150" s="19"/>
    </row>
    <row r="151" spans="2:22" x14ac:dyDescent="0.25">
      <c r="G151" s="1" t="s">
        <v>12</v>
      </c>
      <c r="Q151">
        <f>SUM(Q150:Q150)</f>
        <v>0</v>
      </c>
    </row>
    <row r="152" spans="2:22" x14ac:dyDescent="0.25">
      <c r="B152" s="13">
        <v>13573</v>
      </c>
      <c r="C152" s="4">
        <v>0.84</v>
      </c>
      <c r="D152" s="4"/>
      <c r="E152" s="16" t="s">
        <v>164</v>
      </c>
      <c r="F152" s="30" t="s">
        <v>161</v>
      </c>
      <c r="G152" s="30" t="s">
        <v>28</v>
      </c>
      <c r="H152" s="30" t="s">
        <v>162</v>
      </c>
      <c r="I152" s="14" t="s">
        <v>162</v>
      </c>
      <c r="J152" s="14" t="s">
        <v>162</v>
      </c>
      <c r="K152" s="14" t="s">
        <v>162</v>
      </c>
      <c r="L152" s="14" t="s">
        <v>162</v>
      </c>
      <c r="M152" s="14" t="s">
        <v>162</v>
      </c>
      <c r="N152" s="14" t="s">
        <v>162</v>
      </c>
      <c r="O152" s="14" t="s">
        <v>162</v>
      </c>
      <c r="P152" s="14" t="s">
        <v>162</v>
      </c>
      <c r="Q152" s="12"/>
      <c r="R152" s="17">
        <f>Q153 * 62.7</f>
        <v>0</v>
      </c>
      <c r="S152" s="18"/>
      <c r="T152" s="18"/>
      <c r="U152" s="18"/>
      <c r="V152" s="19"/>
    </row>
    <row r="153" spans="2:22" x14ac:dyDescent="0.25">
      <c r="G153" s="1" t="s">
        <v>12</v>
      </c>
      <c r="Q153">
        <f>SUM(Q152:Q152)</f>
        <v>0</v>
      </c>
    </row>
    <row r="154" spans="2:22" x14ac:dyDescent="0.25">
      <c r="B154" s="13">
        <v>8861</v>
      </c>
      <c r="C154" s="4">
        <v>0.32</v>
      </c>
      <c r="D154" s="4"/>
      <c r="E154" s="16" t="s">
        <v>165</v>
      </c>
      <c r="F154" s="30" t="s">
        <v>166</v>
      </c>
      <c r="G154" s="30" t="s">
        <v>28</v>
      </c>
      <c r="H154" s="30" t="s">
        <v>167</v>
      </c>
      <c r="I154" s="14" t="s">
        <v>167</v>
      </c>
      <c r="J154" s="14" t="s">
        <v>167</v>
      </c>
      <c r="K154" s="14" t="s">
        <v>167</v>
      </c>
      <c r="L154" s="14" t="s">
        <v>167</v>
      </c>
      <c r="M154" s="14" t="s">
        <v>167</v>
      </c>
      <c r="N154" s="14" t="s">
        <v>167</v>
      </c>
      <c r="O154" s="14" t="s">
        <v>167</v>
      </c>
      <c r="P154" s="14" t="s">
        <v>167</v>
      </c>
      <c r="Q154" s="12"/>
      <c r="R154" s="17">
        <f>Q155 * 6.39</f>
        <v>0</v>
      </c>
      <c r="S154" s="18"/>
      <c r="T154" s="18"/>
      <c r="U154" s="18"/>
      <c r="V154" s="19"/>
    </row>
    <row r="155" spans="2:22" x14ac:dyDescent="0.25">
      <c r="G155" s="1" t="s">
        <v>12</v>
      </c>
      <c r="Q155">
        <f>SUM(Q154:Q154)</f>
        <v>0</v>
      </c>
    </row>
    <row r="156" spans="2:22" x14ac:dyDescent="0.25">
      <c r="B156" s="13">
        <v>7283</v>
      </c>
      <c r="C156" s="4">
        <v>1.4999999999999999E-2</v>
      </c>
      <c r="D156" s="4" t="s">
        <v>101</v>
      </c>
      <c r="E156" s="24" t="s">
        <v>171</v>
      </c>
      <c r="F156" s="27" t="s">
        <v>172</v>
      </c>
      <c r="G156" s="27" t="s">
        <v>28</v>
      </c>
      <c r="H156" s="30" t="s">
        <v>173</v>
      </c>
      <c r="I156" s="30" t="s">
        <v>173</v>
      </c>
      <c r="J156" s="30" t="s">
        <v>173</v>
      </c>
      <c r="K156" s="30" t="s">
        <v>173</v>
      </c>
      <c r="L156" s="30" t="s">
        <v>173</v>
      </c>
      <c r="M156" s="30" t="s">
        <v>173</v>
      </c>
      <c r="N156" s="30" t="s">
        <v>173</v>
      </c>
      <c r="O156" s="30" t="s">
        <v>173</v>
      </c>
      <c r="P156" s="30" t="s">
        <v>173</v>
      </c>
      <c r="Q156" s="12"/>
      <c r="R156" s="31">
        <f>Q162 * 12.25</f>
        <v>0</v>
      </c>
      <c r="S156" s="18"/>
      <c r="T156" s="18"/>
      <c r="U156" s="18"/>
      <c r="V156" s="19"/>
    </row>
    <row r="157" spans="2:22" x14ac:dyDescent="0.25">
      <c r="B157" s="13">
        <v>7284</v>
      </c>
      <c r="C157" s="4">
        <v>1.4999999999999999E-2</v>
      </c>
      <c r="D157" s="4" t="s">
        <v>174</v>
      </c>
      <c r="E157" s="25"/>
      <c r="F157" s="28"/>
      <c r="G157" s="28"/>
      <c r="H157" s="30"/>
      <c r="I157" s="30"/>
      <c r="J157" s="30"/>
      <c r="K157" s="30"/>
      <c r="L157" s="30"/>
      <c r="M157" s="30"/>
      <c r="N157" s="30"/>
      <c r="O157" s="30"/>
      <c r="P157" s="30"/>
      <c r="Q157" s="12"/>
      <c r="R157" s="32"/>
      <c r="S157" s="20"/>
      <c r="T157" s="20"/>
      <c r="U157" s="20"/>
      <c r="V157" s="21"/>
    </row>
    <row r="158" spans="2:22" x14ac:dyDescent="0.25">
      <c r="B158" s="13">
        <v>7285</v>
      </c>
      <c r="C158" s="4">
        <v>1.4999999999999999E-2</v>
      </c>
      <c r="D158" s="4" t="s">
        <v>170</v>
      </c>
      <c r="E158" s="25"/>
      <c r="F158" s="28"/>
      <c r="G158" s="28"/>
      <c r="H158" s="30"/>
      <c r="I158" s="30"/>
      <c r="J158" s="30"/>
      <c r="K158" s="30"/>
      <c r="L158" s="30"/>
      <c r="M158" s="30"/>
      <c r="N158" s="30"/>
      <c r="O158" s="30"/>
      <c r="P158" s="30"/>
      <c r="Q158" s="12"/>
      <c r="R158" s="32"/>
      <c r="S158" s="20"/>
      <c r="T158" s="20"/>
      <c r="U158" s="20"/>
      <c r="V158" s="21"/>
    </row>
    <row r="159" spans="2:22" x14ac:dyDescent="0.25">
      <c r="B159" s="13">
        <v>7286</v>
      </c>
      <c r="C159" s="4">
        <v>1.4999999999999999E-2</v>
      </c>
      <c r="D159" s="4" t="s">
        <v>175</v>
      </c>
      <c r="E159" s="25"/>
      <c r="F159" s="28"/>
      <c r="G159" s="28"/>
      <c r="H159" s="30"/>
      <c r="I159" s="30"/>
      <c r="J159" s="30"/>
      <c r="K159" s="30"/>
      <c r="L159" s="30"/>
      <c r="M159" s="30"/>
      <c r="N159" s="30"/>
      <c r="O159" s="30"/>
      <c r="P159" s="30"/>
      <c r="Q159" s="12"/>
      <c r="R159" s="32"/>
      <c r="S159" s="20"/>
      <c r="T159" s="20"/>
      <c r="U159" s="20"/>
      <c r="V159" s="21"/>
    </row>
    <row r="160" spans="2:22" x14ac:dyDescent="0.25">
      <c r="B160" s="13">
        <v>7287</v>
      </c>
      <c r="C160" s="4">
        <v>1.4999999999999999E-2</v>
      </c>
      <c r="D160" s="4" t="s">
        <v>106</v>
      </c>
      <c r="E160" s="25"/>
      <c r="F160" s="28"/>
      <c r="G160" s="28"/>
      <c r="H160" s="30"/>
      <c r="I160" s="30"/>
      <c r="J160" s="30"/>
      <c r="K160" s="30"/>
      <c r="L160" s="30"/>
      <c r="M160" s="30"/>
      <c r="N160" s="30"/>
      <c r="O160" s="30"/>
      <c r="P160" s="30"/>
      <c r="Q160" s="12"/>
      <c r="R160" s="32"/>
      <c r="S160" s="20"/>
      <c r="T160" s="20"/>
      <c r="U160" s="20"/>
      <c r="V160" s="21"/>
    </row>
    <row r="161" spans="2:22" x14ac:dyDescent="0.25">
      <c r="B161" s="13">
        <v>7288</v>
      </c>
      <c r="C161" s="4">
        <v>1.4999999999999999E-2</v>
      </c>
      <c r="D161" s="4" t="s">
        <v>176</v>
      </c>
      <c r="E161" s="26"/>
      <c r="F161" s="29"/>
      <c r="G161" s="29"/>
      <c r="H161" s="30"/>
      <c r="I161" s="30"/>
      <c r="J161" s="30"/>
      <c r="K161" s="30"/>
      <c r="L161" s="30"/>
      <c r="M161" s="30"/>
      <c r="N161" s="30"/>
      <c r="O161" s="30"/>
      <c r="P161" s="30"/>
      <c r="Q161" s="12"/>
      <c r="R161" s="33"/>
      <c r="S161" s="20"/>
      <c r="T161" s="20"/>
      <c r="U161" s="20"/>
      <c r="V161" s="21"/>
    </row>
    <row r="162" spans="2:22" ht="15.75" customHeight="1" x14ac:dyDescent="0.25">
      <c r="G162" s="1" t="s">
        <v>12</v>
      </c>
      <c r="Q162">
        <f>SUM(Q156:Q161)</f>
        <v>0</v>
      </c>
    </row>
    <row r="163" spans="2:22" x14ac:dyDescent="0.25">
      <c r="B163" s="13">
        <v>10749</v>
      </c>
      <c r="C163" s="4">
        <v>5.5E-2</v>
      </c>
      <c r="D163" s="4" t="s">
        <v>177</v>
      </c>
      <c r="E163" s="16" t="s">
        <v>178</v>
      </c>
      <c r="F163" s="30" t="s">
        <v>179</v>
      </c>
      <c r="G163" s="30" t="s">
        <v>28</v>
      </c>
      <c r="H163" s="30" t="s">
        <v>180</v>
      </c>
      <c r="I163" s="14" t="s">
        <v>180</v>
      </c>
      <c r="J163" s="14" t="s">
        <v>180</v>
      </c>
      <c r="K163" s="14" t="s">
        <v>180</v>
      </c>
      <c r="L163" s="14" t="s">
        <v>180</v>
      </c>
      <c r="M163" s="14" t="s">
        <v>180</v>
      </c>
      <c r="N163" s="14" t="s">
        <v>180</v>
      </c>
      <c r="O163" s="14" t="s">
        <v>180</v>
      </c>
      <c r="P163" s="14" t="s">
        <v>180</v>
      </c>
      <c r="Q163" s="12"/>
      <c r="R163" s="17">
        <f>Q164 * 40.39</f>
        <v>0</v>
      </c>
      <c r="S163" s="18"/>
      <c r="T163" s="18"/>
      <c r="U163" s="18"/>
      <c r="V163" s="19"/>
    </row>
    <row r="164" spans="2:22" x14ac:dyDescent="0.25">
      <c r="G164" s="1" t="s">
        <v>12</v>
      </c>
      <c r="Q164">
        <f>SUM(Q163:Q163)</f>
        <v>0</v>
      </c>
    </row>
    <row r="165" spans="2:22" x14ac:dyDescent="0.25">
      <c r="B165" s="13">
        <v>10748</v>
      </c>
      <c r="C165" s="4">
        <v>5.5E-2</v>
      </c>
      <c r="D165" s="4" t="s">
        <v>177</v>
      </c>
      <c r="E165" s="16" t="s">
        <v>181</v>
      </c>
      <c r="F165" s="30" t="s">
        <v>182</v>
      </c>
      <c r="G165" s="30" t="s">
        <v>28</v>
      </c>
      <c r="H165" s="30" t="s">
        <v>183</v>
      </c>
      <c r="I165" s="14" t="s">
        <v>183</v>
      </c>
      <c r="J165" s="14" t="s">
        <v>183</v>
      </c>
      <c r="K165" s="14" t="s">
        <v>183</v>
      </c>
      <c r="L165" s="14" t="s">
        <v>183</v>
      </c>
      <c r="M165" s="14" t="s">
        <v>183</v>
      </c>
      <c r="N165" s="14" t="s">
        <v>183</v>
      </c>
      <c r="O165" s="14" t="s">
        <v>183</v>
      </c>
      <c r="P165" s="14" t="s">
        <v>183</v>
      </c>
      <c r="Q165" s="12"/>
      <c r="R165" s="17">
        <f>Q166 * 34.22</f>
        <v>0</v>
      </c>
      <c r="S165" s="18"/>
      <c r="T165" s="18"/>
      <c r="U165" s="18"/>
      <c r="V165" s="19"/>
    </row>
    <row r="166" spans="2:22" x14ac:dyDescent="0.25">
      <c r="G166" s="1" t="s">
        <v>12</v>
      </c>
      <c r="Q166">
        <f>SUM(Q165:Q165)</f>
        <v>0</v>
      </c>
    </row>
    <row r="167" spans="2:22" x14ac:dyDescent="0.25">
      <c r="B167" s="13">
        <v>10750</v>
      </c>
      <c r="C167" s="4">
        <v>5.5E-2</v>
      </c>
      <c r="D167" s="4" t="s">
        <v>177</v>
      </c>
      <c r="E167" s="16" t="s">
        <v>184</v>
      </c>
      <c r="F167" s="30" t="s">
        <v>179</v>
      </c>
      <c r="G167" s="30" t="s">
        <v>28</v>
      </c>
      <c r="H167" s="30" t="s">
        <v>180</v>
      </c>
      <c r="I167" s="14" t="s">
        <v>180</v>
      </c>
      <c r="J167" s="14" t="s">
        <v>180</v>
      </c>
      <c r="K167" s="14" t="s">
        <v>180</v>
      </c>
      <c r="L167" s="14" t="s">
        <v>180</v>
      </c>
      <c r="M167" s="14" t="s">
        <v>180</v>
      </c>
      <c r="N167" s="14" t="s">
        <v>180</v>
      </c>
      <c r="O167" s="14" t="s">
        <v>180</v>
      </c>
      <c r="P167" s="14" t="s">
        <v>180</v>
      </c>
      <c r="Q167" s="12"/>
      <c r="R167" s="17">
        <f>Q168 * 40.39</f>
        <v>0</v>
      </c>
      <c r="S167" s="18"/>
      <c r="T167" s="18"/>
      <c r="U167" s="18"/>
      <c r="V167" s="19"/>
    </row>
    <row r="168" spans="2:22" x14ac:dyDescent="0.25">
      <c r="G168" s="1" t="s">
        <v>12</v>
      </c>
      <c r="Q168">
        <f>SUM(Q167:Q167)</f>
        <v>0</v>
      </c>
    </row>
    <row r="169" spans="2:22" x14ac:dyDescent="0.25">
      <c r="B169" s="13">
        <v>10753</v>
      </c>
      <c r="C169" s="4">
        <v>0.06</v>
      </c>
      <c r="D169" s="4" t="s">
        <v>185</v>
      </c>
      <c r="E169" s="16" t="s">
        <v>186</v>
      </c>
      <c r="F169" s="30" t="s">
        <v>187</v>
      </c>
      <c r="G169" s="30" t="s">
        <v>28</v>
      </c>
      <c r="H169" s="30" t="s">
        <v>188</v>
      </c>
      <c r="I169" s="14" t="s">
        <v>188</v>
      </c>
      <c r="J169" s="14" t="s">
        <v>188</v>
      </c>
      <c r="K169" s="14" t="s">
        <v>188</v>
      </c>
      <c r="L169" s="14" t="s">
        <v>188</v>
      </c>
      <c r="M169" s="14" t="s">
        <v>188</v>
      </c>
      <c r="N169" s="14" t="s">
        <v>188</v>
      </c>
      <c r="O169" s="14" t="s">
        <v>188</v>
      </c>
      <c r="P169" s="14" t="s">
        <v>188</v>
      </c>
      <c r="Q169" s="12"/>
      <c r="R169" s="17">
        <f>Q170 * 45.85</f>
        <v>0</v>
      </c>
      <c r="S169" s="18"/>
      <c r="T169" s="18"/>
      <c r="U169" s="18"/>
      <c r="V169" s="19"/>
    </row>
    <row r="170" spans="2:22" x14ac:dyDescent="0.25">
      <c r="G170" s="1" t="s">
        <v>12</v>
      </c>
      <c r="Q170">
        <f>SUM(Q169:Q169)</f>
        <v>0</v>
      </c>
    </row>
    <row r="171" spans="2:22" x14ac:dyDescent="0.25">
      <c r="B171" s="13">
        <v>10754</v>
      </c>
      <c r="C171" s="4">
        <v>0.06</v>
      </c>
      <c r="D171" s="4" t="s">
        <v>185</v>
      </c>
      <c r="E171" s="16" t="s">
        <v>189</v>
      </c>
      <c r="F171" s="30" t="s">
        <v>187</v>
      </c>
      <c r="G171" s="30" t="s">
        <v>28</v>
      </c>
      <c r="H171" s="30" t="s">
        <v>188</v>
      </c>
      <c r="I171" s="14" t="s">
        <v>188</v>
      </c>
      <c r="J171" s="14" t="s">
        <v>188</v>
      </c>
      <c r="K171" s="14" t="s">
        <v>188</v>
      </c>
      <c r="L171" s="14" t="s">
        <v>188</v>
      </c>
      <c r="M171" s="14" t="s">
        <v>188</v>
      </c>
      <c r="N171" s="14" t="s">
        <v>188</v>
      </c>
      <c r="O171" s="14" t="s">
        <v>188</v>
      </c>
      <c r="P171" s="14" t="s">
        <v>188</v>
      </c>
      <c r="Q171" s="12"/>
      <c r="R171" s="17">
        <f>Q172 * 45.85</f>
        <v>0</v>
      </c>
      <c r="S171" s="18"/>
      <c r="T171" s="18"/>
      <c r="U171" s="18"/>
      <c r="V171" s="19"/>
    </row>
    <row r="172" spans="2:22" x14ac:dyDescent="0.25">
      <c r="G172" s="1" t="s">
        <v>12</v>
      </c>
      <c r="Q172">
        <f>SUM(Q171:Q171)</f>
        <v>0</v>
      </c>
    </row>
    <row r="173" spans="2:22" x14ac:dyDescent="0.25">
      <c r="B173" s="13">
        <v>10751</v>
      </c>
      <c r="C173" s="4">
        <v>5.5E-2</v>
      </c>
      <c r="D173" s="4" t="s">
        <v>177</v>
      </c>
      <c r="E173" s="16" t="s">
        <v>190</v>
      </c>
      <c r="F173" s="30" t="s">
        <v>179</v>
      </c>
      <c r="G173" s="30" t="s">
        <v>28</v>
      </c>
      <c r="H173" s="30" t="s">
        <v>180</v>
      </c>
      <c r="I173" s="14" t="s">
        <v>180</v>
      </c>
      <c r="J173" s="14" t="s">
        <v>180</v>
      </c>
      <c r="K173" s="14" t="s">
        <v>180</v>
      </c>
      <c r="L173" s="14" t="s">
        <v>180</v>
      </c>
      <c r="M173" s="14" t="s">
        <v>180</v>
      </c>
      <c r="N173" s="14" t="s">
        <v>180</v>
      </c>
      <c r="O173" s="14" t="s">
        <v>180</v>
      </c>
      <c r="P173" s="14" t="s">
        <v>180</v>
      </c>
      <c r="Q173" s="12"/>
      <c r="R173" s="17">
        <f>Q174 * 40.39</f>
        <v>0</v>
      </c>
      <c r="S173" s="18"/>
      <c r="T173" s="18"/>
      <c r="U173" s="18"/>
      <c r="V173" s="19"/>
    </row>
    <row r="174" spans="2:22" x14ac:dyDescent="0.25">
      <c r="G174" s="1" t="s">
        <v>12</v>
      </c>
      <c r="Q174">
        <f>SUM(Q173:Q173)</f>
        <v>0</v>
      </c>
    </row>
    <row r="175" spans="2:22" x14ac:dyDescent="0.25">
      <c r="B175" s="13">
        <v>7862</v>
      </c>
      <c r="C175" s="4">
        <v>0.18</v>
      </c>
      <c r="D175" s="4"/>
      <c r="E175" s="16" t="s">
        <v>191</v>
      </c>
      <c r="F175" s="30" t="s">
        <v>192</v>
      </c>
      <c r="G175" s="30" t="s">
        <v>28</v>
      </c>
      <c r="H175" s="30" t="s">
        <v>193</v>
      </c>
      <c r="I175" s="14" t="s">
        <v>193</v>
      </c>
      <c r="J175" s="14" t="s">
        <v>193</v>
      </c>
      <c r="K175" s="14" t="s">
        <v>193</v>
      </c>
      <c r="L175" s="14" t="s">
        <v>193</v>
      </c>
      <c r="M175" s="14" t="s">
        <v>193</v>
      </c>
      <c r="N175" s="14" t="s">
        <v>193</v>
      </c>
      <c r="O175" s="14" t="s">
        <v>193</v>
      </c>
      <c r="P175" s="14" t="s">
        <v>193</v>
      </c>
      <c r="Q175" s="12"/>
      <c r="R175" s="17">
        <f>Q176 * 34.81</f>
        <v>0</v>
      </c>
      <c r="S175" s="18"/>
      <c r="T175" s="18"/>
      <c r="U175" s="18"/>
      <c r="V175" s="19"/>
    </row>
    <row r="176" spans="2:22" x14ac:dyDescent="0.25">
      <c r="G176" s="1" t="s">
        <v>12</v>
      </c>
      <c r="Q176">
        <f>SUM(Q175:Q175)</f>
        <v>0</v>
      </c>
    </row>
    <row r="177" spans="2:22" x14ac:dyDescent="0.25">
      <c r="B177" s="13">
        <v>9859</v>
      </c>
      <c r="C177" s="4">
        <v>0.26</v>
      </c>
      <c r="D177" s="4" t="s">
        <v>194</v>
      </c>
      <c r="E177" s="16" t="s">
        <v>195</v>
      </c>
      <c r="F177" s="30" t="s">
        <v>196</v>
      </c>
      <c r="G177" s="30" t="s">
        <v>28</v>
      </c>
      <c r="H177" s="30" t="s">
        <v>197</v>
      </c>
      <c r="I177" s="14" t="s">
        <v>197</v>
      </c>
      <c r="J177" s="14" t="s">
        <v>197</v>
      </c>
      <c r="K177" s="14" t="s">
        <v>197</v>
      </c>
      <c r="L177" s="14" t="s">
        <v>197</v>
      </c>
      <c r="M177" s="14" t="s">
        <v>197</v>
      </c>
      <c r="N177" s="14" t="s">
        <v>197</v>
      </c>
      <c r="O177" s="14" t="s">
        <v>197</v>
      </c>
      <c r="P177" s="14" t="s">
        <v>197</v>
      </c>
      <c r="Q177" s="12"/>
      <c r="R177" s="17">
        <f>Q178 * 54.7</f>
        <v>0</v>
      </c>
      <c r="S177" s="18"/>
      <c r="T177" s="18"/>
      <c r="U177" s="18"/>
      <c r="V177" s="19"/>
    </row>
    <row r="178" spans="2:22" x14ac:dyDescent="0.25">
      <c r="G178" s="1" t="s">
        <v>12</v>
      </c>
      <c r="Q178">
        <f>SUM(Q177:Q177)</f>
        <v>0</v>
      </c>
    </row>
    <row r="179" spans="2:22" x14ac:dyDescent="0.25">
      <c r="B179" s="13">
        <v>9857</v>
      </c>
      <c r="C179" s="4">
        <v>0.3</v>
      </c>
      <c r="D179" s="4" t="s">
        <v>198</v>
      </c>
      <c r="E179" s="16" t="s">
        <v>199</v>
      </c>
      <c r="F179" s="30" t="s">
        <v>200</v>
      </c>
      <c r="G179" s="30" t="s">
        <v>28</v>
      </c>
      <c r="H179" s="30" t="s">
        <v>201</v>
      </c>
      <c r="I179" s="14" t="s">
        <v>201</v>
      </c>
      <c r="J179" s="14" t="s">
        <v>201</v>
      </c>
      <c r="K179" s="14" t="s">
        <v>201</v>
      </c>
      <c r="L179" s="14" t="s">
        <v>201</v>
      </c>
      <c r="M179" s="14" t="s">
        <v>201</v>
      </c>
      <c r="N179" s="14" t="s">
        <v>201</v>
      </c>
      <c r="O179" s="14" t="s">
        <v>201</v>
      </c>
      <c r="P179" s="14" t="s">
        <v>201</v>
      </c>
      <c r="Q179" s="12"/>
      <c r="R179" s="17">
        <f>Q180 * 38.83</f>
        <v>0</v>
      </c>
      <c r="S179" s="18"/>
      <c r="T179" s="18"/>
      <c r="U179" s="18"/>
      <c r="V179" s="19"/>
    </row>
    <row r="180" spans="2:22" x14ac:dyDescent="0.25">
      <c r="G180" s="1" t="s">
        <v>12</v>
      </c>
      <c r="Q180">
        <f>SUM(Q179:Q179)</f>
        <v>0</v>
      </c>
    </row>
    <row r="181" spans="2:22" x14ac:dyDescent="0.25">
      <c r="B181" s="13">
        <v>9856</v>
      </c>
      <c r="C181" s="4">
        <v>0.3</v>
      </c>
      <c r="D181" s="4" t="s">
        <v>198</v>
      </c>
      <c r="E181" s="16" t="s">
        <v>202</v>
      </c>
      <c r="F181" s="30" t="s">
        <v>203</v>
      </c>
      <c r="G181" s="30" t="s">
        <v>28</v>
      </c>
      <c r="H181" s="30" t="s">
        <v>204</v>
      </c>
      <c r="I181" s="14" t="s">
        <v>204</v>
      </c>
      <c r="J181" s="14" t="s">
        <v>204</v>
      </c>
      <c r="K181" s="14" t="s">
        <v>204</v>
      </c>
      <c r="L181" s="14" t="s">
        <v>204</v>
      </c>
      <c r="M181" s="14" t="s">
        <v>204</v>
      </c>
      <c r="N181" s="14" t="s">
        <v>204</v>
      </c>
      <c r="O181" s="14" t="s">
        <v>204</v>
      </c>
      <c r="P181" s="14" t="s">
        <v>204</v>
      </c>
      <c r="Q181" s="12"/>
      <c r="R181" s="17">
        <f>Q182 * 47.47</f>
        <v>0</v>
      </c>
      <c r="S181" s="18"/>
      <c r="T181" s="18"/>
      <c r="U181" s="18"/>
      <c r="V181" s="19"/>
    </row>
    <row r="182" spans="2:22" x14ac:dyDescent="0.25">
      <c r="G182" s="1" t="s">
        <v>12</v>
      </c>
      <c r="Q182">
        <f>SUM(Q181:Q181)</f>
        <v>0</v>
      </c>
    </row>
    <row r="183" spans="2:22" x14ac:dyDescent="0.25">
      <c r="B183" s="13">
        <v>9858</v>
      </c>
      <c r="C183" s="4">
        <v>0.26</v>
      </c>
      <c r="D183" s="4" t="s">
        <v>205</v>
      </c>
      <c r="E183" s="16" t="s">
        <v>206</v>
      </c>
      <c r="F183" s="30" t="s">
        <v>207</v>
      </c>
      <c r="G183" s="30" t="s">
        <v>28</v>
      </c>
      <c r="H183" s="30" t="s">
        <v>50</v>
      </c>
      <c r="I183" s="14" t="s">
        <v>50</v>
      </c>
      <c r="J183" s="14" t="s">
        <v>50</v>
      </c>
      <c r="K183" s="14" t="s">
        <v>50</v>
      </c>
      <c r="L183" s="14" t="s">
        <v>50</v>
      </c>
      <c r="M183" s="14" t="s">
        <v>50</v>
      </c>
      <c r="N183" s="14" t="s">
        <v>50</v>
      </c>
      <c r="O183" s="14" t="s">
        <v>50</v>
      </c>
      <c r="P183" s="14" t="s">
        <v>50</v>
      </c>
      <c r="Q183" s="12"/>
      <c r="R183" s="17">
        <f>Q184 * 69.67</f>
        <v>0</v>
      </c>
      <c r="S183" s="18"/>
      <c r="T183" s="18"/>
      <c r="U183" s="18"/>
      <c r="V183" s="19"/>
    </row>
    <row r="184" spans="2:22" x14ac:dyDescent="0.25">
      <c r="G184" s="1" t="s">
        <v>12</v>
      </c>
      <c r="Q184">
        <f>SUM(Q183:Q183)</f>
        <v>0</v>
      </c>
    </row>
    <row r="185" spans="2:22" x14ac:dyDescent="0.25">
      <c r="B185" s="13">
        <v>9855</v>
      </c>
      <c r="C185" s="4">
        <v>0.28499999999999998</v>
      </c>
      <c r="D185" s="4"/>
      <c r="E185" s="16" t="s">
        <v>208</v>
      </c>
      <c r="F185" s="30" t="s">
        <v>209</v>
      </c>
      <c r="G185" s="30" t="s">
        <v>28</v>
      </c>
      <c r="H185" s="30" t="s">
        <v>210</v>
      </c>
      <c r="I185" s="14" t="s">
        <v>210</v>
      </c>
      <c r="J185" s="14" t="s">
        <v>210</v>
      </c>
      <c r="K185" s="14" t="s">
        <v>210</v>
      </c>
      <c r="L185" s="14" t="s">
        <v>210</v>
      </c>
      <c r="M185" s="14" t="s">
        <v>210</v>
      </c>
      <c r="N185" s="14" t="s">
        <v>210</v>
      </c>
      <c r="O185" s="14" t="s">
        <v>210</v>
      </c>
      <c r="P185" s="14" t="s">
        <v>210</v>
      </c>
      <c r="Q185" s="12"/>
      <c r="R185" s="17">
        <f>Q186 * 44.99</f>
        <v>0</v>
      </c>
      <c r="S185" s="18"/>
      <c r="T185" s="18"/>
      <c r="U185" s="18"/>
      <c r="V185" s="19"/>
    </row>
    <row r="186" spans="2:22" x14ac:dyDescent="0.25">
      <c r="G186" s="1" t="s">
        <v>12</v>
      </c>
      <c r="Q186">
        <f>SUM(Q185:Q185)</f>
        <v>0</v>
      </c>
    </row>
    <row r="187" spans="2:22" x14ac:dyDescent="0.25">
      <c r="B187" s="13">
        <v>9854</v>
      </c>
      <c r="C187" s="4">
        <v>0.28499999999999998</v>
      </c>
      <c r="D187" s="4"/>
      <c r="E187" s="16" t="s">
        <v>211</v>
      </c>
      <c r="F187" s="30" t="s">
        <v>212</v>
      </c>
      <c r="G187" s="30" t="s">
        <v>28</v>
      </c>
      <c r="H187" s="30" t="s">
        <v>213</v>
      </c>
      <c r="I187" s="14" t="s">
        <v>213</v>
      </c>
      <c r="J187" s="14" t="s">
        <v>213</v>
      </c>
      <c r="K187" s="14" t="s">
        <v>213</v>
      </c>
      <c r="L187" s="14" t="s">
        <v>213</v>
      </c>
      <c r="M187" s="14" t="s">
        <v>213</v>
      </c>
      <c r="N187" s="14" t="s">
        <v>213</v>
      </c>
      <c r="O187" s="14" t="s">
        <v>213</v>
      </c>
      <c r="P187" s="14" t="s">
        <v>213</v>
      </c>
      <c r="Q187" s="12"/>
      <c r="R187" s="17">
        <f>Q188 * 56</f>
        <v>0</v>
      </c>
      <c r="S187" s="18"/>
      <c r="T187" s="18"/>
      <c r="U187" s="18"/>
      <c r="V187" s="19"/>
    </row>
    <row r="188" spans="2:22" x14ac:dyDescent="0.25">
      <c r="G188" s="1" t="s">
        <v>12</v>
      </c>
      <c r="Q188">
        <f>SUM(Q187:Q187)</f>
        <v>0</v>
      </c>
    </row>
    <row r="189" spans="2:22" x14ac:dyDescent="0.25">
      <c r="B189" s="13">
        <v>7303</v>
      </c>
      <c r="C189" s="4">
        <v>0.35</v>
      </c>
      <c r="D189" s="4"/>
      <c r="E189" s="16" t="s">
        <v>214</v>
      </c>
      <c r="F189" s="30" t="s">
        <v>215</v>
      </c>
      <c r="G189" s="30" t="s">
        <v>28</v>
      </c>
      <c r="H189" s="30" t="s">
        <v>216</v>
      </c>
      <c r="I189" s="14" t="s">
        <v>216</v>
      </c>
      <c r="J189" s="14" t="s">
        <v>216</v>
      </c>
      <c r="K189" s="14" t="s">
        <v>216</v>
      </c>
      <c r="L189" s="14" t="s">
        <v>216</v>
      </c>
      <c r="M189" s="14" t="s">
        <v>216</v>
      </c>
      <c r="N189" s="14" t="s">
        <v>216</v>
      </c>
      <c r="O189" s="14" t="s">
        <v>216</v>
      </c>
      <c r="P189" s="14" t="s">
        <v>216</v>
      </c>
      <c r="Q189" s="12"/>
      <c r="R189" s="17">
        <f>Q190 * 11.99</f>
        <v>0</v>
      </c>
      <c r="S189" s="18"/>
      <c r="T189" s="18"/>
      <c r="U189" s="18"/>
      <c r="V189" s="19"/>
    </row>
    <row r="190" spans="2:22" x14ac:dyDescent="0.25">
      <c r="G190" s="1" t="s">
        <v>12</v>
      </c>
      <c r="Q190">
        <f>SUM(Q189:Q189)</f>
        <v>0</v>
      </c>
    </row>
    <row r="191" spans="2:22" x14ac:dyDescent="0.25">
      <c r="B191" s="13">
        <v>7302</v>
      </c>
      <c r="C191" s="4">
        <v>0.26</v>
      </c>
      <c r="D191" s="4"/>
      <c r="E191" s="16" t="s">
        <v>217</v>
      </c>
      <c r="F191" s="30" t="s">
        <v>218</v>
      </c>
      <c r="G191" s="30" t="s">
        <v>28</v>
      </c>
      <c r="H191" s="30" t="s">
        <v>219</v>
      </c>
      <c r="I191" s="14" t="s">
        <v>219</v>
      </c>
      <c r="J191" s="14" t="s">
        <v>219</v>
      </c>
      <c r="K191" s="14" t="s">
        <v>219</v>
      </c>
      <c r="L191" s="14" t="s">
        <v>219</v>
      </c>
      <c r="M191" s="14" t="s">
        <v>219</v>
      </c>
      <c r="N191" s="14" t="s">
        <v>219</v>
      </c>
      <c r="O191" s="14" t="s">
        <v>219</v>
      </c>
      <c r="P191" s="14" t="s">
        <v>219</v>
      </c>
      <c r="Q191" s="12"/>
      <c r="R191" s="17">
        <f>Q192 * 21.7</f>
        <v>0</v>
      </c>
      <c r="S191" s="18"/>
      <c r="T191" s="18"/>
      <c r="U191" s="18"/>
      <c r="V191" s="19"/>
    </row>
    <row r="192" spans="2:22" x14ac:dyDescent="0.25">
      <c r="G192" s="1" t="s">
        <v>12</v>
      </c>
      <c r="Q192">
        <f>SUM(Q191:Q191)</f>
        <v>0</v>
      </c>
    </row>
    <row r="193" spans="2:22" x14ac:dyDescent="0.25">
      <c r="B193" s="13">
        <v>10341</v>
      </c>
      <c r="C193" s="4">
        <v>5.5E-2</v>
      </c>
      <c r="D193" s="4" t="s">
        <v>121</v>
      </c>
      <c r="E193" s="16" t="s">
        <v>222</v>
      </c>
      <c r="F193" s="30" t="s">
        <v>223</v>
      </c>
      <c r="G193" s="30" t="s">
        <v>28</v>
      </c>
      <c r="H193" s="30" t="s">
        <v>224</v>
      </c>
      <c r="I193" s="14" t="s">
        <v>224</v>
      </c>
      <c r="J193" s="14" t="s">
        <v>224</v>
      </c>
      <c r="K193" s="14" t="s">
        <v>224</v>
      </c>
      <c r="L193" s="14" t="s">
        <v>224</v>
      </c>
      <c r="M193" s="14" t="s">
        <v>224</v>
      </c>
      <c r="N193" s="14" t="s">
        <v>224</v>
      </c>
      <c r="O193" s="14" t="s">
        <v>224</v>
      </c>
      <c r="P193" s="14" t="s">
        <v>224</v>
      </c>
      <c r="Q193" s="12"/>
      <c r="R193" s="17">
        <f>Q194 * 22.17</f>
        <v>0</v>
      </c>
      <c r="S193" s="18"/>
      <c r="T193" s="18"/>
      <c r="U193" s="18"/>
      <c r="V193" s="19"/>
    </row>
    <row r="194" spans="2:22" x14ac:dyDescent="0.25">
      <c r="G194" s="1" t="s">
        <v>12</v>
      </c>
      <c r="Q194">
        <f>SUM(Q193:Q193)</f>
        <v>0</v>
      </c>
    </row>
    <row r="195" spans="2:22" x14ac:dyDescent="0.25">
      <c r="B195" s="13">
        <v>8558</v>
      </c>
      <c r="C195" s="4">
        <v>4.4999999999999998E-2</v>
      </c>
      <c r="D195" s="4" t="s">
        <v>121</v>
      </c>
      <c r="E195" s="24" t="s">
        <v>225</v>
      </c>
      <c r="F195" s="27" t="s">
        <v>226</v>
      </c>
      <c r="G195" s="27" t="s">
        <v>28</v>
      </c>
      <c r="H195" s="30" t="s">
        <v>227</v>
      </c>
      <c r="I195" s="30" t="s">
        <v>227</v>
      </c>
      <c r="J195" s="30" t="s">
        <v>227</v>
      </c>
      <c r="K195" s="30" t="s">
        <v>227</v>
      </c>
      <c r="L195" s="30" t="s">
        <v>227</v>
      </c>
      <c r="M195" s="30" t="s">
        <v>227</v>
      </c>
      <c r="N195" s="30" t="s">
        <v>227</v>
      </c>
      <c r="O195" s="30" t="s">
        <v>227</v>
      </c>
      <c r="P195" s="30" t="s">
        <v>227</v>
      </c>
      <c r="Q195" s="12"/>
      <c r="R195" s="31">
        <f>Q198 * 23.65</f>
        <v>0</v>
      </c>
      <c r="S195" s="18"/>
      <c r="T195" s="18"/>
      <c r="U195" s="18"/>
      <c r="V195" s="19"/>
    </row>
    <row r="196" spans="2:22" x14ac:dyDescent="0.25">
      <c r="B196" s="13">
        <v>8559</v>
      </c>
      <c r="C196" s="4">
        <v>0.05</v>
      </c>
      <c r="D196" s="4" t="s">
        <v>168</v>
      </c>
      <c r="E196" s="25"/>
      <c r="F196" s="28"/>
      <c r="G196" s="28"/>
      <c r="H196" s="30"/>
      <c r="I196" s="30"/>
      <c r="J196" s="30"/>
      <c r="K196" s="30"/>
      <c r="L196" s="30"/>
      <c r="M196" s="30"/>
      <c r="N196" s="30"/>
      <c r="O196" s="30"/>
      <c r="P196" s="30"/>
      <c r="Q196" s="12"/>
      <c r="R196" s="32"/>
      <c r="S196" s="20"/>
      <c r="T196" s="20"/>
      <c r="U196" s="20"/>
      <c r="V196" s="21"/>
    </row>
    <row r="197" spans="2:22" x14ac:dyDescent="0.25">
      <c r="B197" s="13">
        <v>8560</v>
      </c>
      <c r="C197" s="4">
        <v>5.5E-2</v>
      </c>
      <c r="D197" s="4" t="s">
        <v>221</v>
      </c>
      <c r="E197" s="26"/>
      <c r="F197" s="29"/>
      <c r="G197" s="29"/>
      <c r="H197" s="30"/>
      <c r="I197" s="30"/>
      <c r="J197" s="30"/>
      <c r="K197" s="30"/>
      <c r="L197" s="30"/>
      <c r="M197" s="30"/>
      <c r="N197" s="30"/>
      <c r="O197" s="30"/>
      <c r="P197" s="30"/>
      <c r="Q197" s="12"/>
      <c r="R197" s="33"/>
      <c r="S197" s="20"/>
      <c r="T197" s="20"/>
      <c r="U197" s="20"/>
      <c r="V197" s="21"/>
    </row>
    <row r="198" spans="2:22" x14ac:dyDescent="0.25">
      <c r="G198" s="1" t="s">
        <v>12</v>
      </c>
      <c r="Q198">
        <f>SUM(Q195:Q197)</f>
        <v>0</v>
      </c>
    </row>
    <row r="199" spans="2:22" x14ac:dyDescent="0.25">
      <c r="B199" s="13">
        <v>8553</v>
      </c>
      <c r="C199" s="4">
        <v>0.04</v>
      </c>
      <c r="D199" s="4" t="s">
        <v>220</v>
      </c>
      <c r="E199" s="24" t="s">
        <v>228</v>
      </c>
      <c r="F199" s="27" t="s">
        <v>229</v>
      </c>
      <c r="G199" s="27" t="s">
        <v>28</v>
      </c>
      <c r="H199" s="30" t="s">
        <v>230</v>
      </c>
      <c r="I199" s="30" t="s">
        <v>230</v>
      </c>
      <c r="J199" s="30" t="s">
        <v>230</v>
      </c>
      <c r="K199" s="30" t="s">
        <v>230</v>
      </c>
      <c r="L199" s="30" t="s">
        <v>230</v>
      </c>
      <c r="M199" s="30" t="s">
        <v>230</v>
      </c>
      <c r="N199" s="30" t="s">
        <v>230</v>
      </c>
      <c r="O199" s="30" t="s">
        <v>230</v>
      </c>
      <c r="P199" s="30" t="s">
        <v>230</v>
      </c>
      <c r="Q199" s="12"/>
      <c r="R199" s="31">
        <f>Q201 * 27.03</f>
        <v>0</v>
      </c>
      <c r="S199" s="18"/>
      <c r="T199" s="18"/>
      <c r="U199" s="18"/>
      <c r="V199" s="19"/>
    </row>
    <row r="200" spans="2:22" x14ac:dyDescent="0.25">
      <c r="B200" s="13">
        <v>8554</v>
      </c>
      <c r="C200" s="4">
        <v>4.4999999999999998E-2</v>
      </c>
      <c r="D200" s="4" t="s">
        <v>121</v>
      </c>
      <c r="E200" s="26"/>
      <c r="F200" s="29"/>
      <c r="G200" s="29"/>
      <c r="H200" s="30"/>
      <c r="I200" s="30"/>
      <c r="J200" s="30"/>
      <c r="K200" s="30"/>
      <c r="L200" s="30"/>
      <c r="M200" s="30"/>
      <c r="N200" s="30"/>
      <c r="O200" s="30"/>
      <c r="P200" s="30"/>
      <c r="Q200" s="12"/>
      <c r="R200" s="33"/>
      <c r="S200" s="20"/>
      <c r="T200" s="20"/>
      <c r="U200" s="20"/>
      <c r="V200" s="21"/>
    </row>
    <row r="201" spans="2:22" x14ac:dyDescent="0.25">
      <c r="G201" s="1" t="s">
        <v>12</v>
      </c>
      <c r="Q201">
        <f>SUM(Q199:Q200)</f>
        <v>0</v>
      </c>
    </row>
    <row r="202" spans="2:22" x14ac:dyDescent="0.25">
      <c r="B202" s="13">
        <v>10417</v>
      </c>
      <c r="C202" s="4">
        <v>3.7999999999999999E-2</v>
      </c>
      <c r="D202" s="4" t="s">
        <v>220</v>
      </c>
      <c r="E202" s="24" t="s">
        <v>231</v>
      </c>
      <c r="F202" s="27" t="s">
        <v>232</v>
      </c>
      <c r="G202" s="27" t="s">
        <v>28</v>
      </c>
      <c r="H202" s="30" t="s">
        <v>233</v>
      </c>
      <c r="I202" s="30" t="s">
        <v>233</v>
      </c>
      <c r="J202" s="30" t="s">
        <v>233</v>
      </c>
      <c r="K202" s="30" t="s">
        <v>233</v>
      </c>
      <c r="L202" s="30" t="s">
        <v>233</v>
      </c>
      <c r="M202" s="30" t="s">
        <v>233</v>
      </c>
      <c r="N202" s="30" t="s">
        <v>233</v>
      </c>
      <c r="O202" s="30" t="s">
        <v>233</v>
      </c>
      <c r="P202" s="30" t="s">
        <v>233</v>
      </c>
      <c r="Q202" s="12"/>
      <c r="R202" s="31">
        <f>Q205 * 29.99</f>
        <v>0</v>
      </c>
      <c r="S202" s="18"/>
      <c r="T202" s="18"/>
      <c r="U202" s="18"/>
      <c r="V202" s="19"/>
    </row>
    <row r="203" spans="2:22" x14ac:dyDescent="0.25">
      <c r="B203" s="13">
        <v>10419</v>
      </c>
      <c r="C203" s="4">
        <v>4.2000000000000003E-2</v>
      </c>
      <c r="D203" s="4" t="s">
        <v>168</v>
      </c>
      <c r="E203" s="25"/>
      <c r="F203" s="28"/>
      <c r="G203" s="28"/>
      <c r="H203" s="30"/>
      <c r="I203" s="30"/>
      <c r="J203" s="30"/>
      <c r="K203" s="30"/>
      <c r="L203" s="30"/>
      <c r="M203" s="30"/>
      <c r="N203" s="30"/>
      <c r="O203" s="30"/>
      <c r="P203" s="30"/>
      <c r="Q203" s="12"/>
      <c r="R203" s="32"/>
      <c r="S203" s="20"/>
      <c r="T203" s="20"/>
      <c r="U203" s="20"/>
      <c r="V203" s="21"/>
    </row>
    <row r="204" spans="2:22" x14ac:dyDescent="0.25">
      <c r="B204" s="13">
        <v>10420</v>
      </c>
      <c r="C204" s="4">
        <v>4.3999999999999997E-2</v>
      </c>
      <c r="D204" s="4" t="s">
        <v>221</v>
      </c>
      <c r="E204" s="26"/>
      <c r="F204" s="29"/>
      <c r="G204" s="29"/>
      <c r="H204" s="30"/>
      <c r="I204" s="30"/>
      <c r="J204" s="30"/>
      <c r="K204" s="30"/>
      <c r="L204" s="30"/>
      <c r="M204" s="30"/>
      <c r="N204" s="30"/>
      <c r="O204" s="30"/>
      <c r="P204" s="30"/>
      <c r="Q204" s="12"/>
      <c r="R204" s="33"/>
      <c r="S204" s="20"/>
      <c r="T204" s="20"/>
      <c r="U204" s="20"/>
      <c r="V204" s="21"/>
    </row>
    <row r="205" spans="2:22" x14ac:dyDescent="0.25">
      <c r="G205" s="1" t="s">
        <v>12</v>
      </c>
      <c r="Q205">
        <f>SUM(Q202:Q204)</f>
        <v>0</v>
      </c>
    </row>
    <row r="206" spans="2:22" x14ac:dyDescent="0.25">
      <c r="B206" s="13">
        <v>10291</v>
      </c>
      <c r="C206" s="4">
        <v>0.05</v>
      </c>
      <c r="D206" s="4" t="s">
        <v>168</v>
      </c>
      <c r="E206" s="24" t="s">
        <v>234</v>
      </c>
      <c r="F206" s="27" t="s">
        <v>235</v>
      </c>
      <c r="G206" s="27" t="s">
        <v>28</v>
      </c>
      <c r="H206" s="30" t="s">
        <v>236</v>
      </c>
      <c r="I206" s="30" t="s">
        <v>236</v>
      </c>
      <c r="J206" s="30" t="s">
        <v>236</v>
      </c>
      <c r="K206" s="30" t="s">
        <v>236</v>
      </c>
      <c r="L206" s="30" t="s">
        <v>236</v>
      </c>
      <c r="M206" s="30" t="s">
        <v>236</v>
      </c>
      <c r="N206" s="30" t="s">
        <v>236</v>
      </c>
      <c r="O206" s="30" t="s">
        <v>236</v>
      </c>
      <c r="P206" s="30" t="s">
        <v>236</v>
      </c>
      <c r="Q206" s="12"/>
      <c r="R206" s="31">
        <f>Q208 * 27.23</f>
        <v>0</v>
      </c>
      <c r="S206" s="18"/>
      <c r="T206" s="18"/>
      <c r="U206" s="18"/>
      <c r="V206" s="19"/>
    </row>
    <row r="207" spans="2:22" x14ac:dyDescent="0.25">
      <c r="B207" s="13">
        <v>14080</v>
      </c>
      <c r="C207" s="4">
        <v>0.05</v>
      </c>
      <c r="D207" s="4" t="s">
        <v>121</v>
      </c>
      <c r="E207" s="26"/>
      <c r="F207" s="29"/>
      <c r="G207" s="29"/>
      <c r="H207" s="30"/>
      <c r="I207" s="30"/>
      <c r="J207" s="30"/>
      <c r="K207" s="30"/>
      <c r="L207" s="30"/>
      <c r="M207" s="30"/>
      <c r="N207" s="30"/>
      <c r="O207" s="30"/>
      <c r="P207" s="30"/>
      <c r="Q207" s="12"/>
      <c r="R207" s="33"/>
      <c r="S207" s="20"/>
      <c r="T207" s="20"/>
      <c r="U207" s="20"/>
      <c r="V207" s="21"/>
    </row>
    <row r="208" spans="2:22" x14ac:dyDescent="0.25">
      <c r="G208" s="1" t="s">
        <v>12</v>
      </c>
      <c r="Q208">
        <f>SUM(Q206:Q207)</f>
        <v>0</v>
      </c>
    </row>
    <row r="209" spans="2:22" x14ac:dyDescent="0.25">
      <c r="B209" s="13">
        <v>12197</v>
      </c>
      <c r="C209" s="4">
        <v>0.01</v>
      </c>
      <c r="D209" s="4" t="s">
        <v>168</v>
      </c>
      <c r="E209" s="16" t="s">
        <v>237</v>
      </c>
      <c r="F209" s="30" t="s">
        <v>236</v>
      </c>
      <c r="G209" s="30" t="s">
        <v>28</v>
      </c>
      <c r="H209" s="30" t="s">
        <v>236</v>
      </c>
      <c r="I209" s="14" t="s">
        <v>236</v>
      </c>
      <c r="J209" s="14" t="s">
        <v>236</v>
      </c>
      <c r="K209" s="14" t="s">
        <v>236</v>
      </c>
      <c r="L209" s="14" t="s">
        <v>236</v>
      </c>
      <c r="M209" s="14" t="s">
        <v>236</v>
      </c>
      <c r="N209" s="14" t="s">
        <v>236</v>
      </c>
      <c r="O209" s="14" t="s">
        <v>236</v>
      </c>
      <c r="P209" s="14" t="s">
        <v>236</v>
      </c>
      <c r="Q209" s="12"/>
      <c r="R209" s="17">
        <f>Q210 * 27.23</f>
        <v>0</v>
      </c>
      <c r="S209" s="18"/>
      <c r="T209" s="18"/>
      <c r="U209" s="18"/>
      <c r="V209" s="19"/>
    </row>
    <row r="210" spans="2:22" x14ac:dyDescent="0.25">
      <c r="G210" s="1" t="s">
        <v>12</v>
      </c>
      <c r="Q210">
        <f>SUM(Q209:Q209)</f>
        <v>0</v>
      </c>
    </row>
    <row r="211" spans="2:22" x14ac:dyDescent="0.25">
      <c r="B211" s="13">
        <v>7241</v>
      </c>
      <c r="C211" s="4">
        <v>0.2</v>
      </c>
      <c r="D211" s="4" t="s">
        <v>55</v>
      </c>
      <c r="E211" s="16" t="s">
        <v>238</v>
      </c>
      <c r="F211" s="30" t="s">
        <v>239</v>
      </c>
      <c r="G211" s="30" t="s">
        <v>28</v>
      </c>
      <c r="H211" s="30" t="s">
        <v>240</v>
      </c>
      <c r="I211" s="14" t="s">
        <v>240</v>
      </c>
      <c r="J211" s="14" t="s">
        <v>240</v>
      </c>
      <c r="K211" s="14" t="s">
        <v>240</v>
      </c>
      <c r="L211" s="14" t="s">
        <v>240</v>
      </c>
      <c r="M211" s="14" t="s">
        <v>240</v>
      </c>
      <c r="N211" s="14" t="s">
        <v>240</v>
      </c>
      <c r="O211" s="14" t="s">
        <v>240</v>
      </c>
      <c r="P211" s="14" t="s">
        <v>240</v>
      </c>
      <c r="Q211" s="12"/>
      <c r="R211" s="17">
        <f>Q212 * 13.79</f>
        <v>0</v>
      </c>
      <c r="S211" s="18"/>
      <c r="T211" s="18"/>
      <c r="U211" s="18"/>
      <c r="V211" s="19"/>
    </row>
    <row r="212" spans="2:22" x14ac:dyDescent="0.25">
      <c r="G212" s="1" t="s">
        <v>12</v>
      </c>
      <c r="Q212">
        <f>SUM(Q211:Q211)</f>
        <v>0</v>
      </c>
    </row>
    <row r="213" spans="2:22" x14ac:dyDescent="0.25">
      <c r="B213" s="13">
        <v>7845</v>
      </c>
      <c r="C213" s="4">
        <v>0.04</v>
      </c>
      <c r="D213" s="4" t="s">
        <v>56</v>
      </c>
      <c r="E213" s="16" t="s">
        <v>241</v>
      </c>
      <c r="F213" s="30" t="s">
        <v>242</v>
      </c>
      <c r="G213" s="30" t="s">
        <v>28</v>
      </c>
      <c r="H213" s="30" t="s">
        <v>243</v>
      </c>
      <c r="I213" s="14" t="s">
        <v>243</v>
      </c>
      <c r="J213" s="14" t="s">
        <v>243</v>
      </c>
      <c r="K213" s="14" t="s">
        <v>243</v>
      </c>
      <c r="L213" s="14" t="s">
        <v>243</v>
      </c>
      <c r="M213" s="14" t="s">
        <v>243</v>
      </c>
      <c r="N213" s="14" t="s">
        <v>243</v>
      </c>
      <c r="O213" s="14" t="s">
        <v>243</v>
      </c>
      <c r="P213" s="14" t="s">
        <v>243</v>
      </c>
      <c r="Q213" s="12"/>
      <c r="R213" s="17">
        <f>Q214 * 8.54</f>
        <v>0</v>
      </c>
      <c r="S213" s="18"/>
      <c r="T213" s="18"/>
      <c r="U213" s="18"/>
      <c r="V213" s="19"/>
    </row>
    <row r="214" spans="2:22" x14ac:dyDescent="0.25">
      <c r="G214" s="1" t="s">
        <v>12</v>
      </c>
      <c r="Q214">
        <f>SUM(Q213:Q213)</f>
        <v>0</v>
      </c>
    </row>
    <row r="215" spans="2:22" x14ac:dyDescent="0.25">
      <c r="B215" s="13">
        <v>13645</v>
      </c>
      <c r="C215" s="4">
        <v>0.12</v>
      </c>
      <c r="D215" s="4"/>
      <c r="E215" s="16" t="s">
        <v>244</v>
      </c>
      <c r="F215" s="30" t="s">
        <v>245</v>
      </c>
      <c r="G215" s="30" t="s">
        <v>28</v>
      </c>
      <c r="H215" s="30" t="s">
        <v>246</v>
      </c>
      <c r="I215" s="14" t="s">
        <v>246</v>
      </c>
      <c r="J215" s="14" t="s">
        <v>246</v>
      </c>
      <c r="K215" s="14" t="s">
        <v>246</v>
      </c>
      <c r="L215" s="14" t="s">
        <v>246</v>
      </c>
      <c r="M215" s="14" t="s">
        <v>246</v>
      </c>
      <c r="N215" s="14" t="s">
        <v>246</v>
      </c>
      <c r="O215" s="14" t="s">
        <v>246</v>
      </c>
      <c r="P215" s="14" t="s">
        <v>246</v>
      </c>
      <c r="Q215" s="12"/>
      <c r="R215" s="17">
        <f>Q216 * 16.45</f>
        <v>0</v>
      </c>
      <c r="S215" s="18"/>
      <c r="T215" s="18"/>
      <c r="U215" s="18"/>
      <c r="V215" s="19"/>
    </row>
    <row r="216" spans="2:22" x14ac:dyDescent="0.25">
      <c r="G216" s="1" t="s">
        <v>12</v>
      </c>
      <c r="Q216">
        <f>SUM(Q215:Q215)</f>
        <v>0</v>
      </c>
    </row>
    <row r="217" spans="2:22" x14ac:dyDescent="0.25">
      <c r="B217" s="13">
        <v>13646</v>
      </c>
      <c r="C217" s="4">
        <v>0.12</v>
      </c>
      <c r="D217" s="4"/>
      <c r="E217" s="16" t="s">
        <v>247</v>
      </c>
      <c r="F217" s="30" t="s">
        <v>245</v>
      </c>
      <c r="G217" s="30" t="s">
        <v>28</v>
      </c>
      <c r="H217" s="30" t="s">
        <v>246</v>
      </c>
      <c r="I217" s="14" t="s">
        <v>246</v>
      </c>
      <c r="J217" s="14" t="s">
        <v>246</v>
      </c>
      <c r="K217" s="14" t="s">
        <v>246</v>
      </c>
      <c r="L217" s="14" t="s">
        <v>246</v>
      </c>
      <c r="M217" s="14" t="s">
        <v>246</v>
      </c>
      <c r="N217" s="14" t="s">
        <v>246</v>
      </c>
      <c r="O217" s="14" t="s">
        <v>246</v>
      </c>
      <c r="P217" s="14" t="s">
        <v>246</v>
      </c>
      <c r="Q217" s="12"/>
      <c r="R217" s="17">
        <f>Q218 * 16.45</f>
        <v>0</v>
      </c>
      <c r="S217" s="18"/>
      <c r="T217" s="18"/>
      <c r="U217" s="18"/>
      <c r="V217" s="19"/>
    </row>
    <row r="218" spans="2:22" x14ac:dyDescent="0.25">
      <c r="G218" s="1" t="s">
        <v>12</v>
      </c>
      <c r="Q218">
        <f>SUM(Q217:Q217)</f>
        <v>0</v>
      </c>
    </row>
    <row r="219" spans="2:22" x14ac:dyDescent="0.25">
      <c r="B219" s="13">
        <v>7252</v>
      </c>
      <c r="C219" s="4">
        <v>0.12</v>
      </c>
      <c r="D219" s="4"/>
      <c r="E219" s="16" t="s">
        <v>248</v>
      </c>
      <c r="F219" s="30" t="s">
        <v>245</v>
      </c>
      <c r="G219" s="30" t="s">
        <v>28</v>
      </c>
      <c r="H219" s="30" t="s">
        <v>246</v>
      </c>
      <c r="I219" s="14" t="s">
        <v>246</v>
      </c>
      <c r="J219" s="14" t="s">
        <v>246</v>
      </c>
      <c r="K219" s="14" t="s">
        <v>246</v>
      </c>
      <c r="L219" s="14" t="s">
        <v>246</v>
      </c>
      <c r="M219" s="14" t="s">
        <v>246</v>
      </c>
      <c r="N219" s="14" t="s">
        <v>246</v>
      </c>
      <c r="O219" s="14" t="s">
        <v>246</v>
      </c>
      <c r="P219" s="14" t="s">
        <v>246</v>
      </c>
      <c r="Q219" s="12"/>
      <c r="R219" s="17">
        <f>Q220 * 16.45</f>
        <v>0</v>
      </c>
      <c r="S219" s="18"/>
      <c r="T219" s="18"/>
      <c r="U219" s="18"/>
      <c r="V219" s="19"/>
    </row>
    <row r="220" spans="2:22" x14ac:dyDescent="0.25">
      <c r="G220" s="1" t="s">
        <v>12</v>
      </c>
      <c r="Q220">
        <f>SUM(Q219:Q219)</f>
        <v>0</v>
      </c>
    </row>
    <row r="221" spans="2:22" x14ac:dyDescent="0.25">
      <c r="B221" s="13">
        <v>11012</v>
      </c>
      <c r="C221" s="4">
        <v>0</v>
      </c>
      <c r="D221" s="4" t="s">
        <v>249</v>
      </c>
      <c r="E221" s="24" t="s">
        <v>250</v>
      </c>
      <c r="F221" s="27" t="s">
        <v>251</v>
      </c>
      <c r="G221" s="27" t="s">
        <v>28</v>
      </c>
      <c r="H221" s="30" t="s">
        <v>252</v>
      </c>
      <c r="I221" s="30" t="s">
        <v>252</v>
      </c>
      <c r="J221" s="30" t="s">
        <v>252</v>
      </c>
      <c r="K221" s="30" t="s">
        <v>252</v>
      </c>
      <c r="L221" s="30" t="s">
        <v>252</v>
      </c>
      <c r="M221" s="30" t="s">
        <v>252</v>
      </c>
      <c r="N221" s="30" t="s">
        <v>252</v>
      </c>
      <c r="O221" s="30" t="s">
        <v>252</v>
      </c>
      <c r="P221" s="30" t="s">
        <v>252</v>
      </c>
      <c r="Q221" s="12"/>
      <c r="R221" s="31">
        <f>Q224 * 10.08</f>
        <v>0</v>
      </c>
      <c r="S221" s="18"/>
      <c r="T221" s="18"/>
      <c r="U221" s="18"/>
      <c r="V221" s="19"/>
    </row>
    <row r="222" spans="2:22" x14ac:dyDescent="0.25">
      <c r="B222" s="13">
        <v>11013</v>
      </c>
      <c r="C222" s="4">
        <v>0</v>
      </c>
      <c r="D222" s="4" t="s">
        <v>253</v>
      </c>
      <c r="E222" s="25"/>
      <c r="F222" s="28"/>
      <c r="G222" s="28"/>
      <c r="H222" s="30"/>
      <c r="I222" s="30"/>
      <c r="J222" s="30"/>
      <c r="K222" s="30"/>
      <c r="L222" s="30"/>
      <c r="M222" s="30"/>
      <c r="N222" s="30"/>
      <c r="O222" s="30"/>
      <c r="P222" s="30"/>
      <c r="Q222" s="12"/>
      <c r="R222" s="32"/>
      <c r="S222" s="20"/>
      <c r="T222" s="20"/>
      <c r="U222" s="20"/>
      <c r="V222" s="21"/>
    </row>
    <row r="223" spans="2:22" x14ac:dyDescent="0.25">
      <c r="B223" s="13">
        <v>11015</v>
      </c>
      <c r="C223" s="4">
        <v>0</v>
      </c>
      <c r="D223" s="4" t="s">
        <v>254</v>
      </c>
      <c r="E223" s="26"/>
      <c r="F223" s="29"/>
      <c r="G223" s="29"/>
      <c r="H223" s="30"/>
      <c r="I223" s="30"/>
      <c r="J223" s="30"/>
      <c r="K223" s="30"/>
      <c r="L223" s="30"/>
      <c r="M223" s="30"/>
      <c r="N223" s="30"/>
      <c r="O223" s="30"/>
      <c r="P223" s="30"/>
      <c r="Q223" s="12"/>
      <c r="R223" s="33"/>
      <c r="S223" s="20"/>
      <c r="T223" s="20"/>
      <c r="U223" s="20"/>
      <c r="V223" s="21"/>
    </row>
    <row r="224" spans="2:22" x14ac:dyDescent="0.25">
      <c r="G224" s="1" t="s">
        <v>12</v>
      </c>
      <c r="Q224">
        <f>SUM(Q221:Q223)</f>
        <v>0</v>
      </c>
    </row>
    <row r="225" spans="2:22" x14ac:dyDescent="0.25">
      <c r="B225" s="13">
        <v>11007</v>
      </c>
      <c r="C225" s="4">
        <v>0</v>
      </c>
      <c r="D225" s="4" t="s">
        <v>255</v>
      </c>
      <c r="E225" s="24" t="s">
        <v>256</v>
      </c>
      <c r="F225" s="27" t="s">
        <v>257</v>
      </c>
      <c r="G225" s="27" t="s">
        <v>28</v>
      </c>
      <c r="H225" s="30" t="s">
        <v>258</v>
      </c>
      <c r="I225" s="30" t="s">
        <v>258</v>
      </c>
      <c r="J225" s="30" t="s">
        <v>258</v>
      </c>
      <c r="K225" s="30" t="s">
        <v>258</v>
      </c>
      <c r="L225" s="30" t="s">
        <v>258</v>
      </c>
      <c r="M225" s="30" t="s">
        <v>258</v>
      </c>
      <c r="N225" s="30" t="s">
        <v>258</v>
      </c>
      <c r="O225" s="30" t="s">
        <v>258</v>
      </c>
      <c r="P225" s="30" t="s">
        <v>258</v>
      </c>
      <c r="Q225" s="12"/>
      <c r="R225" s="31">
        <f>Q229 * 15.2</f>
        <v>0</v>
      </c>
      <c r="S225" s="18"/>
      <c r="T225" s="18"/>
      <c r="U225" s="18"/>
      <c r="V225" s="19"/>
    </row>
    <row r="226" spans="2:22" x14ac:dyDescent="0.25">
      <c r="B226" s="13">
        <v>11008</v>
      </c>
      <c r="C226" s="4">
        <v>0</v>
      </c>
      <c r="D226" s="4" t="s">
        <v>249</v>
      </c>
      <c r="E226" s="25"/>
      <c r="F226" s="28"/>
      <c r="G226" s="28"/>
      <c r="H226" s="30"/>
      <c r="I226" s="30"/>
      <c r="J226" s="30"/>
      <c r="K226" s="30"/>
      <c r="L226" s="30"/>
      <c r="M226" s="30"/>
      <c r="N226" s="30"/>
      <c r="O226" s="30"/>
      <c r="P226" s="30"/>
      <c r="Q226" s="12"/>
      <c r="R226" s="32"/>
      <c r="S226" s="20"/>
      <c r="T226" s="20"/>
      <c r="U226" s="20"/>
      <c r="V226" s="21"/>
    </row>
    <row r="227" spans="2:22" x14ac:dyDescent="0.25">
      <c r="B227" s="13">
        <v>11009</v>
      </c>
      <c r="C227" s="4">
        <v>0</v>
      </c>
      <c r="D227" s="4" t="s">
        <v>253</v>
      </c>
      <c r="E227" s="25"/>
      <c r="F227" s="28"/>
      <c r="G227" s="28"/>
      <c r="H227" s="30"/>
      <c r="I227" s="30"/>
      <c r="J227" s="30"/>
      <c r="K227" s="30"/>
      <c r="L227" s="30"/>
      <c r="M227" s="30"/>
      <c r="N227" s="30"/>
      <c r="O227" s="30"/>
      <c r="P227" s="30"/>
      <c r="Q227" s="12"/>
      <c r="R227" s="32"/>
      <c r="S227" s="20"/>
      <c r="T227" s="20"/>
      <c r="U227" s="20"/>
      <c r="V227" s="21"/>
    </row>
    <row r="228" spans="2:22" x14ac:dyDescent="0.25">
      <c r="B228" s="13">
        <v>11011</v>
      </c>
      <c r="C228" s="4">
        <v>0</v>
      </c>
      <c r="D228" s="4" t="s">
        <v>254</v>
      </c>
      <c r="E228" s="26"/>
      <c r="F228" s="29"/>
      <c r="G228" s="29"/>
      <c r="H228" s="30"/>
      <c r="I228" s="30"/>
      <c r="J228" s="30"/>
      <c r="K228" s="30"/>
      <c r="L228" s="30"/>
      <c r="M228" s="30"/>
      <c r="N228" s="30"/>
      <c r="O228" s="30"/>
      <c r="P228" s="30"/>
      <c r="Q228" s="12"/>
      <c r="R228" s="33"/>
      <c r="S228" s="20"/>
      <c r="T228" s="20"/>
      <c r="U228" s="20"/>
      <c r="V228" s="21"/>
    </row>
    <row r="229" spans="2:22" x14ac:dyDescent="0.25">
      <c r="G229" s="1" t="s">
        <v>12</v>
      </c>
      <c r="Q229">
        <f>SUM(Q225:Q228)</f>
        <v>0</v>
      </c>
    </row>
    <row r="230" spans="2:22" x14ac:dyDescent="0.25">
      <c r="B230" s="13">
        <v>7275</v>
      </c>
      <c r="C230" s="4">
        <v>0.18</v>
      </c>
      <c r="D230" s="4"/>
      <c r="E230" s="16" t="s">
        <v>259</v>
      </c>
      <c r="F230" s="30" t="s">
        <v>260</v>
      </c>
      <c r="G230" s="30" t="s">
        <v>28</v>
      </c>
      <c r="H230" s="30" t="s">
        <v>261</v>
      </c>
      <c r="I230" s="14" t="s">
        <v>261</v>
      </c>
      <c r="J230" s="14" t="s">
        <v>261</v>
      </c>
      <c r="K230" s="14" t="s">
        <v>261</v>
      </c>
      <c r="L230" s="14" t="s">
        <v>261</v>
      </c>
      <c r="M230" s="14" t="s">
        <v>261</v>
      </c>
      <c r="N230" s="14" t="s">
        <v>261</v>
      </c>
      <c r="O230" s="14" t="s">
        <v>261</v>
      </c>
      <c r="P230" s="14" t="s">
        <v>261</v>
      </c>
      <c r="Q230" s="12"/>
      <c r="R230" s="17">
        <f>Q231 * 14.03</f>
        <v>0</v>
      </c>
      <c r="S230" s="18"/>
      <c r="T230" s="18"/>
      <c r="U230" s="18"/>
      <c r="V230" s="19"/>
    </row>
    <row r="231" spans="2:22" x14ac:dyDescent="0.25">
      <c r="G231" s="1" t="s">
        <v>12</v>
      </c>
      <c r="Q231">
        <f>SUM(Q230:Q230)</f>
        <v>0</v>
      </c>
    </row>
    <row r="232" spans="2:22" x14ac:dyDescent="0.25">
      <c r="B232" s="13">
        <v>7858</v>
      </c>
      <c r="C232" s="4">
        <v>0.47</v>
      </c>
      <c r="D232" s="4" t="s">
        <v>262</v>
      </c>
      <c r="E232" s="16" t="s">
        <v>263</v>
      </c>
      <c r="F232" s="30" t="s">
        <v>264</v>
      </c>
      <c r="G232" s="30" t="s">
        <v>28</v>
      </c>
      <c r="H232" s="30" t="s">
        <v>265</v>
      </c>
      <c r="I232" s="14" t="s">
        <v>265</v>
      </c>
      <c r="J232" s="14" t="s">
        <v>265</v>
      </c>
      <c r="K232" s="14" t="s">
        <v>265</v>
      </c>
      <c r="L232" s="14" t="s">
        <v>265</v>
      </c>
      <c r="M232" s="14" t="s">
        <v>265</v>
      </c>
      <c r="N232" s="14" t="s">
        <v>265</v>
      </c>
      <c r="O232" s="14" t="s">
        <v>265</v>
      </c>
      <c r="P232" s="14" t="s">
        <v>265</v>
      </c>
      <c r="Q232" s="12"/>
      <c r="R232" s="17">
        <f>Q233 * 27.15</f>
        <v>0</v>
      </c>
      <c r="S232" s="18"/>
      <c r="T232" s="18"/>
      <c r="U232" s="18"/>
      <c r="V232" s="19"/>
    </row>
    <row r="233" spans="2:22" x14ac:dyDescent="0.25">
      <c r="G233" s="1" t="s">
        <v>12</v>
      </c>
      <c r="Q233">
        <f>SUM(Q232:Q232)</f>
        <v>0</v>
      </c>
    </row>
    <row r="234" spans="2:22" x14ac:dyDescent="0.25">
      <c r="B234" s="13">
        <v>11100</v>
      </c>
      <c r="C234" s="4">
        <v>2.14</v>
      </c>
      <c r="D234" s="4" t="s">
        <v>266</v>
      </c>
      <c r="E234" s="16" t="s">
        <v>267</v>
      </c>
      <c r="F234" s="30" t="s">
        <v>268</v>
      </c>
      <c r="G234" s="30" t="s">
        <v>28</v>
      </c>
      <c r="H234" s="30" t="s">
        <v>269</v>
      </c>
      <c r="I234" s="14" t="s">
        <v>269</v>
      </c>
      <c r="J234" s="14" t="s">
        <v>269</v>
      </c>
      <c r="K234" s="14" t="s">
        <v>269</v>
      </c>
      <c r="L234" s="14" t="s">
        <v>269</v>
      </c>
      <c r="M234" s="14" t="s">
        <v>269</v>
      </c>
      <c r="N234" s="14" t="s">
        <v>269</v>
      </c>
      <c r="O234" s="14" t="s">
        <v>269</v>
      </c>
      <c r="P234" s="14" t="s">
        <v>269</v>
      </c>
      <c r="Q234" s="12"/>
      <c r="R234" s="17">
        <f>Q235 * 424.9</f>
        <v>0</v>
      </c>
      <c r="S234" s="18"/>
      <c r="T234" s="18"/>
      <c r="U234" s="18"/>
      <c r="V234" s="19"/>
    </row>
    <row r="235" spans="2:22" x14ac:dyDescent="0.25">
      <c r="G235" s="1" t="s">
        <v>12</v>
      </c>
      <c r="Q235">
        <f>SUM(Q234:Q234)</f>
        <v>0</v>
      </c>
    </row>
    <row r="236" spans="2:22" x14ac:dyDescent="0.25">
      <c r="B236" s="13">
        <v>11099</v>
      </c>
      <c r="C236" s="4">
        <v>2.14</v>
      </c>
      <c r="D236" s="4" t="s">
        <v>266</v>
      </c>
      <c r="E236" s="16" t="s">
        <v>270</v>
      </c>
      <c r="F236" s="30" t="s">
        <v>268</v>
      </c>
      <c r="G236" s="30" t="s">
        <v>28</v>
      </c>
      <c r="H236" s="30" t="s">
        <v>269</v>
      </c>
      <c r="I236" s="14" t="s">
        <v>269</v>
      </c>
      <c r="J236" s="14" t="s">
        <v>269</v>
      </c>
      <c r="K236" s="14" t="s">
        <v>269</v>
      </c>
      <c r="L236" s="14" t="s">
        <v>269</v>
      </c>
      <c r="M236" s="14" t="s">
        <v>269</v>
      </c>
      <c r="N236" s="14" t="s">
        <v>269</v>
      </c>
      <c r="O236" s="14" t="s">
        <v>269</v>
      </c>
      <c r="P236" s="14" t="s">
        <v>269</v>
      </c>
      <c r="Q236" s="12"/>
      <c r="R236" s="17">
        <f>Q237 * 424.9</f>
        <v>0</v>
      </c>
      <c r="S236" s="18"/>
      <c r="T236" s="18"/>
      <c r="U236" s="18"/>
      <c r="V236" s="19"/>
    </row>
    <row r="237" spans="2:22" x14ac:dyDescent="0.25">
      <c r="G237" s="1" t="s">
        <v>12</v>
      </c>
      <c r="Q237">
        <f>SUM(Q236:Q236)</f>
        <v>0</v>
      </c>
    </row>
    <row r="238" spans="2:22" x14ac:dyDescent="0.25">
      <c r="B238" s="13">
        <v>9628</v>
      </c>
      <c r="C238" s="4">
        <v>1.91</v>
      </c>
      <c r="D238" s="4" t="s">
        <v>271</v>
      </c>
      <c r="E238" s="16" t="s">
        <v>272</v>
      </c>
      <c r="F238" s="30" t="s">
        <v>273</v>
      </c>
      <c r="G238" s="30" t="s">
        <v>28</v>
      </c>
      <c r="H238" s="30" t="s">
        <v>274</v>
      </c>
      <c r="I238" s="14" t="s">
        <v>274</v>
      </c>
      <c r="J238" s="14" t="s">
        <v>274</v>
      </c>
      <c r="K238" s="14" t="s">
        <v>274</v>
      </c>
      <c r="L238" s="14" t="s">
        <v>274</v>
      </c>
      <c r="M238" s="14" t="s">
        <v>274</v>
      </c>
      <c r="N238" s="14" t="s">
        <v>274</v>
      </c>
      <c r="O238" s="14" t="s">
        <v>274</v>
      </c>
      <c r="P238" s="14" t="s">
        <v>274</v>
      </c>
      <c r="Q238" s="12"/>
      <c r="R238" s="17">
        <f>Q239 * 382.22</f>
        <v>0</v>
      </c>
      <c r="S238" s="18"/>
      <c r="T238" s="18"/>
      <c r="U238" s="18"/>
      <c r="V238" s="19"/>
    </row>
    <row r="239" spans="2:22" x14ac:dyDescent="0.25">
      <c r="G239" s="1" t="s">
        <v>12</v>
      </c>
      <c r="Q239">
        <f>SUM(Q238:Q238)</f>
        <v>0</v>
      </c>
    </row>
    <row r="240" spans="2:22" x14ac:dyDescent="0.25">
      <c r="B240" s="13">
        <v>9635</v>
      </c>
      <c r="C240" s="4">
        <v>1.94</v>
      </c>
      <c r="D240" s="4" t="s">
        <v>275</v>
      </c>
      <c r="E240" s="16" t="s">
        <v>276</v>
      </c>
      <c r="F240" s="30" t="s">
        <v>273</v>
      </c>
      <c r="G240" s="30" t="s">
        <v>28</v>
      </c>
      <c r="H240" s="30" t="s">
        <v>274</v>
      </c>
      <c r="I240" s="14" t="s">
        <v>274</v>
      </c>
      <c r="J240" s="14" t="s">
        <v>274</v>
      </c>
      <c r="K240" s="14" t="s">
        <v>274</v>
      </c>
      <c r="L240" s="14" t="s">
        <v>274</v>
      </c>
      <c r="M240" s="14" t="s">
        <v>274</v>
      </c>
      <c r="N240" s="14" t="s">
        <v>274</v>
      </c>
      <c r="O240" s="14" t="s">
        <v>274</v>
      </c>
      <c r="P240" s="14" t="s">
        <v>274</v>
      </c>
      <c r="Q240" s="12"/>
      <c r="R240" s="17">
        <f>Q241 * 382.22</f>
        <v>0</v>
      </c>
      <c r="S240" s="18"/>
      <c r="T240" s="18"/>
      <c r="U240" s="18"/>
      <c r="V240" s="19"/>
    </row>
    <row r="241" spans="2:22" x14ac:dyDescent="0.25">
      <c r="G241" s="1" t="s">
        <v>12</v>
      </c>
      <c r="Q241">
        <f>SUM(Q240:Q240)</f>
        <v>0</v>
      </c>
    </row>
    <row r="242" spans="2:22" x14ac:dyDescent="0.25">
      <c r="B242" s="13">
        <v>7221</v>
      </c>
      <c r="C242" s="4">
        <v>0.06</v>
      </c>
      <c r="D242" s="4" t="s">
        <v>175</v>
      </c>
      <c r="E242" s="16" t="s">
        <v>279</v>
      </c>
      <c r="F242" s="30" t="s">
        <v>280</v>
      </c>
      <c r="G242" s="30" t="s">
        <v>28</v>
      </c>
      <c r="H242" s="30" t="s">
        <v>281</v>
      </c>
      <c r="I242" s="14" t="s">
        <v>281</v>
      </c>
      <c r="J242" s="14" t="s">
        <v>281</v>
      </c>
      <c r="K242" s="14" t="s">
        <v>281</v>
      </c>
      <c r="L242" s="14" t="s">
        <v>281</v>
      </c>
      <c r="M242" s="14" t="s">
        <v>281</v>
      </c>
      <c r="N242" s="14" t="s">
        <v>281</v>
      </c>
      <c r="O242" s="14" t="s">
        <v>281</v>
      </c>
      <c r="P242" s="14" t="s">
        <v>281</v>
      </c>
      <c r="Q242" s="12"/>
      <c r="R242" s="17">
        <f>Q243 * 7.46</f>
        <v>0</v>
      </c>
      <c r="S242" s="18"/>
      <c r="T242" s="18"/>
      <c r="U242" s="18"/>
      <c r="V242" s="19"/>
    </row>
    <row r="243" spans="2:22" x14ac:dyDescent="0.25">
      <c r="G243" s="1" t="s">
        <v>12</v>
      </c>
      <c r="Q243">
        <f>SUM(Q242:Q242)</f>
        <v>0</v>
      </c>
    </row>
    <row r="244" spans="2:22" x14ac:dyDescent="0.25">
      <c r="B244" s="13">
        <v>7226</v>
      </c>
      <c r="C244" s="4">
        <v>0.11</v>
      </c>
      <c r="D244" s="4" t="s">
        <v>282</v>
      </c>
      <c r="E244" s="24" t="s">
        <v>286</v>
      </c>
      <c r="F244" s="27" t="s">
        <v>287</v>
      </c>
      <c r="G244" s="27" t="s">
        <v>28</v>
      </c>
      <c r="H244" s="30" t="s">
        <v>288</v>
      </c>
      <c r="I244" s="30" t="s">
        <v>288</v>
      </c>
      <c r="J244" s="30" t="s">
        <v>288</v>
      </c>
      <c r="K244" s="30" t="s">
        <v>288</v>
      </c>
      <c r="L244" s="30" t="s">
        <v>288</v>
      </c>
      <c r="M244" s="30" t="s">
        <v>288</v>
      </c>
      <c r="N244" s="30" t="s">
        <v>288</v>
      </c>
      <c r="O244" s="30" t="s">
        <v>288</v>
      </c>
      <c r="P244" s="30" t="s">
        <v>288</v>
      </c>
      <c r="Q244" s="12"/>
      <c r="R244" s="31">
        <f>Q248 * 55.51</f>
        <v>0</v>
      </c>
      <c r="S244" s="18"/>
      <c r="T244" s="18"/>
      <c r="U244" s="18"/>
      <c r="V244" s="19"/>
    </row>
    <row r="245" spans="2:22" x14ac:dyDescent="0.25">
      <c r="B245" s="13">
        <v>7227</v>
      </c>
      <c r="C245" s="4">
        <v>0.115</v>
      </c>
      <c r="D245" s="4" t="s">
        <v>283</v>
      </c>
      <c r="E245" s="25"/>
      <c r="F245" s="28"/>
      <c r="G245" s="28"/>
      <c r="H245" s="30"/>
      <c r="I245" s="30"/>
      <c r="J245" s="30"/>
      <c r="K245" s="30"/>
      <c r="L245" s="30"/>
      <c r="M245" s="30"/>
      <c r="N245" s="30"/>
      <c r="O245" s="30"/>
      <c r="P245" s="30"/>
      <c r="Q245" s="12"/>
      <c r="R245" s="32"/>
      <c r="S245" s="20"/>
      <c r="T245" s="20"/>
      <c r="U245" s="20"/>
      <c r="V245" s="21"/>
    </row>
    <row r="246" spans="2:22" x14ac:dyDescent="0.25">
      <c r="B246" s="13">
        <v>8881</v>
      </c>
      <c r="C246" s="4">
        <v>9.5000000000000001E-2</v>
      </c>
      <c r="D246" s="4" t="s">
        <v>285</v>
      </c>
      <c r="E246" s="25"/>
      <c r="F246" s="28"/>
      <c r="G246" s="28"/>
      <c r="H246" s="30"/>
      <c r="I246" s="30"/>
      <c r="J246" s="30"/>
      <c r="K246" s="30"/>
      <c r="L246" s="30"/>
      <c r="M246" s="30"/>
      <c r="N246" s="30"/>
      <c r="O246" s="30"/>
      <c r="P246" s="30"/>
      <c r="Q246" s="12"/>
      <c r="R246" s="32"/>
      <c r="S246" s="20"/>
      <c r="T246" s="20"/>
      <c r="U246" s="20"/>
      <c r="V246" s="21"/>
    </row>
    <row r="247" spans="2:22" x14ac:dyDescent="0.25">
      <c r="B247" s="13">
        <v>8882</v>
      </c>
      <c r="C247" s="4">
        <v>0.1</v>
      </c>
      <c r="D247" s="4" t="s">
        <v>284</v>
      </c>
      <c r="E247" s="26"/>
      <c r="F247" s="29"/>
      <c r="G247" s="29"/>
      <c r="H247" s="30"/>
      <c r="I247" s="30"/>
      <c r="J247" s="30"/>
      <c r="K247" s="30"/>
      <c r="L247" s="30"/>
      <c r="M247" s="30"/>
      <c r="N247" s="30"/>
      <c r="O247" s="30"/>
      <c r="P247" s="30"/>
      <c r="Q247" s="12"/>
      <c r="R247" s="33"/>
      <c r="S247" s="20"/>
      <c r="T247" s="20"/>
      <c r="U247" s="20"/>
      <c r="V247" s="21"/>
    </row>
    <row r="248" spans="2:22" x14ac:dyDescent="0.25">
      <c r="G248" s="1" t="s">
        <v>12</v>
      </c>
      <c r="Q248">
        <f>SUM(Q244:Q247)</f>
        <v>0</v>
      </c>
    </row>
    <row r="249" spans="2:22" x14ac:dyDescent="0.25">
      <c r="B249" s="13">
        <v>7782</v>
      </c>
      <c r="C249" s="4">
        <v>2.7149999999999999</v>
      </c>
      <c r="D249" s="4"/>
      <c r="E249" s="16" t="s">
        <v>289</v>
      </c>
      <c r="F249" s="30" t="s">
        <v>290</v>
      </c>
      <c r="G249" s="30" t="s">
        <v>28</v>
      </c>
      <c r="H249" s="30" t="s">
        <v>291</v>
      </c>
      <c r="I249" s="14" t="s">
        <v>291</v>
      </c>
      <c r="J249" s="14" t="s">
        <v>291</v>
      </c>
      <c r="K249" s="14" t="s">
        <v>291</v>
      </c>
      <c r="L249" s="14" t="s">
        <v>291</v>
      </c>
      <c r="M249" s="14" t="s">
        <v>291</v>
      </c>
      <c r="N249" s="14" t="s">
        <v>291</v>
      </c>
      <c r="O249" s="14" t="s">
        <v>291</v>
      </c>
      <c r="P249" s="14" t="s">
        <v>291</v>
      </c>
      <c r="Q249" s="12"/>
      <c r="R249" s="17">
        <f>Q250 * 150.06</f>
        <v>0</v>
      </c>
      <c r="S249" s="18"/>
      <c r="T249" s="18"/>
      <c r="U249" s="18"/>
      <c r="V249" s="19"/>
    </row>
    <row r="250" spans="2:22" x14ac:dyDescent="0.25">
      <c r="G250" s="1" t="s">
        <v>12</v>
      </c>
      <c r="Q250">
        <f>SUM(Q249:Q249)</f>
        <v>0</v>
      </c>
    </row>
    <row r="251" spans="2:22" ht="26.25" x14ac:dyDescent="0.4">
      <c r="B251" s="11" t="s">
        <v>26</v>
      </c>
      <c r="C251" s="11" t="s">
        <v>293</v>
      </c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2:22" x14ac:dyDescent="0.25">
      <c r="B252" s="13">
        <v>9566</v>
      </c>
      <c r="C252" s="4">
        <v>0.64</v>
      </c>
      <c r="D252" s="4"/>
      <c r="E252" s="16" t="s">
        <v>294</v>
      </c>
      <c r="F252" s="30" t="s">
        <v>295</v>
      </c>
      <c r="G252" s="30" t="s">
        <v>28</v>
      </c>
      <c r="H252" s="30" t="s">
        <v>296</v>
      </c>
      <c r="I252" s="14" t="s">
        <v>385</v>
      </c>
      <c r="J252" s="14" t="s">
        <v>411</v>
      </c>
      <c r="K252" s="14" t="s">
        <v>436</v>
      </c>
      <c r="L252" s="14" t="s">
        <v>461</v>
      </c>
      <c r="M252" s="14" t="s">
        <v>487</v>
      </c>
      <c r="N252" s="14" t="s">
        <v>436</v>
      </c>
      <c r="O252" s="14" t="s">
        <v>385</v>
      </c>
      <c r="P252" s="14" t="s">
        <v>436</v>
      </c>
      <c r="Q252" s="12"/>
      <c r="R252" s="17">
        <f>Q253 * 156.56</f>
        <v>0</v>
      </c>
      <c r="S252" s="18"/>
      <c r="T252" s="18"/>
      <c r="U252" s="18"/>
      <c r="V252" s="19"/>
    </row>
    <row r="253" spans="2:22" x14ac:dyDescent="0.25">
      <c r="G253" s="1" t="s">
        <v>12</v>
      </c>
      <c r="Q253">
        <f>SUM(Q252:Q252)</f>
        <v>0</v>
      </c>
    </row>
    <row r="254" spans="2:22" x14ac:dyDescent="0.25">
      <c r="B254" s="13">
        <v>9045</v>
      </c>
      <c r="C254" s="4">
        <v>0.46</v>
      </c>
      <c r="D254" s="4"/>
      <c r="E254" s="16" t="s">
        <v>297</v>
      </c>
      <c r="F254" s="30" t="s">
        <v>298</v>
      </c>
      <c r="G254" s="30" t="s">
        <v>28</v>
      </c>
      <c r="H254" s="30" t="s">
        <v>299</v>
      </c>
      <c r="I254" s="14" t="s">
        <v>386</v>
      </c>
      <c r="J254" s="14" t="s">
        <v>412</v>
      </c>
      <c r="K254" s="14" t="s">
        <v>437</v>
      </c>
      <c r="L254" s="14" t="s">
        <v>462</v>
      </c>
      <c r="M254" s="14" t="s">
        <v>488</v>
      </c>
      <c r="N254" s="14" t="s">
        <v>437</v>
      </c>
      <c r="O254" s="14" t="s">
        <v>386</v>
      </c>
      <c r="P254" s="14" t="s">
        <v>437</v>
      </c>
      <c r="Q254" s="12"/>
      <c r="R254" s="17">
        <f>Q255 * 134.04</f>
        <v>0</v>
      </c>
      <c r="S254" s="18"/>
      <c r="T254" s="18"/>
      <c r="U254" s="18"/>
      <c r="V254" s="19"/>
    </row>
    <row r="255" spans="2:22" x14ac:dyDescent="0.25">
      <c r="G255" s="1" t="s">
        <v>12</v>
      </c>
      <c r="Q255">
        <f>SUM(Q254:Q254)</f>
        <v>0</v>
      </c>
    </row>
    <row r="256" spans="2:22" x14ac:dyDescent="0.25">
      <c r="G256" s="1" t="s">
        <v>12</v>
      </c>
      <c r="Q256" t="e">
        <f>SUM(#REF!)</f>
        <v>#REF!</v>
      </c>
    </row>
    <row r="257" spans="2:22" x14ac:dyDescent="0.25">
      <c r="B257" s="13">
        <v>9003</v>
      </c>
      <c r="C257" s="4">
        <v>0.185</v>
      </c>
      <c r="D257" s="4"/>
      <c r="E257" s="16" t="s">
        <v>300</v>
      </c>
      <c r="F257" s="30" t="s">
        <v>301</v>
      </c>
      <c r="G257" s="30" t="s">
        <v>28</v>
      </c>
      <c r="H257" s="30" t="s">
        <v>302</v>
      </c>
      <c r="I257" s="14" t="s">
        <v>387</v>
      </c>
      <c r="J257" s="14" t="s">
        <v>413</v>
      </c>
      <c r="K257" s="14" t="s">
        <v>438</v>
      </c>
      <c r="L257" s="14" t="s">
        <v>463</v>
      </c>
      <c r="M257" s="14" t="s">
        <v>489</v>
      </c>
      <c r="N257" s="14" t="s">
        <v>438</v>
      </c>
      <c r="O257" s="14" t="s">
        <v>387</v>
      </c>
      <c r="P257" s="14" t="s">
        <v>438</v>
      </c>
      <c r="Q257" s="12"/>
      <c r="R257" s="17">
        <f>Q258 * 143.87</f>
        <v>0</v>
      </c>
      <c r="S257" s="18"/>
      <c r="T257" s="18"/>
      <c r="U257" s="18"/>
      <c r="V257" s="19"/>
    </row>
    <row r="258" spans="2:22" x14ac:dyDescent="0.25">
      <c r="G258" s="1" t="s">
        <v>12</v>
      </c>
      <c r="Q258">
        <f>SUM(Q257:Q257)</f>
        <v>0</v>
      </c>
    </row>
    <row r="259" spans="2:22" x14ac:dyDescent="0.25">
      <c r="B259" s="13">
        <v>9026</v>
      </c>
      <c r="C259" s="4">
        <v>0.22</v>
      </c>
      <c r="D259" s="4" t="s">
        <v>55</v>
      </c>
      <c r="E259" s="16" t="s">
        <v>303</v>
      </c>
      <c r="F259" s="30" t="s">
        <v>304</v>
      </c>
      <c r="G259" s="30" t="s">
        <v>28</v>
      </c>
      <c r="H259" s="30" t="s">
        <v>305</v>
      </c>
      <c r="I259" s="14" t="s">
        <v>388</v>
      </c>
      <c r="J259" s="14" t="s">
        <v>414</v>
      </c>
      <c r="K259" s="14" t="s">
        <v>439</v>
      </c>
      <c r="L259" s="14" t="s">
        <v>464</v>
      </c>
      <c r="M259" s="14" t="s">
        <v>490</v>
      </c>
      <c r="N259" s="14" t="s">
        <v>439</v>
      </c>
      <c r="O259" s="14" t="s">
        <v>388</v>
      </c>
      <c r="P259" s="14" t="s">
        <v>439</v>
      </c>
      <c r="Q259" s="12"/>
      <c r="R259" s="17">
        <f>Q260 * 85.53</f>
        <v>0</v>
      </c>
      <c r="S259" s="18"/>
      <c r="T259" s="18"/>
      <c r="U259" s="18"/>
      <c r="V259" s="19"/>
    </row>
    <row r="260" spans="2:22" x14ac:dyDescent="0.25">
      <c r="G260" s="1" t="s">
        <v>12</v>
      </c>
      <c r="Q260">
        <f>SUM(Q259:Q259)</f>
        <v>0</v>
      </c>
    </row>
    <row r="261" spans="2:22" x14ac:dyDescent="0.25">
      <c r="B261" s="13">
        <v>9004</v>
      </c>
      <c r="C261" s="4">
        <v>0.2</v>
      </c>
      <c r="D261" s="4" t="s">
        <v>80</v>
      </c>
      <c r="E261" s="24" t="s">
        <v>306</v>
      </c>
      <c r="F261" s="27" t="s">
        <v>301</v>
      </c>
      <c r="G261" s="27" t="s">
        <v>28</v>
      </c>
      <c r="H261" s="30" t="s">
        <v>302</v>
      </c>
      <c r="I261" s="30" t="s">
        <v>387</v>
      </c>
      <c r="J261" s="30" t="s">
        <v>413</v>
      </c>
      <c r="K261" s="30" t="s">
        <v>438</v>
      </c>
      <c r="L261" s="30" t="s">
        <v>463</v>
      </c>
      <c r="M261" s="30" t="s">
        <v>489</v>
      </c>
      <c r="N261" s="30" t="s">
        <v>438</v>
      </c>
      <c r="O261" s="30" t="s">
        <v>387</v>
      </c>
      <c r="P261" s="30" t="s">
        <v>438</v>
      </c>
      <c r="Q261" s="12"/>
      <c r="R261" s="31">
        <f>Q263 * 143.87</f>
        <v>0</v>
      </c>
      <c r="S261" s="18"/>
      <c r="T261" s="18"/>
      <c r="U261" s="18"/>
      <c r="V261" s="19"/>
    </row>
    <row r="262" spans="2:22" x14ac:dyDescent="0.25">
      <c r="B262" s="13">
        <v>9009</v>
      </c>
      <c r="C262" s="4">
        <v>0.2</v>
      </c>
      <c r="D262" s="4" t="s">
        <v>101</v>
      </c>
      <c r="E262" s="26"/>
      <c r="F262" s="29"/>
      <c r="G262" s="29"/>
      <c r="H262" s="30"/>
      <c r="I262" s="30"/>
      <c r="J262" s="30"/>
      <c r="K262" s="30"/>
      <c r="L262" s="30"/>
      <c r="M262" s="30"/>
      <c r="N262" s="30"/>
      <c r="O262" s="30"/>
      <c r="P262" s="30"/>
      <c r="Q262" s="12"/>
      <c r="R262" s="33"/>
      <c r="S262" s="20"/>
      <c r="T262" s="20"/>
      <c r="U262" s="20"/>
      <c r="V262" s="21"/>
    </row>
    <row r="263" spans="2:22" x14ac:dyDescent="0.25">
      <c r="G263" s="1" t="s">
        <v>12</v>
      </c>
      <c r="Q263">
        <f>SUM(Q261:Q262)</f>
        <v>0</v>
      </c>
    </row>
    <row r="264" spans="2:22" x14ac:dyDescent="0.25">
      <c r="B264" s="13">
        <v>9012</v>
      </c>
      <c r="C264" s="4">
        <v>0.18</v>
      </c>
      <c r="D264" s="4" t="s">
        <v>80</v>
      </c>
      <c r="E264" s="24" t="s">
        <v>307</v>
      </c>
      <c r="F264" s="27" t="s">
        <v>308</v>
      </c>
      <c r="G264" s="27" t="s">
        <v>28</v>
      </c>
      <c r="H264" s="30" t="s">
        <v>309</v>
      </c>
      <c r="I264" s="30" t="s">
        <v>389</v>
      </c>
      <c r="J264" s="30" t="s">
        <v>415</v>
      </c>
      <c r="K264" s="30" t="s">
        <v>440</v>
      </c>
      <c r="L264" s="30" t="s">
        <v>465</v>
      </c>
      <c r="M264" s="30" t="s">
        <v>491</v>
      </c>
      <c r="N264" s="30" t="s">
        <v>440</v>
      </c>
      <c r="O264" s="30" t="s">
        <v>389</v>
      </c>
      <c r="P264" s="30" t="s">
        <v>440</v>
      </c>
      <c r="Q264" s="12"/>
      <c r="R264" s="31">
        <f>Q267 * 198.62</f>
        <v>0</v>
      </c>
      <c r="S264" s="18"/>
      <c r="T264" s="18"/>
      <c r="U264" s="18"/>
      <c r="V264" s="19"/>
    </row>
    <row r="265" spans="2:22" x14ac:dyDescent="0.25">
      <c r="B265" s="13">
        <v>9013</v>
      </c>
      <c r="C265" s="4">
        <v>0.18</v>
      </c>
      <c r="D265" s="4" t="s">
        <v>277</v>
      </c>
      <c r="E265" s="25"/>
      <c r="F265" s="28"/>
      <c r="G265" s="28"/>
      <c r="H265" s="30"/>
      <c r="I265" s="30"/>
      <c r="J265" s="30"/>
      <c r="K265" s="30"/>
      <c r="L265" s="30"/>
      <c r="M265" s="30"/>
      <c r="N265" s="30"/>
      <c r="O265" s="30"/>
      <c r="P265" s="30"/>
      <c r="Q265" s="12"/>
      <c r="R265" s="32"/>
      <c r="S265" s="20"/>
      <c r="T265" s="20"/>
      <c r="U265" s="20"/>
      <c r="V265" s="21"/>
    </row>
    <row r="266" spans="2:22" x14ac:dyDescent="0.25">
      <c r="B266" s="13">
        <v>9014</v>
      </c>
      <c r="C266" s="4">
        <v>0.18</v>
      </c>
      <c r="D266" s="4" t="s">
        <v>55</v>
      </c>
      <c r="E266" s="26"/>
      <c r="F266" s="29"/>
      <c r="G266" s="29"/>
      <c r="H266" s="30"/>
      <c r="I266" s="30"/>
      <c r="J266" s="30"/>
      <c r="K266" s="30"/>
      <c r="L266" s="30"/>
      <c r="M266" s="30"/>
      <c r="N266" s="30"/>
      <c r="O266" s="30"/>
      <c r="P266" s="30"/>
      <c r="Q266" s="12"/>
      <c r="R266" s="33"/>
      <c r="S266" s="20"/>
      <c r="T266" s="20"/>
      <c r="U266" s="20"/>
      <c r="V266" s="21"/>
    </row>
    <row r="267" spans="2:22" x14ac:dyDescent="0.25">
      <c r="G267" s="1" t="s">
        <v>12</v>
      </c>
      <c r="Q267">
        <f>SUM(Q264:Q266)</f>
        <v>0</v>
      </c>
    </row>
    <row r="268" spans="2:22" x14ac:dyDescent="0.25">
      <c r="B268" s="13">
        <v>11511</v>
      </c>
      <c r="C268" s="4">
        <v>0.16500000000000001</v>
      </c>
      <c r="D268" s="4"/>
      <c r="E268" s="16" t="s">
        <v>310</v>
      </c>
      <c r="F268" s="30" t="s">
        <v>311</v>
      </c>
      <c r="G268" s="30" t="s">
        <v>28</v>
      </c>
      <c r="H268" s="30" t="s">
        <v>312</v>
      </c>
      <c r="I268" s="14" t="s">
        <v>390</v>
      </c>
      <c r="J268" s="14" t="s">
        <v>416</v>
      </c>
      <c r="K268" s="14" t="s">
        <v>441</v>
      </c>
      <c r="L268" s="14" t="s">
        <v>466</v>
      </c>
      <c r="M268" s="14" t="s">
        <v>492</v>
      </c>
      <c r="N268" s="14" t="s">
        <v>441</v>
      </c>
      <c r="O268" s="14" t="s">
        <v>390</v>
      </c>
      <c r="P268" s="14" t="s">
        <v>441</v>
      </c>
      <c r="Q268" s="12"/>
      <c r="R268" s="17">
        <f>Q269 * 238.57</f>
        <v>0</v>
      </c>
      <c r="S268" s="18"/>
      <c r="T268" s="18"/>
      <c r="U268" s="18"/>
      <c r="V268" s="19"/>
    </row>
    <row r="269" spans="2:22" x14ac:dyDescent="0.25">
      <c r="G269" s="1" t="s">
        <v>12</v>
      </c>
      <c r="Q269">
        <f>SUM(Q268:Q268)</f>
        <v>0</v>
      </c>
    </row>
    <row r="270" spans="2:22" x14ac:dyDescent="0.25">
      <c r="B270" s="13">
        <v>9016</v>
      </c>
      <c r="C270" s="4">
        <v>0.22500000000000001</v>
      </c>
      <c r="D270" s="4" t="s">
        <v>56</v>
      </c>
      <c r="E270" s="24" t="s">
        <v>313</v>
      </c>
      <c r="F270" s="27" t="s">
        <v>301</v>
      </c>
      <c r="G270" s="27" t="s">
        <v>28</v>
      </c>
      <c r="H270" s="30" t="s">
        <v>302</v>
      </c>
      <c r="I270" s="30" t="s">
        <v>387</v>
      </c>
      <c r="J270" s="30" t="s">
        <v>413</v>
      </c>
      <c r="K270" s="30" t="s">
        <v>438</v>
      </c>
      <c r="L270" s="30" t="s">
        <v>463</v>
      </c>
      <c r="M270" s="30" t="s">
        <v>489</v>
      </c>
      <c r="N270" s="30" t="s">
        <v>438</v>
      </c>
      <c r="O270" s="30" t="s">
        <v>387</v>
      </c>
      <c r="P270" s="30" t="s">
        <v>438</v>
      </c>
      <c r="Q270" s="12"/>
      <c r="R270" s="31">
        <f>Q274 * 143.87</f>
        <v>0</v>
      </c>
      <c r="S270" s="18"/>
      <c r="T270" s="18"/>
      <c r="U270" s="18"/>
      <c r="V270" s="19"/>
    </row>
    <row r="271" spans="2:22" x14ac:dyDescent="0.25">
      <c r="B271" s="13">
        <v>9017</v>
      </c>
      <c r="C271" s="4">
        <v>0.22500000000000001</v>
      </c>
      <c r="D271" s="4" t="s">
        <v>277</v>
      </c>
      <c r="E271" s="25"/>
      <c r="F271" s="28"/>
      <c r="G271" s="28"/>
      <c r="H271" s="30"/>
      <c r="I271" s="30"/>
      <c r="J271" s="30"/>
      <c r="K271" s="30"/>
      <c r="L271" s="30"/>
      <c r="M271" s="30"/>
      <c r="N271" s="30"/>
      <c r="O271" s="30"/>
      <c r="P271" s="30"/>
      <c r="Q271" s="12"/>
      <c r="R271" s="32"/>
      <c r="S271" s="20"/>
      <c r="T271" s="20"/>
      <c r="U271" s="20"/>
      <c r="V271" s="21"/>
    </row>
    <row r="272" spans="2:22" x14ac:dyDescent="0.25">
      <c r="B272" s="13">
        <v>9018</v>
      </c>
      <c r="C272" s="4">
        <v>0.22500000000000001</v>
      </c>
      <c r="D272" s="4" t="s">
        <v>65</v>
      </c>
      <c r="E272" s="25"/>
      <c r="F272" s="28"/>
      <c r="G272" s="28"/>
      <c r="H272" s="30"/>
      <c r="I272" s="30"/>
      <c r="J272" s="30"/>
      <c r="K272" s="30"/>
      <c r="L272" s="30"/>
      <c r="M272" s="30"/>
      <c r="N272" s="30"/>
      <c r="O272" s="30"/>
      <c r="P272" s="30"/>
      <c r="Q272" s="12"/>
      <c r="R272" s="32"/>
      <c r="S272" s="20"/>
      <c r="T272" s="20"/>
      <c r="U272" s="20"/>
      <c r="V272" s="21"/>
    </row>
    <row r="273" spans="2:22" x14ac:dyDescent="0.25">
      <c r="B273" s="13">
        <v>9019</v>
      </c>
      <c r="C273" s="4">
        <v>0.22500000000000001</v>
      </c>
      <c r="D273" s="4" t="s">
        <v>80</v>
      </c>
      <c r="E273" s="26"/>
      <c r="F273" s="29"/>
      <c r="G273" s="29"/>
      <c r="H273" s="30"/>
      <c r="I273" s="30"/>
      <c r="J273" s="30"/>
      <c r="K273" s="30"/>
      <c r="L273" s="30"/>
      <c r="M273" s="30"/>
      <c r="N273" s="30"/>
      <c r="O273" s="30"/>
      <c r="P273" s="30"/>
      <c r="Q273" s="12"/>
      <c r="R273" s="33"/>
      <c r="S273" s="20"/>
      <c r="T273" s="20"/>
      <c r="U273" s="20"/>
      <c r="V273" s="21"/>
    </row>
    <row r="274" spans="2:22" x14ac:dyDescent="0.25">
      <c r="G274" s="1" t="s">
        <v>12</v>
      </c>
      <c r="Q274">
        <f>SUM(Q270:Q273)</f>
        <v>0</v>
      </c>
    </row>
    <row r="275" spans="2:22" x14ac:dyDescent="0.25">
      <c r="B275" s="13">
        <v>10377</v>
      </c>
      <c r="C275" s="4">
        <v>0.22500000000000001</v>
      </c>
      <c r="D275" s="4"/>
      <c r="E275" s="16" t="s">
        <v>314</v>
      </c>
      <c r="F275" s="30" t="s">
        <v>315</v>
      </c>
      <c r="G275" s="30" t="s">
        <v>28</v>
      </c>
      <c r="H275" s="30" t="s">
        <v>316</v>
      </c>
      <c r="I275" s="14" t="s">
        <v>391</v>
      </c>
      <c r="J275" s="14" t="s">
        <v>417</v>
      </c>
      <c r="K275" s="14" t="s">
        <v>442</v>
      </c>
      <c r="L275" s="14" t="s">
        <v>467</v>
      </c>
      <c r="M275" s="14" t="s">
        <v>493</v>
      </c>
      <c r="N275" s="14" t="s">
        <v>442</v>
      </c>
      <c r="O275" s="14" t="s">
        <v>391</v>
      </c>
      <c r="P275" s="14" t="s">
        <v>442</v>
      </c>
      <c r="Q275" s="12"/>
      <c r="R275" s="17">
        <f>Q276 * 153.2</f>
        <v>0</v>
      </c>
      <c r="S275" s="18"/>
      <c r="T275" s="18"/>
      <c r="U275" s="18"/>
      <c r="V275" s="19"/>
    </row>
    <row r="276" spans="2:22" x14ac:dyDescent="0.25">
      <c r="G276" s="1" t="s">
        <v>12</v>
      </c>
      <c r="Q276">
        <f>SUM(Q275:Q275)</f>
        <v>0</v>
      </c>
    </row>
    <row r="277" spans="2:22" x14ac:dyDescent="0.25">
      <c r="B277" s="13">
        <v>9021</v>
      </c>
      <c r="C277" s="4">
        <v>0.22</v>
      </c>
      <c r="D277" s="4"/>
      <c r="E277" s="16" t="s">
        <v>317</v>
      </c>
      <c r="F277" s="30" t="s">
        <v>318</v>
      </c>
      <c r="G277" s="30" t="s">
        <v>28</v>
      </c>
      <c r="H277" s="30" t="s">
        <v>319</v>
      </c>
      <c r="I277" s="14" t="s">
        <v>392</v>
      </c>
      <c r="J277" s="14" t="s">
        <v>418</v>
      </c>
      <c r="K277" s="14" t="s">
        <v>443</v>
      </c>
      <c r="L277" s="14" t="s">
        <v>468</v>
      </c>
      <c r="M277" s="14" t="s">
        <v>494</v>
      </c>
      <c r="N277" s="14" t="s">
        <v>443</v>
      </c>
      <c r="O277" s="14" t="s">
        <v>392</v>
      </c>
      <c r="P277" s="14" t="s">
        <v>443</v>
      </c>
      <c r="Q277" s="12"/>
      <c r="R277" s="17">
        <f>Q278 * 171.21</f>
        <v>0</v>
      </c>
      <c r="S277" s="18"/>
      <c r="T277" s="18"/>
      <c r="U277" s="18"/>
      <c r="V277" s="19"/>
    </row>
    <row r="278" spans="2:22" x14ac:dyDescent="0.25">
      <c r="G278" s="1" t="s">
        <v>12</v>
      </c>
      <c r="Q278">
        <f>SUM(Q277:Q277)</f>
        <v>0</v>
      </c>
    </row>
    <row r="279" spans="2:22" ht="26.25" x14ac:dyDescent="0.4">
      <c r="B279" s="11" t="s">
        <v>26</v>
      </c>
      <c r="C279" s="11" t="s">
        <v>320</v>
      </c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2:22" x14ac:dyDescent="0.25">
      <c r="B280" s="13">
        <v>9852</v>
      </c>
      <c r="C280" s="4">
        <v>1.92</v>
      </c>
      <c r="D280" s="4"/>
      <c r="E280" s="16" t="s">
        <v>321</v>
      </c>
      <c r="F280" s="30" t="s">
        <v>322</v>
      </c>
      <c r="G280" s="30" t="s">
        <v>28</v>
      </c>
      <c r="H280" s="30" t="s">
        <v>323</v>
      </c>
      <c r="I280" s="14" t="s">
        <v>323</v>
      </c>
      <c r="J280" s="14" t="s">
        <v>323</v>
      </c>
      <c r="K280" s="14" t="s">
        <v>323</v>
      </c>
      <c r="L280" s="14" t="s">
        <v>323</v>
      </c>
      <c r="M280" s="14" t="s">
        <v>323</v>
      </c>
      <c r="N280" s="14" t="s">
        <v>323</v>
      </c>
      <c r="O280" s="14" t="s">
        <v>323</v>
      </c>
      <c r="P280" s="14" t="s">
        <v>323</v>
      </c>
      <c r="Q280" s="12"/>
      <c r="R280" s="17">
        <f>Q281 * 799</f>
        <v>0</v>
      </c>
      <c r="S280" s="18"/>
      <c r="T280" s="18"/>
      <c r="U280" s="18"/>
      <c r="V280" s="19"/>
    </row>
    <row r="281" spans="2:22" x14ac:dyDescent="0.25">
      <c r="G281" s="1" t="s">
        <v>12</v>
      </c>
      <c r="Q281">
        <f>SUM(Q280:Q280)</f>
        <v>0</v>
      </c>
    </row>
    <row r="282" spans="2:22" x14ac:dyDescent="0.25">
      <c r="B282" s="13">
        <v>8824</v>
      </c>
      <c r="C282" s="4">
        <v>2.7</v>
      </c>
      <c r="D282" s="4" t="s">
        <v>324</v>
      </c>
      <c r="E282" s="16" t="s">
        <v>325</v>
      </c>
      <c r="F282" s="30" t="s">
        <v>326</v>
      </c>
      <c r="G282" s="30" t="s">
        <v>28</v>
      </c>
      <c r="H282" s="30" t="s">
        <v>327</v>
      </c>
      <c r="I282" s="14" t="s">
        <v>327</v>
      </c>
      <c r="J282" s="14" t="s">
        <v>327</v>
      </c>
      <c r="K282" s="14" t="s">
        <v>327</v>
      </c>
      <c r="L282" s="14" t="s">
        <v>327</v>
      </c>
      <c r="M282" s="14" t="s">
        <v>327</v>
      </c>
      <c r="N282" s="14" t="s">
        <v>327</v>
      </c>
      <c r="O282" s="14" t="s">
        <v>327</v>
      </c>
      <c r="P282" s="14" t="s">
        <v>327</v>
      </c>
      <c r="Q282" s="12"/>
      <c r="R282" s="17">
        <f>Q283 * 193.23</f>
        <v>0</v>
      </c>
      <c r="S282" s="18"/>
      <c r="T282" s="18"/>
      <c r="U282" s="18"/>
      <c r="V282" s="19"/>
    </row>
    <row r="283" spans="2:22" x14ac:dyDescent="0.25">
      <c r="G283" s="1" t="s">
        <v>12</v>
      </c>
      <c r="Q283">
        <f>SUM(Q282:Q282)</f>
        <v>0</v>
      </c>
    </row>
    <row r="284" spans="2:22" x14ac:dyDescent="0.25">
      <c r="B284" s="13">
        <v>9667</v>
      </c>
      <c r="C284" s="4">
        <v>2.74</v>
      </c>
      <c r="D284" s="4" t="s">
        <v>328</v>
      </c>
      <c r="E284" s="16" t="s">
        <v>329</v>
      </c>
      <c r="F284" s="30" t="s">
        <v>330</v>
      </c>
      <c r="G284" s="30" t="s">
        <v>28</v>
      </c>
      <c r="H284" s="30" t="s">
        <v>331</v>
      </c>
      <c r="I284" s="14" t="s">
        <v>331</v>
      </c>
      <c r="J284" s="14" t="s">
        <v>331</v>
      </c>
      <c r="K284" s="14" t="s">
        <v>331</v>
      </c>
      <c r="L284" s="14" t="s">
        <v>331</v>
      </c>
      <c r="M284" s="14" t="s">
        <v>331</v>
      </c>
      <c r="N284" s="14" t="s">
        <v>331</v>
      </c>
      <c r="O284" s="14" t="s">
        <v>331</v>
      </c>
      <c r="P284" s="14" t="s">
        <v>331</v>
      </c>
      <c r="Q284" s="12"/>
      <c r="R284" s="17">
        <f>Q285 * 253.69</f>
        <v>0</v>
      </c>
      <c r="S284" s="18"/>
      <c r="T284" s="18"/>
      <c r="U284" s="18"/>
      <c r="V284" s="19"/>
    </row>
    <row r="285" spans="2:22" x14ac:dyDescent="0.25">
      <c r="G285" s="1" t="s">
        <v>12</v>
      </c>
      <c r="Q285">
        <f>SUM(Q284:Q284)</f>
        <v>0</v>
      </c>
    </row>
    <row r="286" spans="2:22" x14ac:dyDescent="0.25">
      <c r="B286" s="13">
        <v>9846</v>
      </c>
      <c r="C286" s="4">
        <v>2.7</v>
      </c>
      <c r="D286" s="4"/>
      <c r="E286" s="16" t="s">
        <v>332</v>
      </c>
      <c r="F286" s="30" t="s">
        <v>333</v>
      </c>
      <c r="G286" s="30" t="s">
        <v>28</v>
      </c>
      <c r="H286" s="30" t="s">
        <v>334</v>
      </c>
      <c r="I286" s="14" t="s">
        <v>334</v>
      </c>
      <c r="J286" s="14" t="s">
        <v>334</v>
      </c>
      <c r="K286" s="14" t="s">
        <v>334</v>
      </c>
      <c r="L286" s="14" t="s">
        <v>334</v>
      </c>
      <c r="M286" s="14" t="s">
        <v>334</v>
      </c>
      <c r="N286" s="14" t="s">
        <v>334</v>
      </c>
      <c r="O286" s="14" t="s">
        <v>334</v>
      </c>
      <c r="P286" s="14" t="s">
        <v>334</v>
      </c>
      <c r="Q286" s="12"/>
      <c r="R286" s="17">
        <f>Q287 * 359.08</f>
        <v>0</v>
      </c>
      <c r="S286" s="18"/>
      <c r="T286" s="18"/>
      <c r="U286" s="18"/>
      <c r="V286" s="19"/>
    </row>
    <row r="287" spans="2:22" x14ac:dyDescent="0.25">
      <c r="G287" s="1" t="s">
        <v>12</v>
      </c>
      <c r="Q287">
        <f>SUM(Q286:Q286)</f>
        <v>0</v>
      </c>
    </row>
    <row r="288" spans="2:22" x14ac:dyDescent="0.25">
      <c r="B288" s="13">
        <v>9848</v>
      </c>
      <c r="C288" s="4">
        <v>2.58</v>
      </c>
      <c r="D288" s="4"/>
      <c r="E288" s="16" t="s">
        <v>335</v>
      </c>
      <c r="F288" s="30" t="s">
        <v>336</v>
      </c>
      <c r="G288" s="30" t="s">
        <v>28</v>
      </c>
      <c r="H288" s="30" t="s">
        <v>337</v>
      </c>
      <c r="I288" s="14" t="s">
        <v>337</v>
      </c>
      <c r="J288" s="14" t="s">
        <v>337</v>
      </c>
      <c r="K288" s="14" t="s">
        <v>337</v>
      </c>
      <c r="L288" s="14" t="s">
        <v>337</v>
      </c>
      <c r="M288" s="14" t="s">
        <v>337</v>
      </c>
      <c r="N288" s="14" t="s">
        <v>337</v>
      </c>
      <c r="O288" s="14" t="s">
        <v>337</v>
      </c>
      <c r="P288" s="14" t="s">
        <v>337</v>
      </c>
      <c r="Q288" s="12"/>
      <c r="R288" s="17">
        <f>Q289 * 249.35</f>
        <v>0</v>
      </c>
      <c r="S288" s="18"/>
      <c r="T288" s="18"/>
      <c r="U288" s="18"/>
      <c r="V288" s="19"/>
    </row>
    <row r="289" spans="2:22" x14ac:dyDescent="0.25">
      <c r="G289" s="1" t="s">
        <v>12</v>
      </c>
      <c r="Q289">
        <f>SUM(Q288:Q288)</f>
        <v>0</v>
      </c>
    </row>
    <row r="290" spans="2:22" x14ac:dyDescent="0.25">
      <c r="B290" s="13">
        <v>8915</v>
      </c>
      <c r="C290" s="4">
        <v>2.875</v>
      </c>
      <c r="D290" s="4"/>
      <c r="E290" s="16" t="s">
        <v>338</v>
      </c>
      <c r="F290" s="30" t="s">
        <v>339</v>
      </c>
      <c r="G290" s="30" t="s">
        <v>28</v>
      </c>
      <c r="H290" s="30" t="s">
        <v>340</v>
      </c>
      <c r="I290" s="14" t="s">
        <v>340</v>
      </c>
      <c r="J290" s="14" t="s">
        <v>340</v>
      </c>
      <c r="K290" s="14" t="s">
        <v>340</v>
      </c>
      <c r="L290" s="14" t="s">
        <v>340</v>
      </c>
      <c r="M290" s="14" t="s">
        <v>340</v>
      </c>
      <c r="N290" s="14" t="s">
        <v>340</v>
      </c>
      <c r="O290" s="14" t="s">
        <v>340</v>
      </c>
      <c r="P290" s="14" t="s">
        <v>340</v>
      </c>
      <c r="Q290" s="12"/>
      <c r="R290" s="17">
        <f>Q291 * 165.5</f>
        <v>0</v>
      </c>
      <c r="S290" s="18"/>
      <c r="T290" s="18"/>
      <c r="U290" s="18"/>
      <c r="V290" s="19"/>
    </row>
    <row r="291" spans="2:22" x14ac:dyDescent="0.25">
      <c r="G291" s="1" t="s">
        <v>12</v>
      </c>
      <c r="Q291">
        <f>SUM(Q290:Q290)</f>
        <v>0</v>
      </c>
    </row>
    <row r="292" spans="2:22" ht="26.25" x14ac:dyDescent="0.4">
      <c r="B292" s="11" t="s">
        <v>26</v>
      </c>
      <c r="C292" s="11" t="s">
        <v>341</v>
      </c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2:22" x14ac:dyDescent="0.25">
      <c r="B293" s="13">
        <v>11024</v>
      </c>
      <c r="C293" s="4">
        <v>0.42599999999999999</v>
      </c>
      <c r="D293" s="4" t="s">
        <v>342</v>
      </c>
      <c r="E293" s="24" t="s">
        <v>343</v>
      </c>
      <c r="F293" s="27" t="s">
        <v>344</v>
      </c>
      <c r="G293" s="27" t="s">
        <v>28</v>
      </c>
      <c r="H293" s="30" t="s">
        <v>345</v>
      </c>
      <c r="I293" s="30" t="s">
        <v>345</v>
      </c>
      <c r="J293" s="30" t="s">
        <v>345</v>
      </c>
      <c r="K293" s="30" t="s">
        <v>345</v>
      </c>
      <c r="L293" s="30" t="s">
        <v>345</v>
      </c>
      <c r="M293" s="30" t="s">
        <v>345</v>
      </c>
      <c r="N293" s="30" t="s">
        <v>345</v>
      </c>
      <c r="O293" s="30" t="s">
        <v>345</v>
      </c>
      <c r="P293" s="30" t="s">
        <v>345</v>
      </c>
      <c r="Q293" s="12"/>
      <c r="R293" s="31">
        <f>Q297 * 17.78</f>
        <v>0</v>
      </c>
      <c r="S293" s="18"/>
      <c r="T293" s="18"/>
      <c r="U293" s="18"/>
      <c r="V293" s="19"/>
    </row>
    <row r="294" spans="2:22" x14ac:dyDescent="0.25">
      <c r="B294" s="13">
        <v>11025</v>
      </c>
      <c r="C294" s="4">
        <v>0.42599999999999999</v>
      </c>
      <c r="D294" s="4" t="s">
        <v>175</v>
      </c>
      <c r="E294" s="25"/>
      <c r="F294" s="28"/>
      <c r="G294" s="28"/>
      <c r="H294" s="30"/>
      <c r="I294" s="30"/>
      <c r="J294" s="30"/>
      <c r="K294" s="30"/>
      <c r="L294" s="30"/>
      <c r="M294" s="30"/>
      <c r="N294" s="30"/>
      <c r="O294" s="30"/>
      <c r="P294" s="30"/>
      <c r="Q294" s="12"/>
      <c r="R294" s="32"/>
      <c r="S294" s="20"/>
      <c r="T294" s="20"/>
      <c r="U294" s="20"/>
      <c r="V294" s="21"/>
    </row>
    <row r="295" spans="2:22" x14ac:dyDescent="0.25">
      <c r="B295" s="13">
        <v>11026</v>
      </c>
      <c r="C295" s="4">
        <v>0.42599999999999999</v>
      </c>
      <c r="D295" s="4" t="s">
        <v>170</v>
      </c>
      <c r="E295" s="25"/>
      <c r="F295" s="28"/>
      <c r="G295" s="28"/>
      <c r="H295" s="30"/>
      <c r="I295" s="30"/>
      <c r="J295" s="30"/>
      <c r="K295" s="30"/>
      <c r="L295" s="30"/>
      <c r="M295" s="30"/>
      <c r="N295" s="30"/>
      <c r="O295" s="30"/>
      <c r="P295" s="30"/>
      <c r="Q295" s="12"/>
      <c r="R295" s="32"/>
      <c r="S295" s="20"/>
      <c r="T295" s="20"/>
      <c r="U295" s="20"/>
      <c r="V295" s="21"/>
    </row>
    <row r="296" spans="2:22" x14ac:dyDescent="0.25">
      <c r="B296" s="13">
        <v>11027</v>
      </c>
      <c r="C296" s="4">
        <v>0.42599999999999999</v>
      </c>
      <c r="D296" s="4" t="s">
        <v>80</v>
      </c>
      <c r="E296" s="26"/>
      <c r="F296" s="29"/>
      <c r="G296" s="29"/>
      <c r="H296" s="30"/>
      <c r="I296" s="30"/>
      <c r="J296" s="30"/>
      <c r="K296" s="30"/>
      <c r="L296" s="30"/>
      <c r="M296" s="30"/>
      <c r="N296" s="30"/>
      <c r="O296" s="30"/>
      <c r="P296" s="30"/>
      <c r="Q296" s="12"/>
      <c r="R296" s="33"/>
      <c r="S296" s="20"/>
      <c r="T296" s="20"/>
      <c r="U296" s="20"/>
      <c r="V296" s="21"/>
    </row>
    <row r="297" spans="2:22" x14ac:dyDescent="0.25">
      <c r="G297" s="1" t="s">
        <v>12</v>
      </c>
      <c r="Q297">
        <f>SUM(Q293:Q296)</f>
        <v>0</v>
      </c>
    </row>
    <row r="298" spans="2:22" ht="26.25" x14ac:dyDescent="0.4">
      <c r="B298" s="11" t="s">
        <v>26</v>
      </c>
      <c r="C298" s="11" t="s">
        <v>346</v>
      </c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2:22" x14ac:dyDescent="0.25">
      <c r="G299" s="1" t="s">
        <v>12</v>
      </c>
      <c r="Q299" t="e">
        <f>SUM(#REF!)</f>
        <v>#REF!</v>
      </c>
    </row>
    <row r="300" spans="2:22" x14ac:dyDescent="0.25">
      <c r="B300" s="13">
        <v>12665</v>
      </c>
      <c r="C300" s="4">
        <v>0.14000000000000001</v>
      </c>
      <c r="D300" s="4" t="s">
        <v>278</v>
      </c>
      <c r="E300" s="24" t="s">
        <v>347</v>
      </c>
      <c r="F300" s="27" t="s">
        <v>348</v>
      </c>
      <c r="G300" s="27" t="s">
        <v>28</v>
      </c>
      <c r="H300" s="30" t="s">
        <v>349</v>
      </c>
      <c r="I300" s="30" t="s">
        <v>349</v>
      </c>
      <c r="J300" s="30" t="s">
        <v>349</v>
      </c>
      <c r="K300" s="30" t="s">
        <v>349</v>
      </c>
      <c r="L300" s="30" t="s">
        <v>349</v>
      </c>
      <c r="M300" s="30" t="s">
        <v>349</v>
      </c>
      <c r="N300" s="30" t="s">
        <v>349</v>
      </c>
      <c r="O300" s="30" t="s">
        <v>349</v>
      </c>
      <c r="P300" s="30" t="s">
        <v>349</v>
      </c>
      <c r="Q300" s="12"/>
      <c r="R300" s="31">
        <f>Q302 * 335.2</f>
        <v>0</v>
      </c>
      <c r="S300" s="18"/>
      <c r="T300" s="18"/>
      <c r="U300" s="18"/>
      <c r="V300" s="19"/>
    </row>
    <row r="301" spans="2:22" x14ac:dyDescent="0.25">
      <c r="B301" s="13">
        <v>12666</v>
      </c>
      <c r="C301" s="4">
        <v>0.14000000000000001</v>
      </c>
      <c r="D301" s="4" t="s">
        <v>350</v>
      </c>
      <c r="E301" s="26"/>
      <c r="F301" s="29"/>
      <c r="G301" s="29"/>
      <c r="H301" s="30"/>
      <c r="I301" s="30"/>
      <c r="J301" s="30"/>
      <c r="K301" s="30"/>
      <c r="L301" s="30"/>
      <c r="M301" s="30"/>
      <c r="N301" s="30"/>
      <c r="O301" s="30"/>
      <c r="P301" s="30"/>
      <c r="Q301" s="12"/>
      <c r="R301" s="33"/>
      <c r="S301" s="20"/>
      <c r="T301" s="20"/>
      <c r="U301" s="20"/>
      <c r="V301" s="21"/>
    </row>
    <row r="302" spans="2:22" x14ac:dyDescent="0.25">
      <c r="G302" s="1" t="s">
        <v>12</v>
      </c>
      <c r="Q302">
        <f>SUM(Q300:Q301)</f>
        <v>0</v>
      </c>
    </row>
    <row r="303" spans="2:22" ht="26.25" x14ac:dyDescent="0.4">
      <c r="B303" s="11" t="s">
        <v>26</v>
      </c>
      <c r="C303" s="11" t="s">
        <v>352</v>
      </c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2:22" x14ac:dyDescent="0.25">
      <c r="B304" s="13">
        <v>13113</v>
      </c>
      <c r="C304" s="4">
        <v>0.01</v>
      </c>
      <c r="D304" s="4" t="s">
        <v>353</v>
      </c>
      <c r="E304" s="16" t="s">
        <v>354</v>
      </c>
      <c r="F304" s="30" t="s">
        <v>355</v>
      </c>
      <c r="G304" s="30" t="s">
        <v>28</v>
      </c>
      <c r="H304" s="30" t="s">
        <v>292</v>
      </c>
      <c r="I304" s="14" t="s">
        <v>292</v>
      </c>
      <c r="J304" s="14" t="s">
        <v>292</v>
      </c>
      <c r="K304" s="14" t="s">
        <v>292</v>
      </c>
      <c r="L304" s="14" t="s">
        <v>292</v>
      </c>
      <c r="M304" s="14" t="s">
        <v>292</v>
      </c>
      <c r="N304" s="14" t="s">
        <v>292</v>
      </c>
      <c r="O304" s="14" t="s">
        <v>292</v>
      </c>
      <c r="P304" s="14" t="s">
        <v>292</v>
      </c>
      <c r="Q304" s="12"/>
      <c r="R304" s="17">
        <f>Q305 * 94.3</f>
        <v>0</v>
      </c>
      <c r="S304" s="18"/>
      <c r="T304" s="18"/>
      <c r="U304" s="18"/>
      <c r="V304" s="19"/>
    </row>
    <row r="305" spans="2:22" x14ac:dyDescent="0.25">
      <c r="G305" s="1" t="s">
        <v>12</v>
      </c>
      <c r="Q305">
        <f>SUM(Q304:Q304)</f>
        <v>0</v>
      </c>
    </row>
    <row r="306" spans="2:22" x14ac:dyDescent="0.25">
      <c r="B306" s="13">
        <v>13118</v>
      </c>
      <c r="C306" s="4">
        <v>0.01</v>
      </c>
      <c r="D306" s="4" t="s">
        <v>80</v>
      </c>
      <c r="E306" s="24" t="s">
        <v>356</v>
      </c>
      <c r="F306" s="27" t="s">
        <v>357</v>
      </c>
      <c r="G306" s="27" t="s">
        <v>28</v>
      </c>
      <c r="H306" s="30" t="s">
        <v>358</v>
      </c>
      <c r="I306" s="30" t="s">
        <v>358</v>
      </c>
      <c r="J306" s="30" t="s">
        <v>358</v>
      </c>
      <c r="K306" s="30" t="s">
        <v>358</v>
      </c>
      <c r="L306" s="30" t="s">
        <v>358</v>
      </c>
      <c r="M306" s="30" t="s">
        <v>358</v>
      </c>
      <c r="N306" s="30" t="s">
        <v>358</v>
      </c>
      <c r="O306" s="30" t="s">
        <v>358</v>
      </c>
      <c r="P306" s="30" t="s">
        <v>358</v>
      </c>
      <c r="Q306" s="12"/>
      <c r="R306" s="31">
        <f>Q311 * 35.7</f>
        <v>0</v>
      </c>
      <c r="S306" s="18"/>
      <c r="T306" s="18"/>
      <c r="U306" s="18"/>
      <c r="V306" s="19"/>
    </row>
    <row r="307" spans="2:22" x14ac:dyDescent="0.25">
      <c r="B307" s="13">
        <v>13127</v>
      </c>
      <c r="C307" s="4">
        <v>0.01</v>
      </c>
      <c r="D307" s="4" t="s">
        <v>169</v>
      </c>
      <c r="E307" s="25"/>
      <c r="F307" s="28"/>
      <c r="G307" s="28"/>
      <c r="H307" s="30"/>
      <c r="I307" s="30"/>
      <c r="J307" s="30"/>
      <c r="K307" s="30"/>
      <c r="L307" s="30"/>
      <c r="M307" s="30"/>
      <c r="N307" s="30"/>
      <c r="O307" s="30"/>
      <c r="P307" s="30"/>
      <c r="Q307" s="12"/>
      <c r="R307" s="32"/>
      <c r="S307" s="20"/>
      <c r="T307" s="20"/>
      <c r="U307" s="20"/>
      <c r="V307" s="21"/>
    </row>
    <row r="308" spans="2:22" x14ac:dyDescent="0.25">
      <c r="B308" s="13">
        <v>13128</v>
      </c>
      <c r="C308" s="4">
        <v>0.01</v>
      </c>
      <c r="D308" s="4" t="s">
        <v>170</v>
      </c>
      <c r="E308" s="25"/>
      <c r="F308" s="28"/>
      <c r="G308" s="28"/>
      <c r="H308" s="30"/>
      <c r="I308" s="30"/>
      <c r="J308" s="30"/>
      <c r="K308" s="30"/>
      <c r="L308" s="30"/>
      <c r="M308" s="30"/>
      <c r="N308" s="30"/>
      <c r="O308" s="30"/>
      <c r="P308" s="30"/>
      <c r="Q308" s="12"/>
      <c r="R308" s="32"/>
      <c r="S308" s="20"/>
      <c r="T308" s="20"/>
      <c r="U308" s="20"/>
      <c r="V308" s="21"/>
    </row>
    <row r="309" spans="2:22" x14ac:dyDescent="0.25">
      <c r="B309" s="13">
        <v>13129</v>
      </c>
      <c r="C309" s="4">
        <v>0.01</v>
      </c>
      <c r="D309" s="4" t="s">
        <v>106</v>
      </c>
      <c r="E309" s="25"/>
      <c r="F309" s="28"/>
      <c r="G309" s="28"/>
      <c r="H309" s="30"/>
      <c r="I309" s="30"/>
      <c r="J309" s="30"/>
      <c r="K309" s="30"/>
      <c r="L309" s="30"/>
      <c r="M309" s="30"/>
      <c r="N309" s="30"/>
      <c r="O309" s="30"/>
      <c r="P309" s="30"/>
      <c r="Q309" s="12"/>
      <c r="R309" s="32"/>
      <c r="S309" s="20"/>
      <c r="T309" s="20"/>
      <c r="U309" s="20"/>
      <c r="V309" s="21"/>
    </row>
    <row r="310" spans="2:22" x14ac:dyDescent="0.25">
      <c r="B310" s="13">
        <v>13130</v>
      </c>
      <c r="C310" s="4">
        <v>0.01</v>
      </c>
      <c r="D310" s="4" t="s">
        <v>175</v>
      </c>
      <c r="E310" s="26"/>
      <c r="F310" s="29"/>
      <c r="G310" s="29"/>
      <c r="H310" s="30"/>
      <c r="I310" s="30"/>
      <c r="J310" s="30"/>
      <c r="K310" s="30"/>
      <c r="L310" s="30"/>
      <c r="M310" s="30"/>
      <c r="N310" s="30"/>
      <c r="O310" s="30"/>
      <c r="P310" s="30"/>
      <c r="Q310" s="12"/>
      <c r="R310" s="33"/>
      <c r="S310" s="20"/>
      <c r="T310" s="20"/>
      <c r="U310" s="20"/>
      <c r="V310" s="21"/>
    </row>
    <row r="311" spans="2:22" x14ac:dyDescent="0.25">
      <c r="G311" s="1" t="s">
        <v>12</v>
      </c>
      <c r="Q311">
        <f>SUM(Q306:Q310)</f>
        <v>0</v>
      </c>
    </row>
    <row r="312" spans="2:22" x14ac:dyDescent="0.25">
      <c r="B312" s="13">
        <v>13117</v>
      </c>
      <c r="C312" s="4">
        <v>0.01</v>
      </c>
      <c r="D312" s="4"/>
      <c r="E312" s="16" t="s">
        <v>359</v>
      </c>
      <c r="F312" s="30" t="s">
        <v>360</v>
      </c>
      <c r="G312" s="30" t="s">
        <v>28</v>
      </c>
      <c r="H312" s="30" t="s">
        <v>361</v>
      </c>
      <c r="I312" s="14" t="s">
        <v>361</v>
      </c>
      <c r="J312" s="14" t="s">
        <v>361</v>
      </c>
      <c r="K312" s="14" t="s">
        <v>361</v>
      </c>
      <c r="L312" s="14" t="s">
        <v>361</v>
      </c>
      <c r="M312" s="14" t="s">
        <v>361</v>
      </c>
      <c r="N312" s="14" t="s">
        <v>361</v>
      </c>
      <c r="O312" s="14" t="s">
        <v>361</v>
      </c>
      <c r="P312" s="14" t="s">
        <v>361</v>
      </c>
      <c r="Q312" s="12"/>
      <c r="R312" s="17">
        <f>Q313 * 3.14</f>
        <v>0</v>
      </c>
      <c r="S312" s="18"/>
      <c r="T312" s="18"/>
      <c r="U312" s="18"/>
      <c r="V312" s="19"/>
    </row>
    <row r="313" spans="2:22" x14ac:dyDescent="0.25">
      <c r="G313" s="1" t="s">
        <v>12</v>
      </c>
      <c r="Q313">
        <f>SUM(Q312:Q312)</f>
        <v>0</v>
      </c>
    </row>
    <row r="314" spans="2:22" x14ac:dyDescent="0.25">
      <c r="B314" s="13">
        <v>13116</v>
      </c>
      <c r="C314" s="4">
        <v>0.01</v>
      </c>
      <c r="D314" s="4"/>
      <c r="E314" s="16" t="s">
        <v>362</v>
      </c>
      <c r="F314" s="30" t="s">
        <v>125</v>
      </c>
      <c r="G314" s="30" t="s">
        <v>28</v>
      </c>
      <c r="H314" s="30" t="s">
        <v>363</v>
      </c>
      <c r="I314" s="14" t="s">
        <v>363</v>
      </c>
      <c r="J314" s="14" t="s">
        <v>363</v>
      </c>
      <c r="K314" s="14" t="s">
        <v>363</v>
      </c>
      <c r="L314" s="14" t="s">
        <v>363</v>
      </c>
      <c r="M314" s="14" t="s">
        <v>363</v>
      </c>
      <c r="N314" s="14" t="s">
        <v>363</v>
      </c>
      <c r="O314" s="14" t="s">
        <v>363</v>
      </c>
      <c r="P314" s="14" t="s">
        <v>363</v>
      </c>
      <c r="Q314" s="12"/>
      <c r="R314" s="17">
        <f>Q315 * 29.7</f>
        <v>0</v>
      </c>
      <c r="S314" s="18"/>
      <c r="T314" s="18"/>
      <c r="U314" s="18"/>
      <c r="V314" s="19"/>
    </row>
    <row r="315" spans="2:22" x14ac:dyDescent="0.25">
      <c r="G315" s="1" t="s">
        <v>12</v>
      </c>
      <c r="Q315">
        <f>SUM(Q314:Q314)</f>
        <v>0</v>
      </c>
    </row>
    <row r="316" spans="2:22" x14ac:dyDescent="0.25">
      <c r="B316" s="13">
        <v>13114</v>
      </c>
      <c r="C316" s="4">
        <v>0.01</v>
      </c>
      <c r="D316" s="4"/>
      <c r="E316" s="16" t="s">
        <v>364</v>
      </c>
      <c r="F316" s="30" t="s">
        <v>365</v>
      </c>
      <c r="G316" s="30" t="s">
        <v>28</v>
      </c>
      <c r="H316" s="30" t="s">
        <v>351</v>
      </c>
      <c r="I316" s="14" t="s">
        <v>351</v>
      </c>
      <c r="J316" s="14" t="s">
        <v>351</v>
      </c>
      <c r="K316" s="14" t="s">
        <v>351</v>
      </c>
      <c r="L316" s="14" t="s">
        <v>351</v>
      </c>
      <c r="M316" s="14" t="s">
        <v>351</v>
      </c>
      <c r="N316" s="14" t="s">
        <v>351</v>
      </c>
      <c r="O316" s="14" t="s">
        <v>351</v>
      </c>
      <c r="P316" s="14" t="s">
        <v>351</v>
      </c>
      <c r="Q316" s="12"/>
      <c r="R316" s="17">
        <f>Q317 * 10.2</f>
        <v>0</v>
      </c>
      <c r="S316" s="18"/>
      <c r="T316" s="18"/>
      <c r="U316" s="18"/>
      <c r="V316" s="19"/>
    </row>
    <row r="317" spans="2:22" x14ac:dyDescent="0.25">
      <c r="G317" s="1" t="s">
        <v>12</v>
      </c>
      <c r="Q317">
        <f>SUM(Q316:Q316)</f>
        <v>0</v>
      </c>
    </row>
  </sheetData>
  <sheetProtection formatCells="0" formatColumns="0" formatRows="0" insertColumns="0" insertRows="0" insertHyperlinks="0" deleteColumns="0" deleteRows="0" sort="0" autoFilter="0" pivotTables="0"/>
  <autoFilter ref="B2:V317"/>
  <mergeCells count="889">
    <mergeCell ref="P300:P301"/>
    <mergeCell ref="P306:P310"/>
    <mergeCell ref="P225:P228"/>
    <mergeCell ref="P206:P207"/>
    <mergeCell ref="P202:P204"/>
    <mergeCell ref="P156:P161"/>
    <mergeCell ref="P91:P93"/>
    <mergeCell ref="P103:P104"/>
    <mergeCell ref="P106:P107"/>
    <mergeCell ref="P52:P54"/>
    <mergeCell ref="P70:P71"/>
    <mergeCell ref="P88:P89"/>
    <mergeCell ref="P34:P40"/>
    <mergeCell ref="O300:O301"/>
    <mergeCell ref="O306:O310"/>
    <mergeCell ref="O225:O228"/>
    <mergeCell ref="O206:O207"/>
    <mergeCell ref="O202:O204"/>
    <mergeCell ref="O156:O161"/>
    <mergeCell ref="O91:O93"/>
    <mergeCell ref="O103:O104"/>
    <mergeCell ref="O106:O107"/>
    <mergeCell ref="O52:O54"/>
    <mergeCell ref="O70:O71"/>
    <mergeCell ref="O88:O89"/>
    <mergeCell ref="O34:O40"/>
    <mergeCell ref="N300:N301"/>
    <mergeCell ref="N306:N310"/>
    <mergeCell ref="N225:N228"/>
    <mergeCell ref="N206:N207"/>
    <mergeCell ref="N202:N204"/>
    <mergeCell ref="N91:N93"/>
    <mergeCell ref="N103:N104"/>
    <mergeCell ref="N106:N107"/>
    <mergeCell ref="N52:N54"/>
    <mergeCell ref="N70:N71"/>
    <mergeCell ref="N88:N89"/>
    <mergeCell ref="N34:N40"/>
    <mergeCell ref="M300:M301"/>
    <mergeCell ref="M306:M310"/>
    <mergeCell ref="M244:M247"/>
    <mergeCell ref="M221:M223"/>
    <mergeCell ref="M225:M228"/>
    <mergeCell ref="M202:M204"/>
    <mergeCell ref="M106:M107"/>
    <mergeCell ref="M52:M54"/>
    <mergeCell ref="M70:M71"/>
    <mergeCell ref="M88:M89"/>
    <mergeCell ref="M34:M40"/>
    <mergeCell ref="S316:V316"/>
    <mergeCell ref="E316"/>
    <mergeCell ref="F316"/>
    <mergeCell ref="G316"/>
    <mergeCell ref="H316"/>
    <mergeCell ref="R316"/>
    <mergeCell ref="S312:V312"/>
    <mergeCell ref="E314"/>
    <mergeCell ref="F314"/>
    <mergeCell ref="G314"/>
    <mergeCell ref="H314"/>
    <mergeCell ref="R314"/>
    <mergeCell ref="S314:V314"/>
    <mergeCell ref="E312"/>
    <mergeCell ref="F312"/>
    <mergeCell ref="G312"/>
    <mergeCell ref="H312"/>
    <mergeCell ref="R312"/>
    <mergeCell ref="S304:V304"/>
    <mergeCell ref="E306:E310"/>
    <mergeCell ref="F306:F310"/>
    <mergeCell ref="G306:G310"/>
    <mergeCell ref="H306:H310"/>
    <mergeCell ref="R306:R310"/>
    <mergeCell ref="S306:V310"/>
    <mergeCell ref="I306:I310"/>
    <mergeCell ref="J306:J310"/>
    <mergeCell ref="K306:K310"/>
    <mergeCell ref="L306:L310"/>
    <mergeCell ref="E304"/>
    <mergeCell ref="F304"/>
    <mergeCell ref="G304"/>
    <mergeCell ref="H304"/>
    <mergeCell ref="R304"/>
    <mergeCell ref="E300:E301"/>
    <mergeCell ref="F300:F301"/>
    <mergeCell ref="G300:G301"/>
    <mergeCell ref="H300:H301"/>
    <mergeCell ref="R300:R301"/>
    <mergeCell ref="S300:V301"/>
    <mergeCell ref="I300:I301"/>
    <mergeCell ref="J300:J301"/>
    <mergeCell ref="K300:K301"/>
    <mergeCell ref="L300:L301"/>
    <mergeCell ref="E293:E296"/>
    <mergeCell ref="F293:F296"/>
    <mergeCell ref="G293:G296"/>
    <mergeCell ref="H293:H296"/>
    <mergeCell ref="R293:R296"/>
    <mergeCell ref="S293:V296"/>
    <mergeCell ref="I293:I296"/>
    <mergeCell ref="J293:J296"/>
    <mergeCell ref="K293:K296"/>
    <mergeCell ref="L293:L296"/>
    <mergeCell ref="M293:M296"/>
    <mergeCell ref="N293:N296"/>
    <mergeCell ref="O293:O296"/>
    <mergeCell ref="P293:P296"/>
    <mergeCell ref="S290:V290"/>
    <mergeCell ref="E290"/>
    <mergeCell ref="F290"/>
    <mergeCell ref="G290"/>
    <mergeCell ref="H290"/>
    <mergeCell ref="R290"/>
    <mergeCell ref="S286:V286"/>
    <mergeCell ref="E288"/>
    <mergeCell ref="F288"/>
    <mergeCell ref="G288"/>
    <mergeCell ref="H288"/>
    <mergeCell ref="R288"/>
    <mergeCell ref="S288:V288"/>
    <mergeCell ref="E286"/>
    <mergeCell ref="F286"/>
    <mergeCell ref="G286"/>
    <mergeCell ref="H286"/>
    <mergeCell ref="R286"/>
    <mergeCell ref="S282:V282"/>
    <mergeCell ref="E284"/>
    <mergeCell ref="F284"/>
    <mergeCell ref="G284"/>
    <mergeCell ref="H284"/>
    <mergeCell ref="R284"/>
    <mergeCell ref="S284:V284"/>
    <mergeCell ref="E282"/>
    <mergeCell ref="F282"/>
    <mergeCell ref="G282"/>
    <mergeCell ref="H282"/>
    <mergeCell ref="R282"/>
    <mergeCell ref="E280"/>
    <mergeCell ref="F280"/>
    <mergeCell ref="G280"/>
    <mergeCell ref="H280"/>
    <mergeCell ref="R280"/>
    <mergeCell ref="S280:V280"/>
    <mergeCell ref="S277:V277"/>
    <mergeCell ref="E277"/>
    <mergeCell ref="F277"/>
    <mergeCell ref="G277"/>
    <mergeCell ref="H277"/>
    <mergeCell ref="R277"/>
    <mergeCell ref="S270:V273"/>
    <mergeCell ref="E275"/>
    <mergeCell ref="F275"/>
    <mergeCell ref="G275"/>
    <mergeCell ref="H275"/>
    <mergeCell ref="R275"/>
    <mergeCell ref="S275:V275"/>
    <mergeCell ref="I270:I273"/>
    <mergeCell ref="J270:J273"/>
    <mergeCell ref="K270:K273"/>
    <mergeCell ref="L270:L273"/>
    <mergeCell ref="M270:M273"/>
    <mergeCell ref="N270:N273"/>
    <mergeCell ref="O270:O273"/>
    <mergeCell ref="P270:P273"/>
    <mergeCell ref="E270:E273"/>
    <mergeCell ref="F270:F273"/>
    <mergeCell ref="G270:G273"/>
    <mergeCell ref="H270:H273"/>
    <mergeCell ref="R270:R273"/>
    <mergeCell ref="S264:V266"/>
    <mergeCell ref="E268"/>
    <mergeCell ref="F268"/>
    <mergeCell ref="G268"/>
    <mergeCell ref="H268"/>
    <mergeCell ref="R268"/>
    <mergeCell ref="S268:V268"/>
    <mergeCell ref="I264:I266"/>
    <mergeCell ref="J264:J266"/>
    <mergeCell ref="K264:K266"/>
    <mergeCell ref="L264:L266"/>
    <mergeCell ref="M264:M266"/>
    <mergeCell ref="N264:N266"/>
    <mergeCell ref="O264:O266"/>
    <mergeCell ref="P264:P266"/>
    <mergeCell ref="E264:E266"/>
    <mergeCell ref="F264:F266"/>
    <mergeCell ref="G264:G266"/>
    <mergeCell ref="H264:H266"/>
    <mergeCell ref="R264:R266"/>
    <mergeCell ref="E261:E262"/>
    <mergeCell ref="F261:F262"/>
    <mergeCell ref="G261:G262"/>
    <mergeCell ref="H261:H262"/>
    <mergeCell ref="R261:R262"/>
    <mergeCell ref="S261:V262"/>
    <mergeCell ref="I261:I262"/>
    <mergeCell ref="J261:J262"/>
    <mergeCell ref="K261:K262"/>
    <mergeCell ref="L261:L262"/>
    <mergeCell ref="M261:M262"/>
    <mergeCell ref="N261:N262"/>
    <mergeCell ref="O261:O262"/>
    <mergeCell ref="P261:P262"/>
    <mergeCell ref="S259:V259"/>
    <mergeCell ref="E259"/>
    <mergeCell ref="F259"/>
    <mergeCell ref="G259"/>
    <mergeCell ref="H259"/>
    <mergeCell ref="R259"/>
    <mergeCell ref="E257"/>
    <mergeCell ref="F257"/>
    <mergeCell ref="G257"/>
    <mergeCell ref="H257"/>
    <mergeCell ref="R257"/>
    <mergeCell ref="S257:V257"/>
    <mergeCell ref="S252:V252"/>
    <mergeCell ref="E254"/>
    <mergeCell ref="F254"/>
    <mergeCell ref="G254"/>
    <mergeCell ref="H254"/>
    <mergeCell ref="R254"/>
    <mergeCell ref="S254:V254"/>
    <mergeCell ref="E252"/>
    <mergeCell ref="F252"/>
    <mergeCell ref="G252"/>
    <mergeCell ref="H252"/>
    <mergeCell ref="R252"/>
    <mergeCell ref="E249"/>
    <mergeCell ref="F249"/>
    <mergeCell ref="G249"/>
    <mergeCell ref="H249"/>
    <mergeCell ref="R249"/>
    <mergeCell ref="S249:V249"/>
    <mergeCell ref="E244:E247"/>
    <mergeCell ref="F244:F247"/>
    <mergeCell ref="G244:G247"/>
    <mergeCell ref="H244:H247"/>
    <mergeCell ref="R244:R247"/>
    <mergeCell ref="S244:V247"/>
    <mergeCell ref="I244:I247"/>
    <mergeCell ref="J244:J247"/>
    <mergeCell ref="K244:K247"/>
    <mergeCell ref="L244:L247"/>
    <mergeCell ref="N244:N247"/>
    <mergeCell ref="O244:O247"/>
    <mergeCell ref="P244:P247"/>
    <mergeCell ref="S242:V242"/>
    <mergeCell ref="E242"/>
    <mergeCell ref="F242"/>
    <mergeCell ref="G242"/>
    <mergeCell ref="H242"/>
    <mergeCell ref="R242"/>
    <mergeCell ref="S238:V238"/>
    <mergeCell ref="E240"/>
    <mergeCell ref="F240"/>
    <mergeCell ref="G240"/>
    <mergeCell ref="H240"/>
    <mergeCell ref="R240"/>
    <mergeCell ref="S240:V240"/>
    <mergeCell ref="E238"/>
    <mergeCell ref="F238"/>
    <mergeCell ref="G238"/>
    <mergeCell ref="H238"/>
    <mergeCell ref="R238"/>
    <mergeCell ref="S234:V234"/>
    <mergeCell ref="E236"/>
    <mergeCell ref="F236"/>
    <mergeCell ref="G236"/>
    <mergeCell ref="H236"/>
    <mergeCell ref="R236"/>
    <mergeCell ref="S236:V236"/>
    <mergeCell ref="E234"/>
    <mergeCell ref="F234"/>
    <mergeCell ref="G234"/>
    <mergeCell ref="H234"/>
    <mergeCell ref="R234"/>
    <mergeCell ref="E232"/>
    <mergeCell ref="F232"/>
    <mergeCell ref="G232"/>
    <mergeCell ref="H232"/>
    <mergeCell ref="R232"/>
    <mergeCell ref="S232:V232"/>
    <mergeCell ref="S230:V230"/>
    <mergeCell ref="E230"/>
    <mergeCell ref="F230"/>
    <mergeCell ref="G230"/>
    <mergeCell ref="H230"/>
    <mergeCell ref="R230"/>
    <mergeCell ref="S221:V223"/>
    <mergeCell ref="E225:E228"/>
    <mergeCell ref="F225:F228"/>
    <mergeCell ref="G225:G228"/>
    <mergeCell ref="H225:H228"/>
    <mergeCell ref="R225:R228"/>
    <mergeCell ref="S225:V228"/>
    <mergeCell ref="I221:I223"/>
    <mergeCell ref="I225:I228"/>
    <mergeCell ref="J221:J223"/>
    <mergeCell ref="J225:J228"/>
    <mergeCell ref="K221:K223"/>
    <mergeCell ref="K225:K228"/>
    <mergeCell ref="L221:L223"/>
    <mergeCell ref="L225:L228"/>
    <mergeCell ref="N221:N223"/>
    <mergeCell ref="E221:E223"/>
    <mergeCell ref="F221:F223"/>
    <mergeCell ref="G221:G223"/>
    <mergeCell ref="H221:H223"/>
    <mergeCell ref="R221:R223"/>
    <mergeCell ref="O221:O223"/>
    <mergeCell ref="P221:P223"/>
    <mergeCell ref="S217:V217"/>
    <mergeCell ref="E219"/>
    <mergeCell ref="F219"/>
    <mergeCell ref="G219"/>
    <mergeCell ref="H219"/>
    <mergeCell ref="R219"/>
    <mergeCell ref="S219:V219"/>
    <mergeCell ref="E217"/>
    <mergeCell ref="F217"/>
    <mergeCell ref="G217"/>
    <mergeCell ref="H217"/>
    <mergeCell ref="R217"/>
    <mergeCell ref="S213:V213"/>
    <mergeCell ref="E215"/>
    <mergeCell ref="F215"/>
    <mergeCell ref="G215"/>
    <mergeCell ref="H215"/>
    <mergeCell ref="R215"/>
    <mergeCell ref="S215:V215"/>
    <mergeCell ref="E213"/>
    <mergeCell ref="F213"/>
    <mergeCell ref="G213"/>
    <mergeCell ref="H213"/>
    <mergeCell ref="R213"/>
    <mergeCell ref="E211"/>
    <mergeCell ref="F211"/>
    <mergeCell ref="G211"/>
    <mergeCell ref="H211"/>
    <mergeCell ref="R211"/>
    <mergeCell ref="S211:V211"/>
    <mergeCell ref="S206:V207"/>
    <mergeCell ref="E209"/>
    <mergeCell ref="F209"/>
    <mergeCell ref="G209"/>
    <mergeCell ref="H209"/>
    <mergeCell ref="R209"/>
    <mergeCell ref="S209:V209"/>
    <mergeCell ref="I206:I207"/>
    <mergeCell ref="J206:J207"/>
    <mergeCell ref="K206:K207"/>
    <mergeCell ref="L206:L207"/>
    <mergeCell ref="M206:M207"/>
    <mergeCell ref="E206:E207"/>
    <mergeCell ref="F206:F207"/>
    <mergeCell ref="G206:G207"/>
    <mergeCell ref="H206:H207"/>
    <mergeCell ref="R206:R207"/>
    <mergeCell ref="S202:V204"/>
    <mergeCell ref="I202:I204"/>
    <mergeCell ref="J202:J204"/>
    <mergeCell ref="K202:K204"/>
    <mergeCell ref="L202:L204"/>
    <mergeCell ref="E202:E204"/>
    <mergeCell ref="F202:F204"/>
    <mergeCell ref="G202:G204"/>
    <mergeCell ref="H202:H204"/>
    <mergeCell ref="R202:R204"/>
    <mergeCell ref="S199:V200"/>
    <mergeCell ref="I199:I200"/>
    <mergeCell ref="J199:J200"/>
    <mergeCell ref="K199:K200"/>
    <mergeCell ref="L199:L200"/>
    <mergeCell ref="M199:M200"/>
    <mergeCell ref="E199:E200"/>
    <mergeCell ref="F199:F200"/>
    <mergeCell ref="G199:G200"/>
    <mergeCell ref="H199:H200"/>
    <mergeCell ref="R199:R200"/>
    <mergeCell ref="N199:N200"/>
    <mergeCell ref="O199:O200"/>
    <mergeCell ref="P199:P200"/>
    <mergeCell ref="E195:E197"/>
    <mergeCell ref="F195:F197"/>
    <mergeCell ref="G195:G197"/>
    <mergeCell ref="H195:H197"/>
    <mergeCell ref="R195:R197"/>
    <mergeCell ref="S195:V197"/>
    <mergeCell ref="I195:I197"/>
    <mergeCell ref="J195:J197"/>
    <mergeCell ref="K195:K197"/>
    <mergeCell ref="L195:L197"/>
    <mergeCell ref="M195:M197"/>
    <mergeCell ref="N195:N197"/>
    <mergeCell ref="O195:O197"/>
    <mergeCell ref="P195:P197"/>
    <mergeCell ref="E193"/>
    <mergeCell ref="F193"/>
    <mergeCell ref="G193"/>
    <mergeCell ref="H193"/>
    <mergeCell ref="R193"/>
    <mergeCell ref="S193:V193"/>
    <mergeCell ref="E191"/>
    <mergeCell ref="F191"/>
    <mergeCell ref="G191"/>
    <mergeCell ref="H191"/>
    <mergeCell ref="R191"/>
    <mergeCell ref="S191:V191"/>
    <mergeCell ref="S189:V189"/>
    <mergeCell ref="E189"/>
    <mergeCell ref="F189"/>
    <mergeCell ref="G189"/>
    <mergeCell ref="H189"/>
    <mergeCell ref="R189"/>
    <mergeCell ref="S185:V185"/>
    <mergeCell ref="E187"/>
    <mergeCell ref="F187"/>
    <mergeCell ref="G187"/>
    <mergeCell ref="H187"/>
    <mergeCell ref="R187"/>
    <mergeCell ref="S187:V187"/>
    <mergeCell ref="E185"/>
    <mergeCell ref="F185"/>
    <mergeCell ref="G185"/>
    <mergeCell ref="H185"/>
    <mergeCell ref="R185"/>
    <mergeCell ref="S181:V181"/>
    <mergeCell ref="E183"/>
    <mergeCell ref="F183"/>
    <mergeCell ref="G183"/>
    <mergeCell ref="H183"/>
    <mergeCell ref="R183"/>
    <mergeCell ref="S183:V183"/>
    <mergeCell ref="E181"/>
    <mergeCell ref="F181"/>
    <mergeCell ref="G181"/>
    <mergeCell ref="H181"/>
    <mergeCell ref="R181"/>
    <mergeCell ref="S177:V177"/>
    <mergeCell ref="E179"/>
    <mergeCell ref="F179"/>
    <mergeCell ref="G179"/>
    <mergeCell ref="H179"/>
    <mergeCell ref="R179"/>
    <mergeCell ref="S179:V179"/>
    <mergeCell ref="E177"/>
    <mergeCell ref="F177"/>
    <mergeCell ref="G177"/>
    <mergeCell ref="H177"/>
    <mergeCell ref="R177"/>
    <mergeCell ref="S173:V173"/>
    <mergeCell ref="E175"/>
    <mergeCell ref="F175"/>
    <mergeCell ref="G175"/>
    <mergeCell ref="H175"/>
    <mergeCell ref="R175"/>
    <mergeCell ref="S175:V175"/>
    <mergeCell ref="E173"/>
    <mergeCell ref="F173"/>
    <mergeCell ref="G173"/>
    <mergeCell ref="H173"/>
    <mergeCell ref="R173"/>
    <mergeCell ref="S169:V169"/>
    <mergeCell ref="E171"/>
    <mergeCell ref="F171"/>
    <mergeCell ref="G171"/>
    <mergeCell ref="H171"/>
    <mergeCell ref="R171"/>
    <mergeCell ref="S171:V171"/>
    <mergeCell ref="E169"/>
    <mergeCell ref="F169"/>
    <mergeCell ref="G169"/>
    <mergeCell ref="H169"/>
    <mergeCell ref="R169"/>
    <mergeCell ref="S165:V165"/>
    <mergeCell ref="E167"/>
    <mergeCell ref="F167"/>
    <mergeCell ref="G167"/>
    <mergeCell ref="H167"/>
    <mergeCell ref="R167"/>
    <mergeCell ref="S167:V167"/>
    <mergeCell ref="E165"/>
    <mergeCell ref="F165"/>
    <mergeCell ref="G165"/>
    <mergeCell ref="H165"/>
    <mergeCell ref="R165"/>
    <mergeCell ref="E163"/>
    <mergeCell ref="F163"/>
    <mergeCell ref="G163"/>
    <mergeCell ref="H163"/>
    <mergeCell ref="R163"/>
    <mergeCell ref="S163:V163"/>
    <mergeCell ref="S156:V161"/>
    <mergeCell ref="I156:I161"/>
    <mergeCell ref="J156:J161"/>
    <mergeCell ref="K156:K161"/>
    <mergeCell ref="L156:L161"/>
    <mergeCell ref="M156:M161"/>
    <mergeCell ref="N156:N161"/>
    <mergeCell ref="E156:E161"/>
    <mergeCell ref="F156:F161"/>
    <mergeCell ref="G156:G161"/>
    <mergeCell ref="H156:H161"/>
    <mergeCell ref="R156:R161"/>
    <mergeCell ref="S152:V152"/>
    <mergeCell ref="E154"/>
    <mergeCell ref="F154"/>
    <mergeCell ref="G154"/>
    <mergeCell ref="H154"/>
    <mergeCell ref="R154"/>
    <mergeCell ref="S154:V154"/>
    <mergeCell ref="E152"/>
    <mergeCell ref="F152"/>
    <mergeCell ref="G152"/>
    <mergeCell ref="H152"/>
    <mergeCell ref="R152"/>
    <mergeCell ref="S148:V148"/>
    <mergeCell ref="E150"/>
    <mergeCell ref="F150"/>
    <mergeCell ref="G150"/>
    <mergeCell ref="H150"/>
    <mergeCell ref="R150"/>
    <mergeCell ref="S150:V150"/>
    <mergeCell ref="E148"/>
    <mergeCell ref="F148"/>
    <mergeCell ref="G148"/>
    <mergeCell ref="H148"/>
    <mergeCell ref="R148"/>
    <mergeCell ref="S143:V143"/>
    <mergeCell ref="E145:E146"/>
    <mergeCell ref="F145:F146"/>
    <mergeCell ref="G145:G146"/>
    <mergeCell ref="H145:H146"/>
    <mergeCell ref="R145:R146"/>
    <mergeCell ref="S145:V146"/>
    <mergeCell ref="I145:I146"/>
    <mergeCell ref="J145:J146"/>
    <mergeCell ref="K145:K146"/>
    <mergeCell ref="L145:L146"/>
    <mergeCell ref="M145:M146"/>
    <mergeCell ref="N145:N146"/>
    <mergeCell ref="O145:O146"/>
    <mergeCell ref="P145:P146"/>
    <mergeCell ref="E143"/>
    <mergeCell ref="F143"/>
    <mergeCell ref="G143"/>
    <mergeCell ref="H143"/>
    <mergeCell ref="R143"/>
    <mergeCell ref="S139:V139"/>
    <mergeCell ref="E141"/>
    <mergeCell ref="F141"/>
    <mergeCell ref="G141"/>
    <mergeCell ref="H141"/>
    <mergeCell ref="R141"/>
    <mergeCell ref="S141:V141"/>
    <mergeCell ref="E139"/>
    <mergeCell ref="F139"/>
    <mergeCell ref="G139"/>
    <mergeCell ref="H139"/>
    <mergeCell ref="R139"/>
    <mergeCell ref="S135:V135"/>
    <mergeCell ref="E137"/>
    <mergeCell ref="F137"/>
    <mergeCell ref="G137"/>
    <mergeCell ref="H137"/>
    <mergeCell ref="R137"/>
    <mergeCell ref="S137:V137"/>
    <mergeCell ref="E135"/>
    <mergeCell ref="F135"/>
    <mergeCell ref="G135"/>
    <mergeCell ref="H135"/>
    <mergeCell ref="R135"/>
    <mergeCell ref="S131:V131"/>
    <mergeCell ref="E133"/>
    <mergeCell ref="F133"/>
    <mergeCell ref="G133"/>
    <mergeCell ref="H133"/>
    <mergeCell ref="R133"/>
    <mergeCell ref="S133:V133"/>
    <mergeCell ref="E131"/>
    <mergeCell ref="F131"/>
    <mergeCell ref="G131"/>
    <mergeCell ref="H131"/>
    <mergeCell ref="R131"/>
    <mergeCell ref="S127:V127"/>
    <mergeCell ref="E129"/>
    <mergeCell ref="F129"/>
    <mergeCell ref="G129"/>
    <mergeCell ref="H129"/>
    <mergeCell ref="R129"/>
    <mergeCell ref="S129:V129"/>
    <mergeCell ref="E127"/>
    <mergeCell ref="F127"/>
    <mergeCell ref="G127"/>
    <mergeCell ref="H127"/>
    <mergeCell ref="R127"/>
    <mergeCell ref="S123:V123"/>
    <mergeCell ref="E125"/>
    <mergeCell ref="F125"/>
    <mergeCell ref="G125"/>
    <mergeCell ref="H125"/>
    <mergeCell ref="R125"/>
    <mergeCell ref="S125:V125"/>
    <mergeCell ref="E123"/>
    <mergeCell ref="F123"/>
    <mergeCell ref="G123"/>
    <mergeCell ref="H123"/>
    <mergeCell ref="R123"/>
    <mergeCell ref="S119:V119"/>
    <mergeCell ref="E121"/>
    <mergeCell ref="F121"/>
    <mergeCell ref="G121"/>
    <mergeCell ref="H121"/>
    <mergeCell ref="R121"/>
    <mergeCell ref="S121:V121"/>
    <mergeCell ref="E119"/>
    <mergeCell ref="F119"/>
    <mergeCell ref="G119"/>
    <mergeCell ref="H119"/>
    <mergeCell ref="R119"/>
    <mergeCell ref="S115:V115"/>
    <mergeCell ref="E117"/>
    <mergeCell ref="F117"/>
    <mergeCell ref="G117"/>
    <mergeCell ref="H117"/>
    <mergeCell ref="R117"/>
    <mergeCell ref="S117:V117"/>
    <mergeCell ref="E115"/>
    <mergeCell ref="F115"/>
    <mergeCell ref="G115"/>
    <mergeCell ref="H115"/>
    <mergeCell ref="R115"/>
    <mergeCell ref="E113"/>
    <mergeCell ref="F113"/>
    <mergeCell ref="G113"/>
    <mergeCell ref="H113"/>
    <mergeCell ref="R113"/>
    <mergeCell ref="S113:V113"/>
    <mergeCell ref="S111:V111"/>
    <mergeCell ref="E111"/>
    <mergeCell ref="F111"/>
    <mergeCell ref="G111"/>
    <mergeCell ref="H111"/>
    <mergeCell ref="R111"/>
    <mergeCell ref="E109"/>
    <mergeCell ref="F109"/>
    <mergeCell ref="G109"/>
    <mergeCell ref="H109"/>
    <mergeCell ref="R109"/>
    <mergeCell ref="S109:V109"/>
    <mergeCell ref="S103:V104"/>
    <mergeCell ref="E106:E107"/>
    <mergeCell ref="F106:F107"/>
    <mergeCell ref="G106:G107"/>
    <mergeCell ref="H106:H107"/>
    <mergeCell ref="R106:R107"/>
    <mergeCell ref="S106:V107"/>
    <mergeCell ref="I103:I104"/>
    <mergeCell ref="I106:I107"/>
    <mergeCell ref="J103:J104"/>
    <mergeCell ref="J106:J107"/>
    <mergeCell ref="K103:K104"/>
    <mergeCell ref="K106:K107"/>
    <mergeCell ref="L103:L104"/>
    <mergeCell ref="L106:L107"/>
    <mergeCell ref="M103:M104"/>
    <mergeCell ref="E103:E104"/>
    <mergeCell ref="F103:F104"/>
    <mergeCell ref="G103:G104"/>
    <mergeCell ref="H103:H104"/>
    <mergeCell ref="R103:R104"/>
    <mergeCell ref="S99:V99"/>
    <mergeCell ref="E101"/>
    <mergeCell ref="F101"/>
    <mergeCell ref="G101"/>
    <mergeCell ref="H101"/>
    <mergeCell ref="R101"/>
    <mergeCell ref="S101:V101"/>
    <mergeCell ref="E99"/>
    <mergeCell ref="F99"/>
    <mergeCell ref="G99"/>
    <mergeCell ref="H99"/>
    <mergeCell ref="R99"/>
    <mergeCell ref="S95:V95"/>
    <mergeCell ref="E97"/>
    <mergeCell ref="F97"/>
    <mergeCell ref="G97"/>
    <mergeCell ref="H97"/>
    <mergeCell ref="R97"/>
    <mergeCell ref="S97:V97"/>
    <mergeCell ref="E95"/>
    <mergeCell ref="F95"/>
    <mergeCell ref="G95"/>
    <mergeCell ref="H95"/>
    <mergeCell ref="R95"/>
    <mergeCell ref="S88:V89"/>
    <mergeCell ref="E91:E93"/>
    <mergeCell ref="F91:F93"/>
    <mergeCell ref="G91:G93"/>
    <mergeCell ref="H91:H93"/>
    <mergeCell ref="R91:R93"/>
    <mergeCell ref="S91:V93"/>
    <mergeCell ref="I88:I89"/>
    <mergeCell ref="I91:I93"/>
    <mergeCell ref="J88:J89"/>
    <mergeCell ref="J91:J93"/>
    <mergeCell ref="K88:K89"/>
    <mergeCell ref="K91:K93"/>
    <mergeCell ref="L88:L89"/>
    <mergeCell ref="L91:L93"/>
    <mergeCell ref="M91:M93"/>
    <mergeCell ref="E88:E89"/>
    <mergeCell ref="F88:F89"/>
    <mergeCell ref="G88:G89"/>
    <mergeCell ref="H88:H89"/>
    <mergeCell ref="R88:R89"/>
    <mergeCell ref="S85:V85"/>
    <mergeCell ref="E85"/>
    <mergeCell ref="F85"/>
    <mergeCell ref="G85"/>
    <mergeCell ref="H85"/>
    <mergeCell ref="R85"/>
    <mergeCell ref="E83"/>
    <mergeCell ref="F83"/>
    <mergeCell ref="G83"/>
    <mergeCell ref="H83"/>
    <mergeCell ref="R83"/>
    <mergeCell ref="S83:V83"/>
    <mergeCell ref="S81:V81"/>
    <mergeCell ref="E81"/>
    <mergeCell ref="F81"/>
    <mergeCell ref="G81"/>
    <mergeCell ref="H81"/>
    <mergeCell ref="R81"/>
    <mergeCell ref="S77:V77"/>
    <mergeCell ref="E79"/>
    <mergeCell ref="F79"/>
    <mergeCell ref="G79"/>
    <mergeCell ref="H79"/>
    <mergeCell ref="R79"/>
    <mergeCell ref="S79:V79"/>
    <mergeCell ref="E77"/>
    <mergeCell ref="F77"/>
    <mergeCell ref="G77"/>
    <mergeCell ref="H77"/>
    <mergeCell ref="R77"/>
    <mergeCell ref="S73:V73"/>
    <mergeCell ref="E75"/>
    <mergeCell ref="F75"/>
    <mergeCell ref="G75"/>
    <mergeCell ref="H75"/>
    <mergeCell ref="R75"/>
    <mergeCell ref="S75:V75"/>
    <mergeCell ref="E73"/>
    <mergeCell ref="F73"/>
    <mergeCell ref="G73"/>
    <mergeCell ref="H73"/>
    <mergeCell ref="R73"/>
    <mergeCell ref="S68:V68"/>
    <mergeCell ref="E70:E71"/>
    <mergeCell ref="F70:F71"/>
    <mergeCell ref="G70:G71"/>
    <mergeCell ref="H70:H71"/>
    <mergeCell ref="R70:R71"/>
    <mergeCell ref="S70:V71"/>
    <mergeCell ref="I70:I71"/>
    <mergeCell ref="J70:J71"/>
    <mergeCell ref="K70:K71"/>
    <mergeCell ref="L70:L71"/>
    <mergeCell ref="E68"/>
    <mergeCell ref="F68"/>
    <mergeCell ref="G68"/>
    <mergeCell ref="H68"/>
    <mergeCell ref="R68"/>
    <mergeCell ref="E66"/>
    <mergeCell ref="F66"/>
    <mergeCell ref="G66"/>
    <mergeCell ref="H66"/>
    <mergeCell ref="R66"/>
    <mergeCell ref="S66:V66"/>
    <mergeCell ref="S62:V62"/>
    <mergeCell ref="E64"/>
    <mergeCell ref="F64"/>
    <mergeCell ref="G64"/>
    <mergeCell ref="H64"/>
    <mergeCell ref="R64"/>
    <mergeCell ref="S64:V64"/>
    <mergeCell ref="E62"/>
    <mergeCell ref="F62"/>
    <mergeCell ref="G62"/>
    <mergeCell ref="H62"/>
    <mergeCell ref="R62"/>
    <mergeCell ref="S58:V58"/>
    <mergeCell ref="E60"/>
    <mergeCell ref="F60"/>
    <mergeCell ref="G60"/>
    <mergeCell ref="H60"/>
    <mergeCell ref="R60"/>
    <mergeCell ref="S60:V60"/>
    <mergeCell ref="E58"/>
    <mergeCell ref="F58"/>
    <mergeCell ref="G58"/>
    <mergeCell ref="H58"/>
    <mergeCell ref="R58"/>
    <mergeCell ref="E56"/>
    <mergeCell ref="F56"/>
    <mergeCell ref="G56"/>
    <mergeCell ref="H56"/>
    <mergeCell ref="R56"/>
    <mergeCell ref="S56:V56"/>
    <mergeCell ref="S52:V54"/>
    <mergeCell ref="I52:I54"/>
    <mergeCell ref="J52:J54"/>
    <mergeCell ref="K52:K54"/>
    <mergeCell ref="L52:L54"/>
    <mergeCell ref="E52:E54"/>
    <mergeCell ref="F52:F54"/>
    <mergeCell ref="G52:G54"/>
    <mergeCell ref="H52:H54"/>
    <mergeCell ref="R52:R54"/>
    <mergeCell ref="S48:V48"/>
    <mergeCell ref="E50"/>
    <mergeCell ref="F50"/>
    <mergeCell ref="G50"/>
    <mergeCell ref="H50"/>
    <mergeCell ref="R50"/>
    <mergeCell ref="S50:V50"/>
    <mergeCell ref="E48"/>
    <mergeCell ref="F48"/>
    <mergeCell ref="G48"/>
    <mergeCell ref="H48"/>
    <mergeCell ref="R48"/>
    <mergeCell ref="S44:V44"/>
    <mergeCell ref="E46"/>
    <mergeCell ref="F46"/>
    <mergeCell ref="G46"/>
    <mergeCell ref="H46"/>
    <mergeCell ref="R46"/>
    <mergeCell ref="S46:V46"/>
    <mergeCell ref="E44"/>
    <mergeCell ref="F44"/>
    <mergeCell ref="G44"/>
    <mergeCell ref="H44"/>
    <mergeCell ref="R44"/>
    <mergeCell ref="E42"/>
    <mergeCell ref="F42"/>
    <mergeCell ref="G42"/>
    <mergeCell ref="H42"/>
    <mergeCell ref="R42"/>
    <mergeCell ref="S42:V42"/>
    <mergeCell ref="S24:V32"/>
    <mergeCell ref="E34:E40"/>
    <mergeCell ref="F34:F40"/>
    <mergeCell ref="G34:G40"/>
    <mergeCell ref="H34:H40"/>
    <mergeCell ref="R34:R40"/>
    <mergeCell ref="S34:V40"/>
    <mergeCell ref="I24:I32"/>
    <mergeCell ref="I34:I40"/>
    <mergeCell ref="J24:J32"/>
    <mergeCell ref="J34:J40"/>
    <mergeCell ref="K24:K32"/>
    <mergeCell ref="K34:K40"/>
    <mergeCell ref="L24:L32"/>
    <mergeCell ref="L34:L40"/>
    <mergeCell ref="M24:M32"/>
    <mergeCell ref="E24:E32"/>
    <mergeCell ref="F24:F32"/>
    <mergeCell ref="G24:G32"/>
    <mergeCell ref="H24:H32"/>
    <mergeCell ref="R24:R32"/>
    <mergeCell ref="N24:N32"/>
    <mergeCell ref="O24:O32"/>
    <mergeCell ref="P24:P32"/>
    <mergeCell ref="E14:E22"/>
    <mergeCell ref="F14:F22"/>
    <mergeCell ref="G14:G22"/>
    <mergeCell ref="H14:H22"/>
    <mergeCell ref="R14:R22"/>
    <mergeCell ref="S14:V22"/>
    <mergeCell ref="I14:I22"/>
    <mergeCell ref="J14:J22"/>
    <mergeCell ref="K14:K22"/>
    <mergeCell ref="L14:L22"/>
    <mergeCell ref="M14:M22"/>
    <mergeCell ref="N14:N22"/>
    <mergeCell ref="O14:O22"/>
    <mergeCell ref="P14:P22"/>
    <mergeCell ref="B10:V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Catalogo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FRED</cp:lastModifiedBy>
  <dcterms:created xsi:type="dcterms:W3CDTF">2019-09-09T12:26:44Z</dcterms:created>
  <dcterms:modified xsi:type="dcterms:W3CDTF">2019-09-09T13:42:03Z</dcterms:modified>
  <cp:category/>
</cp:coreProperties>
</file>