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le\OneDrive\Dokumenty\Kod\Symulacja A4\"/>
    </mc:Choice>
  </mc:AlternateContent>
  <xr:revisionPtr revIDLastSave="0" documentId="13_ncr:1_{32D4DCB0-A801-45DA-BC63-B6A705CEA74C}" xr6:coauthVersionLast="45" xr6:coauthVersionMax="45" xr10:uidLastSave="{00000000-0000-0000-0000-000000000000}"/>
  <bookViews>
    <workbookView xWindow="-4296" yWindow="1476" windowWidth="17280" windowHeight="8964" xr2:uid="{DAC9FE13-D36B-48DC-9276-E2F9FEA4610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8" i="1" l="1"/>
  <c r="U27" i="1"/>
  <c r="U26" i="1"/>
  <c r="U25" i="1"/>
  <c r="V3" i="1" l="1"/>
  <c r="V4" i="1"/>
  <c r="V5" i="1"/>
  <c r="V6" i="1"/>
  <c r="V7" i="1"/>
  <c r="V8" i="1"/>
  <c r="V9" i="1"/>
  <c r="V10" i="1"/>
  <c r="V11" i="1"/>
  <c r="V12" i="1"/>
  <c r="V2" i="1"/>
  <c r="B34" i="1" l="1"/>
  <c r="B33" i="1"/>
  <c r="B32" i="1"/>
  <c r="B31" i="1"/>
  <c r="C25" i="1"/>
  <c r="E25" i="1" s="1"/>
  <c r="C26" i="1"/>
  <c r="E26" i="1" s="1"/>
  <c r="B24" i="1"/>
  <c r="C24" i="1" s="1"/>
  <c r="E24" i="1" s="1"/>
  <c r="B25" i="1"/>
  <c r="B29" i="1"/>
  <c r="C29" i="1" s="1"/>
  <c r="E29" i="1" s="1"/>
  <c r="B26" i="1"/>
  <c r="B27" i="1"/>
  <c r="C27" i="1" s="1"/>
  <c r="E27" i="1" s="1"/>
  <c r="B28" i="1"/>
  <c r="C28" i="1" s="1"/>
  <c r="E28" i="1" s="1"/>
  <c r="G21" i="1"/>
  <c r="U5" i="1"/>
  <c r="U6" i="1"/>
  <c r="U7" i="1"/>
  <c r="U8" i="1"/>
  <c r="U9" i="1"/>
  <c r="U12" i="1"/>
  <c r="U2" i="1"/>
  <c r="T3" i="1"/>
  <c r="U3" i="1" s="1"/>
  <c r="T4" i="1"/>
  <c r="U4" i="1" s="1"/>
  <c r="T5" i="1"/>
  <c r="T6" i="1"/>
  <c r="T7" i="1"/>
  <c r="T8" i="1"/>
  <c r="T9" i="1"/>
  <c r="T10" i="1"/>
  <c r="U10" i="1" s="1"/>
  <c r="T11" i="1"/>
  <c r="U11" i="1" s="1"/>
  <c r="T12" i="1"/>
  <c r="T2" i="1"/>
  <c r="Q3" i="1"/>
  <c r="Q6" i="1"/>
  <c r="Q7" i="1"/>
  <c r="Q8" i="1"/>
  <c r="Q9" i="1"/>
  <c r="Q10" i="1"/>
  <c r="Q12" i="1"/>
  <c r="Q2" i="1"/>
  <c r="N4" i="1"/>
  <c r="Q4" i="1" s="1"/>
  <c r="N5" i="1"/>
  <c r="Q5" i="1" s="1"/>
  <c r="N6" i="1"/>
  <c r="N7" i="1"/>
  <c r="N8" i="1"/>
  <c r="N9" i="1"/>
  <c r="N10" i="1"/>
  <c r="N11" i="1"/>
  <c r="Q11" i="1" s="1"/>
  <c r="N12" i="1"/>
  <c r="N3" i="1"/>
  <c r="N2" i="1"/>
  <c r="K3" i="1"/>
  <c r="K4" i="1"/>
  <c r="K5" i="1"/>
  <c r="K6" i="1"/>
  <c r="K7" i="1"/>
  <c r="K8" i="1"/>
  <c r="K9" i="1"/>
  <c r="K10" i="1"/>
  <c r="K11" i="1"/>
  <c r="K12" i="1"/>
  <c r="K2" i="1"/>
  <c r="U21" i="1" l="1"/>
  <c r="H20" i="1"/>
  <c r="K20" i="1" s="1"/>
  <c r="I11" i="1"/>
  <c r="I10" i="1"/>
  <c r="I9" i="1"/>
  <c r="I8" i="1"/>
  <c r="I7" i="1"/>
  <c r="I6" i="1"/>
  <c r="I5" i="1"/>
  <c r="I4" i="1"/>
  <c r="J3" i="1"/>
  <c r="J10" i="1"/>
  <c r="I3" i="1"/>
  <c r="I12" i="1"/>
  <c r="I2" i="1"/>
  <c r="I20" i="1" s="1"/>
  <c r="L20" i="1" s="1"/>
  <c r="G20" i="1"/>
  <c r="C10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3" i="1"/>
  <c r="O6" i="1" l="1"/>
  <c r="R6" i="1" s="1"/>
  <c r="L6" i="1"/>
  <c r="L9" i="1"/>
  <c r="O9" i="1"/>
  <c r="R9" i="1" s="1"/>
  <c r="O5" i="1"/>
  <c r="R5" i="1" s="1"/>
  <c r="L5" i="1"/>
  <c r="J2" i="1"/>
  <c r="L10" i="1"/>
  <c r="O10" i="1"/>
  <c r="R10" i="1" s="1"/>
  <c r="O4" i="1"/>
  <c r="R4" i="1" s="1"/>
  <c r="L4" i="1"/>
  <c r="L12" i="1"/>
  <c r="O12" i="1"/>
  <c r="R12" i="1" s="1"/>
  <c r="J12" i="1"/>
  <c r="J9" i="1"/>
  <c r="J11" i="1"/>
  <c r="P12" i="1" s="1"/>
  <c r="S12" i="1" s="1"/>
  <c r="O11" i="1"/>
  <c r="R11" i="1" s="1"/>
  <c r="L11" i="1"/>
  <c r="G22" i="1"/>
  <c r="U22" i="1" s="1"/>
  <c r="U20" i="1"/>
  <c r="U23" i="1" s="1"/>
  <c r="J7" i="1"/>
  <c r="P7" i="1" s="1"/>
  <c r="S7" i="1" s="1"/>
  <c r="L7" i="1"/>
  <c r="O7" i="1"/>
  <c r="R7" i="1" s="1"/>
  <c r="J6" i="1"/>
  <c r="M6" i="1" s="1"/>
  <c r="J8" i="1"/>
  <c r="O8" i="1"/>
  <c r="R8" i="1" s="1"/>
  <c r="L8" i="1"/>
  <c r="J5" i="1"/>
  <c r="O2" i="1"/>
  <c r="R2" i="1" s="1"/>
  <c r="L2" i="1"/>
  <c r="L3" i="1"/>
  <c r="O3" i="1"/>
  <c r="R3" i="1" s="1"/>
  <c r="J4" i="1"/>
  <c r="M4" i="1" s="1"/>
  <c r="M8" i="1"/>
  <c r="P8" i="1"/>
  <c r="S8" i="1" s="1"/>
  <c r="M12" i="1"/>
  <c r="M10" i="1"/>
  <c r="P10" i="1"/>
  <c r="S10" i="1" s="1"/>
  <c r="M9" i="1"/>
  <c r="P9" i="1"/>
  <c r="S9" i="1" s="1"/>
  <c r="M11" i="1"/>
  <c r="P11" i="1"/>
  <c r="S11" i="1" s="1"/>
  <c r="P3" i="1"/>
  <c r="S3" i="1" s="1"/>
  <c r="M3" i="1"/>
  <c r="M5" i="1"/>
  <c r="M7" i="1" l="1"/>
  <c r="P4" i="1"/>
  <c r="S4" i="1" s="1"/>
  <c r="J20" i="1"/>
  <c r="M20" i="1" s="1"/>
  <c r="P5" i="1"/>
  <c r="S5" i="1" s="1"/>
  <c r="P6" i="1"/>
  <c r="S6" i="1" s="1"/>
  <c r="M2" i="1"/>
  <c r="P2" i="1"/>
  <c r="S2" i="1" s="1"/>
</calcChain>
</file>

<file path=xl/sharedStrings.xml><?xml version="1.0" encoding="utf-8"?>
<sst xmlns="http://schemas.openxmlformats.org/spreadsheetml/2006/main" count="125" uniqueCount="72">
  <si>
    <t>Nr drogi</t>
  </si>
  <si>
    <t>Modlnica</t>
  </si>
  <si>
    <t>Modlniczka</t>
  </si>
  <si>
    <t>S52</t>
  </si>
  <si>
    <t>Stan</t>
  </si>
  <si>
    <t>Początek</t>
  </si>
  <si>
    <t>Koniec</t>
  </si>
  <si>
    <t>Długość</t>
  </si>
  <si>
    <t>pl. rozb.</t>
  </si>
  <si>
    <t>ukończony</t>
  </si>
  <si>
    <t>Balice I</t>
  </si>
  <si>
    <t>Balice II</t>
  </si>
  <si>
    <t>Bielany</t>
  </si>
  <si>
    <t>Tyniec</t>
  </si>
  <si>
    <t>Skawina</t>
  </si>
  <si>
    <t>Południe</t>
  </si>
  <si>
    <t>Łagiewniki</t>
  </si>
  <si>
    <t>Wieliczka</t>
  </si>
  <si>
    <t>Bieżanów</t>
  </si>
  <si>
    <t>Przewóz</t>
  </si>
  <si>
    <t>Nowa Huta</t>
  </si>
  <si>
    <t>A4</t>
  </si>
  <si>
    <t>S7</t>
  </si>
  <si>
    <t>Grębałów</t>
  </si>
  <si>
    <t>Mistrzejowice</t>
  </si>
  <si>
    <t>budowa</t>
  </si>
  <si>
    <t>Batowice</t>
  </si>
  <si>
    <t>Węgrzce</t>
  </si>
  <si>
    <t>Zielonki</t>
  </si>
  <si>
    <t>V max</t>
  </si>
  <si>
    <t>Przekrój</t>
  </si>
  <si>
    <t>2x2</t>
  </si>
  <si>
    <t>2x3</t>
  </si>
  <si>
    <t>Ruch 2015</t>
  </si>
  <si>
    <t>C+D 2015</t>
  </si>
  <si>
    <t>otwarto po 2015</t>
  </si>
  <si>
    <t>droga w budowie</t>
  </si>
  <si>
    <t>A+B 2015</t>
  </si>
  <si>
    <t>T 2015</t>
  </si>
  <si>
    <t>T C+D 2015</t>
  </si>
  <si>
    <t>T A+B 2015</t>
  </si>
  <si>
    <t>Δ ruchu</t>
  </si>
  <si>
    <t>Δ C+D</t>
  </si>
  <si>
    <t>Δ A+B</t>
  </si>
  <si>
    <t>ΔT ruchu</t>
  </si>
  <si>
    <t>Q zaokr</t>
  </si>
  <si>
    <t>Długość całości</t>
  </si>
  <si>
    <t>Długość istniejącego odcinka</t>
  </si>
  <si>
    <t>Długość budowanego odcinka</t>
  </si>
  <si>
    <t>Różnica</t>
  </si>
  <si>
    <t>Całkowita liczba komórek</t>
  </si>
  <si>
    <t>Liczba komórek istniejącego odcinka</t>
  </si>
  <si>
    <t>Liczba komórek planowanego odcinka</t>
  </si>
  <si>
    <t>Q komórek</t>
  </si>
  <si>
    <t>m/s</t>
  </si>
  <si>
    <t>100</t>
  </si>
  <si>
    <t>120</t>
  </si>
  <si>
    <t>110</t>
  </si>
  <si>
    <t>140</t>
  </si>
  <si>
    <t>V</t>
  </si>
  <si>
    <t>80</t>
  </si>
  <si>
    <t>160</t>
  </si>
  <si>
    <t>3</t>
  </si>
  <si>
    <t>4</t>
  </si>
  <si>
    <t>5</t>
  </si>
  <si>
    <t>6</t>
  </si>
  <si>
    <t>Komórek na sekundę</t>
  </si>
  <si>
    <t>Komórki zaokrąglone</t>
  </si>
  <si>
    <t>Liczba pojazdów osbowych na raz</t>
  </si>
  <si>
    <t>Liczba pojazdów ciężarowych na raz</t>
  </si>
  <si>
    <t>Gęstość ruchu osobowego</t>
  </si>
  <si>
    <t>Gęstość ruchu ciężarowego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</si>
</sst>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ill="1" applyBorder="1"/>
    <xf numFmtId="0" fontId="0" fillId="0" borderId="3" xfId="0" applyBorder="1" applyAlignment="1"/>
    <xf numFmtId="0" fontId="0" fillId="0" borderId="2" xfId="0" applyBorder="1" applyAlignment="1"/>
    <xf numFmtId="0" fontId="0" fillId="0" borderId="1" xfId="0" applyBorder="1" applyAlignment="1"/>
    <xf numFmtId="2" fontId="0" fillId="0" borderId="0" xfId="0" applyNumberFormat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259A-F083-467F-80E5-3FEEBE2D8236}">
  <dimension ref="A1:V34"/>
  <sheetViews>
    <sheetView tabSelected="1" topLeftCell="M13" zoomScaleNormal="100" workbookViewId="0">
      <selection activeCell="V29" sqref="V29"/>
    </sheetView>
  </sheetViews>
  <sheetFormatPr defaultRowHeight="14.4" x14ac:dyDescent="0.3"/>
  <cols>
    <col min="1" max="1" width="10" style="1" customWidth="1"/>
    <col min="2" max="2" width="9.5546875" style="1" customWidth="1"/>
    <col min="3" max="3" width="12.88671875" customWidth="1"/>
    <col min="4" max="4" width="13.21875" customWidth="1"/>
    <col min="5" max="5" width="5.77734375" customWidth="1"/>
    <col min="6" max="6" width="7.33203125" customWidth="1"/>
    <col min="8" max="8" width="9.88671875" customWidth="1"/>
    <col min="9" max="9" width="14.44140625" customWidth="1"/>
    <col min="12" max="12" width="9.88671875" customWidth="1"/>
    <col min="13" max="13" width="10" customWidth="1"/>
  </cols>
  <sheetData>
    <row r="1" spans="1:22" x14ac:dyDescent="0.3">
      <c r="A1" s="1" t="s">
        <v>0</v>
      </c>
      <c r="B1" s="1" t="s">
        <v>4</v>
      </c>
      <c r="C1" t="s">
        <v>5</v>
      </c>
      <c r="D1" t="s">
        <v>6</v>
      </c>
      <c r="E1" t="s">
        <v>29</v>
      </c>
      <c r="F1" t="s">
        <v>30</v>
      </c>
      <c r="G1" t="s">
        <v>7</v>
      </c>
      <c r="H1" t="s">
        <v>33</v>
      </c>
      <c r="I1" t="s">
        <v>34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42</v>
      </c>
      <c r="S1" t="s">
        <v>43</v>
      </c>
      <c r="T1" t="s">
        <v>53</v>
      </c>
      <c r="U1" t="s">
        <v>45</v>
      </c>
    </row>
    <row r="2" spans="1:22" x14ac:dyDescent="0.3">
      <c r="A2" s="2">
        <v>94</v>
      </c>
      <c r="B2" s="1" t="s">
        <v>8</v>
      </c>
      <c r="C2" t="s">
        <v>1</v>
      </c>
      <c r="D2" t="s">
        <v>2</v>
      </c>
      <c r="E2">
        <v>100</v>
      </c>
      <c r="F2" t="s">
        <v>31</v>
      </c>
      <c r="G2">
        <v>2.5</v>
      </c>
      <c r="H2">
        <v>15663</v>
      </c>
      <c r="I2">
        <f>797+1524+23</f>
        <v>2344</v>
      </c>
      <c r="J2">
        <f>H2-I2</f>
        <v>13319</v>
      </c>
      <c r="K2">
        <f>86400/H2</f>
        <v>5.5161846389580544</v>
      </c>
      <c r="L2">
        <f>86400/I2</f>
        <v>36.860068259385663</v>
      </c>
      <c r="M2">
        <f>86400/J2</f>
        <v>6.4869734965087469</v>
      </c>
      <c r="N2">
        <f>H2</f>
        <v>15663</v>
      </c>
      <c r="O2">
        <f>I2</f>
        <v>2344</v>
      </c>
      <c r="P2">
        <f>J2</f>
        <v>13319</v>
      </c>
      <c r="Q2">
        <f>86400/N2</f>
        <v>5.5161846389580544</v>
      </c>
      <c r="R2">
        <f t="shared" ref="R2:S2" si="0">86400/O2</f>
        <v>36.860068259385663</v>
      </c>
      <c r="S2">
        <f t="shared" si="0"/>
        <v>6.4869734965087469</v>
      </c>
      <c r="T2">
        <f>G2*1000/7.5</f>
        <v>333.33333333333331</v>
      </c>
      <c r="U2">
        <f>ROUND(T2,0)</f>
        <v>333</v>
      </c>
      <c r="V2">
        <f>SUM($U$1:U2)</f>
        <v>333</v>
      </c>
    </row>
    <row r="3" spans="1:22" x14ac:dyDescent="0.3">
      <c r="A3" s="1" t="s">
        <v>3</v>
      </c>
      <c r="B3" s="1" t="s">
        <v>9</v>
      </c>
      <c r="C3" t="str">
        <f t="shared" ref="C3:C19" si="1">D2</f>
        <v>Modlniczka</v>
      </c>
      <c r="D3" t="s">
        <v>10</v>
      </c>
      <c r="E3">
        <v>120</v>
      </c>
      <c r="F3" t="s">
        <v>31</v>
      </c>
      <c r="G3">
        <v>4.0999999999999996</v>
      </c>
      <c r="H3">
        <v>34322</v>
      </c>
      <c r="I3">
        <f>1198+2230+365</f>
        <v>3793</v>
      </c>
      <c r="J3">
        <f t="shared" ref="J3:J12" si="2">H3-I3</f>
        <v>30529</v>
      </c>
      <c r="K3">
        <f t="shared" ref="K3:K20" si="3">86400/H3</f>
        <v>2.517335819590933</v>
      </c>
      <c r="L3">
        <f t="shared" ref="L3:L20" si="4">86400/I3</f>
        <v>22.778803058265225</v>
      </c>
      <c r="M3">
        <f t="shared" ref="M3:M20" si="5">86400/J3</f>
        <v>2.8300959743194993</v>
      </c>
      <c r="N3">
        <f>H3-H2</f>
        <v>18659</v>
      </c>
      <c r="O3">
        <f t="shared" ref="O3:P3" si="6">I3-I2</f>
        <v>1449</v>
      </c>
      <c r="P3">
        <f t="shared" si="6"/>
        <v>17210</v>
      </c>
      <c r="Q3">
        <f t="shared" ref="Q3:Q12" si="7">86400/N3</f>
        <v>4.6304732300766389</v>
      </c>
      <c r="R3">
        <f t="shared" ref="R3:R12" si="8">86400/O3</f>
        <v>59.627329192546583</v>
      </c>
      <c r="S3">
        <f t="shared" ref="S3:S12" si="9">86400/P3</f>
        <v>5.0203370133643235</v>
      </c>
      <c r="T3">
        <f t="shared" ref="T3:T12" si="10">G3*1000/7.5</f>
        <v>546.66666666666663</v>
      </c>
      <c r="U3">
        <f t="shared" ref="U3:U12" si="11">ROUND(T3,0)</f>
        <v>547</v>
      </c>
      <c r="V3">
        <f>SUM($U$1:U3)</f>
        <v>880</v>
      </c>
    </row>
    <row r="4" spans="1:22" x14ac:dyDescent="0.3">
      <c r="A4" s="1" t="s">
        <v>3</v>
      </c>
      <c r="B4" s="1" t="s">
        <v>9</v>
      </c>
      <c r="C4" t="str">
        <f t="shared" si="1"/>
        <v>Balice I</v>
      </c>
      <c r="D4" t="s">
        <v>11</v>
      </c>
      <c r="E4">
        <v>120</v>
      </c>
      <c r="F4" t="s">
        <v>31</v>
      </c>
      <c r="G4">
        <v>1.4</v>
      </c>
      <c r="H4">
        <v>49637</v>
      </c>
      <c r="I4">
        <f>1640+6138+217</f>
        <v>7995</v>
      </c>
      <c r="J4">
        <f t="shared" si="2"/>
        <v>41642</v>
      </c>
      <c r="K4">
        <f t="shared" si="3"/>
        <v>1.7406370248000484</v>
      </c>
      <c r="L4">
        <f t="shared" si="4"/>
        <v>10.806754221388367</v>
      </c>
      <c r="M4">
        <f t="shared" si="5"/>
        <v>2.0748282983526249</v>
      </c>
      <c r="N4">
        <f t="shared" ref="N4:N12" si="12">H4-H3</f>
        <v>15315</v>
      </c>
      <c r="O4">
        <f t="shared" ref="O4:O12" si="13">I4-I3</f>
        <v>4202</v>
      </c>
      <c r="P4">
        <f t="shared" ref="P4:P12" si="14">J4-J3</f>
        <v>11113</v>
      </c>
      <c r="Q4">
        <f t="shared" si="7"/>
        <v>5.6415279138099903</v>
      </c>
      <c r="R4">
        <f t="shared" si="8"/>
        <v>20.561637315564017</v>
      </c>
      <c r="S4">
        <f t="shared" si="9"/>
        <v>7.7746783046882033</v>
      </c>
      <c r="T4">
        <f t="shared" si="10"/>
        <v>186.66666666666666</v>
      </c>
      <c r="U4">
        <f t="shared" si="11"/>
        <v>187</v>
      </c>
      <c r="V4">
        <f>SUM($U$1:U4)</f>
        <v>1067</v>
      </c>
    </row>
    <row r="5" spans="1:22" x14ac:dyDescent="0.3">
      <c r="A5" s="1" t="s">
        <v>21</v>
      </c>
      <c r="B5" s="1" t="s">
        <v>9</v>
      </c>
      <c r="C5" t="str">
        <f t="shared" si="1"/>
        <v>Balice II</v>
      </c>
      <c r="D5" t="s">
        <v>12</v>
      </c>
      <c r="E5">
        <v>110</v>
      </c>
      <c r="F5" t="s">
        <v>31</v>
      </c>
      <c r="G5">
        <v>4.5</v>
      </c>
      <c r="H5">
        <v>54175</v>
      </c>
      <c r="I5">
        <f>2148+6674+177</f>
        <v>8999</v>
      </c>
      <c r="J5">
        <f t="shared" si="2"/>
        <v>45176</v>
      </c>
      <c r="K5">
        <f t="shared" si="3"/>
        <v>1.5948315643747115</v>
      </c>
      <c r="L5">
        <f t="shared" si="4"/>
        <v>9.6010667851983555</v>
      </c>
      <c r="M5">
        <f t="shared" si="5"/>
        <v>1.9125199220825218</v>
      </c>
      <c r="N5">
        <f t="shared" si="12"/>
        <v>4538</v>
      </c>
      <c r="O5">
        <f t="shared" si="13"/>
        <v>1004</v>
      </c>
      <c r="P5">
        <f t="shared" si="14"/>
        <v>3534</v>
      </c>
      <c r="Q5">
        <f t="shared" si="7"/>
        <v>19.039224327897752</v>
      </c>
      <c r="R5">
        <f t="shared" si="8"/>
        <v>86.055776892430274</v>
      </c>
      <c r="S5">
        <f t="shared" si="9"/>
        <v>24.448217317487266</v>
      </c>
      <c r="T5">
        <f t="shared" si="10"/>
        <v>600</v>
      </c>
      <c r="U5">
        <f t="shared" si="11"/>
        <v>600</v>
      </c>
      <c r="V5">
        <f>SUM($U$1:U5)</f>
        <v>1667</v>
      </c>
    </row>
    <row r="6" spans="1:22" x14ac:dyDescent="0.3">
      <c r="A6" s="1" t="s">
        <v>21</v>
      </c>
      <c r="B6" s="1" t="s">
        <v>9</v>
      </c>
      <c r="C6" t="str">
        <f t="shared" si="1"/>
        <v>Bielany</v>
      </c>
      <c r="D6" t="s">
        <v>13</v>
      </c>
      <c r="E6">
        <v>110</v>
      </c>
      <c r="F6" t="s">
        <v>31</v>
      </c>
      <c r="G6">
        <v>2</v>
      </c>
      <c r="H6">
        <v>58630</v>
      </c>
      <c r="I6">
        <f>2418+5852+160</f>
        <v>8430</v>
      </c>
      <c r="J6">
        <f t="shared" si="2"/>
        <v>50200</v>
      </c>
      <c r="K6">
        <f t="shared" si="3"/>
        <v>1.4736483029165957</v>
      </c>
      <c r="L6">
        <f t="shared" si="4"/>
        <v>10.249110320284698</v>
      </c>
      <c r="M6">
        <f t="shared" si="5"/>
        <v>1.7211155378486056</v>
      </c>
      <c r="N6">
        <f t="shared" si="12"/>
        <v>4455</v>
      </c>
      <c r="O6">
        <f t="shared" si="13"/>
        <v>-569</v>
      </c>
      <c r="P6">
        <f t="shared" si="14"/>
        <v>5024</v>
      </c>
      <c r="Q6">
        <f t="shared" si="7"/>
        <v>19.393939393939394</v>
      </c>
      <c r="R6">
        <f t="shared" si="8"/>
        <v>-151.84534270650263</v>
      </c>
      <c r="S6">
        <f t="shared" si="9"/>
        <v>17.197452229299362</v>
      </c>
      <c r="T6">
        <f t="shared" si="10"/>
        <v>266.66666666666669</v>
      </c>
      <c r="U6">
        <f t="shared" si="11"/>
        <v>267</v>
      </c>
      <c r="V6">
        <f>SUM($U$1:U6)</f>
        <v>1934</v>
      </c>
    </row>
    <row r="7" spans="1:22" x14ac:dyDescent="0.3">
      <c r="A7" s="1" t="s">
        <v>21</v>
      </c>
      <c r="B7" s="1" t="s">
        <v>9</v>
      </c>
      <c r="C7" t="str">
        <f t="shared" si="1"/>
        <v>Tyniec</v>
      </c>
      <c r="D7" t="s">
        <v>14</v>
      </c>
      <c r="E7">
        <v>110</v>
      </c>
      <c r="F7" t="s">
        <v>31</v>
      </c>
      <c r="G7">
        <v>3.4</v>
      </c>
      <c r="H7">
        <v>64066</v>
      </c>
      <c r="I7">
        <f>2005+6449+138</f>
        <v>8592</v>
      </c>
      <c r="J7">
        <f t="shared" si="2"/>
        <v>55474</v>
      </c>
      <c r="K7">
        <f t="shared" si="3"/>
        <v>1.3486092467143258</v>
      </c>
      <c r="L7">
        <f t="shared" si="4"/>
        <v>10.05586592178771</v>
      </c>
      <c r="M7">
        <f t="shared" si="5"/>
        <v>1.5574863900205502</v>
      </c>
      <c r="N7">
        <f t="shared" si="12"/>
        <v>5436</v>
      </c>
      <c r="O7">
        <f t="shared" si="13"/>
        <v>162</v>
      </c>
      <c r="P7">
        <f t="shared" si="14"/>
        <v>5274</v>
      </c>
      <c r="Q7">
        <f t="shared" si="7"/>
        <v>15.894039735099337</v>
      </c>
      <c r="R7">
        <f t="shared" si="8"/>
        <v>533.33333333333337</v>
      </c>
      <c r="S7">
        <f t="shared" si="9"/>
        <v>16.382252559726961</v>
      </c>
      <c r="T7">
        <f t="shared" si="10"/>
        <v>453.33333333333331</v>
      </c>
      <c r="U7">
        <f t="shared" si="11"/>
        <v>453</v>
      </c>
      <c r="V7">
        <f>SUM($U$1:U7)</f>
        <v>2387</v>
      </c>
    </row>
    <row r="8" spans="1:22" x14ac:dyDescent="0.3">
      <c r="A8" s="1" t="s">
        <v>21</v>
      </c>
      <c r="B8" s="1" t="s">
        <v>9</v>
      </c>
      <c r="C8" t="str">
        <f t="shared" si="1"/>
        <v>Skawina</v>
      </c>
      <c r="D8" t="s">
        <v>15</v>
      </c>
      <c r="E8">
        <v>110</v>
      </c>
      <c r="F8" t="s">
        <v>31</v>
      </c>
      <c r="G8">
        <v>4.4000000000000004</v>
      </c>
      <c r="H8">
        <v>50255</v>
      </c>
      <c r="I8">
        <f>2193+6098+118</f>
        <v>8409</v>
      </c>
      <c r="J8">
        <f t="shared" si="2"/>
        <v>41846</v>
      </c>
      <c r="K8">
        <f t="shared" si="3"/>
        <v>1.7192319172221668</v>
      </c>
      <c r="L8">
        <f t="shared" si="4"/>
        <v>10.274705672493758</v>
      </c>
      <c r="M8">
        <f t="shared" si="5"/>
        <v>2.0647134732112984</v>
      </c>
      <c r="N8">
        <f t="shared" si="12"/>
        <v>-13811</v>
      </c>
      <c r="O8">
        <f t="shared" si="13"/>
        <v>-183</v>
      </c>
      <c r="P8">
        <f t="shared" si="14"/>
        <v>-13628</v>
      </c>
      <c r="Q8">
        <f t="shared" si="7"/>
        <v>-6.2558829918181162</v>
      </c>
      <c r="R8">
        <f t="shared" si="8"/>
        <v>-472.13114754098359</v>
      </c>
      <c r="S8">
        <f t="shared" si="9"/>
        <v>-6.3398884649251537</v>
      </c>
      <c r="T8">
        <f t="shared" si="10"/>
        <v>586.66666666666663</v>
      </c>
      <c r="U8">
        <f t="shared" si="11"/>
        <v>587</v>
      </c>
      <c r="V8">
        <f>SUM($U$1:U8)</f>
        <v>2974</v>
      </c>
    </row>
    <row r="9" spans="1:22" x14ac:dyDescent="0.3">
      <c r="A9" s="1" t="s">
        <v>21</v>
      </c>
      <c r="B9" s="1" t="s">
        <v>9</v>
      </c>
      <c r="C9" t="str">
        <f t="shared" si="1"/>
        <v>Południe</v>
      </c>
      <c r="D9" t="s">
        <v>16</v>
      </c>
      <c r="E9">
        <v>110</v>
      </c>
      <c r="F9" t="s">
        <v>31</v>
      </c>
      <c r="G9">
        <v>2.2000000000000002</v>
      </c>
      <c r="H9">
        <v>53017</v>
      </c>
      <c r="I9">
        <f>2133+5661+172</f>
        <v>7966</v>
      </c>
      <c r="J9">
        <f t="shared" si="2"/>
        <v>45051</v>
      </c>
      <c r="K9">
        <f t="shared" si="3"/>
        <v>1.6296659562027274</v>
      </c>
      <c r="L9">
        <f t="shared" si="4"/>
        <v>10.846095907607332</v>
      </c>
      <c r="M9">
        <f t="shared" si="5"/>
        <v>1.9178264633415463</v>
      </c>
      <c r="N9">
        <f t="shared" si="12"/>
        <v>2762</v>
      </c>
      <c r="O9">
        <f t="shared" si="13"/>
        <v>-443</v>
      </c>
      <c r="P9">
        <f t="shared" si="14"/>
        <v>3205</v>
      </c>
      <c r="Q9">
        <f t="shared" si="7"/>
        <v>31.281679942070962</v>
      </c>
      <c r="R9">
        <f t="shared" si="8"/>
        <v>-195.03386004514672</v>
      </c>
      <c r="S9">
        <f t="shared" si="9"/>
        <v>26.957878315132604</v>
      </c>
      <c r="T9">
        <f t="shared" si="10"/>
        <v>293.33333333333331</v>
      </c>
      <c r="U9">
        <f t="shared" si="11"/>
        <v>293</v>
      </c>
      <c r="V9">
        <f>SUM($U$1:U9)</f>
        <v>3267</v>
      </c>
    </row>
    <row r="10" spans="1:22" x14ac:dyDescent="0.3">
      <c r="A10" s="1" t="s">
        <v>21</v>
      </c>
      <c r="B10" s="1" t="s">
        <v>9</v>
      </c>
      <c r="C10" t="str">
        <f t="shared" si="1"/>
        <v>Łagiewniki</v>
      </c>
      <c r="D10" t="s">
        <v>17</v>
      </c>
      <c r="E10">
        <v>140</v>
      </c>
      <c r="F10" t="s">
        <v>32</v>
      </c>
      <c r="G10">
        <v>5.8</v>
      </c>
      <c r="H10">
        <v>42375</v>
      </c>
      <c r="I10">
        <f>1559+5446+109</f>
        <v>7114</v>
      </c>
      <c r="J10">
        <f t="shared" si="2"/>
        <v>35261</v>
      </c>
      <c r="K10">
        <f t="shared" si="3"/>
        <v>2.0389380530973451</v>
      </c>
      <c r="L10">
        <f t="shared" si="4"/>
        <v>12.145066066910317</v>
      </c>
      <c r="M10">
        <f t="shared" si="5"/>
        <v>2.4502991974135733</v>
      </c>
      <c r="N10">
        <f t="shared" si="12"/>
        <v>-10642</v>
      </c>
      <c r="O10">
        <f t="shared" si="13"/>
        <v>-852</v>
      </c>
      <c r="P10">
        <f t="shared" si="14"/>
        <v>-9790</v>
      </c>
      <c r="Q10">
        <f t="shared" si="7"/>
        <v>-8.1187746664160869</v>
      </c>
      <c r="R10">
        <f t="shared" si="8"/>
        <v>-101.40845070422536</v>
      </c>
      <c r="S10">
        <f t="shared" si="9"/>
        <v>-8.8253319713993879</v>
      </c>
      <c r="T10">
        <f t="shared" si="10"/>
        <v>773.33333333333337</v>
      </c>
      <c r="U10">
        <f t="shared" si="11"/>
        <v>773</v>
      </c>
      <c r="V10">
        <f>SUM($U$1:U10)</f>
        <v>4040</v>
      </c>
    </row>
    <row r="11" spans="1:22" x14ac:dyDescent="0.3">
      <c r="A11" s="1" t="s">
        <v>21</v>
      </c>
      <c r="B11" s="1" t="s">
        <v>9</v>
      </c>
      <c r="C11" t="str">
        <f t="shared" si="1"/>
        <v>Wieliczka</v>
      </c>
      <c r="D11" t="s">
        <v>18</v>
      </c>
      <c r="E11">
        <v>140</v>
      </c>
      <c r="F11" t="s">
        <v>32</v>
      </c>
      <c r="G11">
        <v>3.7</v>
      </c>
      <c r="H11">
        <v>38675</v>
      </c>
      <c r="I11">
        <f>1471+4206+349</f>
        <v>6026</v>
      </c>
      <c r="J11">
        <f t="shared" si="2"/>
        <v>32649</v>
      </c>
      <c r="K11">
        <f t="shared" si="3"/>
        <v>2.2340012928248223</v>
      </c>
      <c r="L11">
        <f t="shared" si="4"/>
        <v>14.337869233322269</v>
      </c>
      <c r="M11">
        <f t="shared" si="5"/>
        <v>2.6463291371864375</v>
      </c>
      <c r="N11">
        <f t="shared" si="12"/>
        <v>-3700</v>
      </c>
      <c r="O11">
        <f t="shared" si="13"/>
        <v>-1088</v>
      </c>
      <c r="P11">
        <f t="shared" si="14"/>
        <v>-2612</v>
      </c>
      <c r="Q11">
        <f t="shared" si="7"/>
        <v>-23.351351351351351</v>
      </c>
      <c r="R11">
        <f t="shared" si="8"/>
        <v>-79.411764705882348</v>
      </c>
      <c r="S11">
        <f t="shared" si="9"/>
        <v>-33.078101071975496</v>
      </c>
      <c r="T11">
        <f t="shared" si="10"/>
        <v>493.33333333333331</v>
      </c>
      <c r="U11">
        <f t="shared" si="11"/>
        <v>493</v>
      </c>
      <c r="V11">
        <f>SUM($U$1:U11)</f>
        <v>4533</v>
      </c>
    </row>
    <row r="12" spans="1:22" x14ac:dyDescent="0.3">
      <c r="A12" s="1" t="s">
        <v>22</v>
      </c>
      <c r="B12" s="1" t="s">
        <v>9</v>
      </c>
      <c r="C12" t="str">
        <f t="shared" si="1"/>
        <v>Bieżanów</v>
      </c>
      <c r="D12" t="s">
        <v>19</v>
      </c>
      <c r="E12">
        <v>120</v>
      </c>
      <c r="F12" t="s">
        <v>32</v>
      </c>
      <c r="G12">
        <v>2.6</v>
      </c>
      <c r="H12">
        <v>21092</v>
      </c>
      <c r="I12">
        <f>1687+1427+121</f>
        <v>3235</v>
      </c>
      <c r="J12">
        <f t="shared" si="2"/>
        <v>17857</v>
      </c>
      <c r="K12">
        <f t="shared" si="3"/>
        <v>4.0963398444908021</v>
      </c>
      <c r="L12">
        <f t="shared" si="4"/>
        <v>26.707882534775887</v>
      </c>
      <c r="M12">
        <f t="shared" si="5"/>
        <v>4.8384387075096598</v>
      </c>
      <c r="N12">
        <f t="shared" si="12"/>
        <v>-17583</v>
      </c>
      <c r="O12">
        <f t="shared" si="13"/>
        <v>-2791</v>
      </c>
      <c r="P12">
        <f t="shared" si="14"/>
        <v>-14792</v>
      </c>
      <c r="Q12">
        <f t="shared" si="7"/>
        <v>-4.9138372291417847</v>
      </c>
      <c r="R12">
        <f t="shared" si="8"/>
        <v>-30.956646363310643</v>
      </c>
      <c r="S12">
        <f t="shared" si="9"/>
        <v>-5.8409951325040561</v>
      </c>
      <c r="T12">
        <f t="shared" si="10"/>
        <v>346.66666666666669</v>
      </c>
      <c r="U12">
        <f t="shared" si="11"/>
        <v>347</v>
      </c>
      <c r="V12">
        <f>SUM($U$1:U12)</f>
        <v>4880</v>
      </c>
    </row>
    <row r="13" spans="1:22" x14ac:dyDescent="0.3">
      <c r="A13" s="1" t="s">
        <v>22</v>
      </c>
      <c r="B13" s="1" t="s">
        <v>9</v>
      </c>
      <c r="C13" t="str">
        <f t="shared" si="1"/>
        <v>Przewóz</v>
      </c>
      <c r="D13" t="s">
        <v>20</v>
      </c>
      <c r="E13">
        <v>120</v>
      </c>
      <c r="F13" t="s">
        <v>32</v>
      </c>
      <c r="G13">
        <v>3.1</v>
      </c>
      <c r="H13" s="10" t="s">
        <v>35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2" x14ac:dyDescent="0.3">
      <c r="A14" s="1" t="s">
        <v>22</v>
      </c>
      <c r="B14" s="1" t="s">
        <v>25</v>
      </c>
      <c r="C14" t="str">
        <f t="shared" si="1"/>
        <v>Nowa Huta</v>
      </c>
      <c r="D14" t="s">
        <v>23</v>
      </c>
      <c r="E14">
        <v>120</v>
      </c>
      <c r="F14" t="s">
        <v>32</v>
      </c>
      <c r="G14">
        <v>2.2999999999999998</v>
      </c>
      <c r="H14" s="10" t="s">
        <v>36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2" x14ac:dyDescent="0.3">
      <c r="A15" s="1" t="s">
        <v>22</v>
      </c>
      <c r="B15" s="1" t="s">
        <v>25</v>
      </c>
      <c r="C15" t="str">
        <f t="shared" si="1"/>
        <v>Grębałów</v>
      </c>
      <c r="D15" t="s">
        <v>24</v>
      </c>
      <c r="E15">
        <v>120</v>
      </c>
      <c r="F15" t="s">
        <v>32</v>
      </c>
      <c r="G15">
        <v>3</v>
      </c>
      <c r="H15" s="10" t="s">
        <v>36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2" x14ac:dyDescent="0.3">
      <c r="A16" s="1" t="s">
        <v>22</v>
      </c>
      <c r="B16" s="1" t="s">
        <v>25</v>
      </c>
      <c r="C16" t="str">
        <f t="shared" si="1"/>
        <v>Mistrzejowice</v>
      </c>
      <c r="D16" t="s">
        <v>26</v>
      </c>
      <c r="E16">
        <v>120</v>
      </c>
      <c r="F16" t="s">
        <v>32</v>
      </c>
      <c r="G16">
        <v>1.8</v>
      </c>
      <c r="H16" s="10" t="s">
        <v>36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2" x14ac:dyDescent="0.3">
      <c r="A17" s="1" t="s">
        <v>3</v>
      </c>
      <c r="B17" s="1" t="s">
        <v>25</v>
      </c>
      <c r="C17" t="str">
        <f t="shared" si="1"/>
        <v>Batowice</v>
      </c>
      <c r="D17" t="s">
        <v>27</v>
      </c>
      <c r="E17">
        <v>120</v>
      </c>
      <c r="F17" t="s">
        <v>32</v>
      </c>
      <c r="G17">
        <v>3</v>
      </c>
      <c r="H17" s="10" t="s">
        <v>36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2" x14ac:dyDescent="0.3">
      <c r="A18" s="1" t="s">
        <v>3</v>
      </c>
      <c r="B18" s="1" t="s">
        <v>25</v>
      </c>
      <c r="C18" t="str">
        <f t="shared" si="1"/>
        <v>Węgrzce</v>
      </c>
      <c r="D18" t="s">
        <v>28</v>
      </c>
      <c r="E18">
        <v>120</v>
      </c>
      <c r="F18" t="s">
        <v>32</v>
      </c>
      <c r="G18">
        <v>4.0999999999999996</v>
      </c>
      <c r="H18" s="10" t="s">
        <v>36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2" ht="15" thickBot="1" x14ac:dyDescent="0.35">
      <c r="A19" s="1" t="s">
        <v>3</v>
      </c>
      <c r="B19" s="1" t="s">
        <v>25</v>
      </c>
      <c r="C19" t="str">
        <f t="shared" si="1"/>
        <v>Zielonki</v>
      </c>
      <c r="D19" t="s">
        <v>1</v>
      </c>
      <c r="E19">
        <v>120</v>
      </c>
      <c r="F19" t="s">
        <v>32</v>
      </c>
      <c r="G19">
        <v>3</v>
      </c>
      <c r="H19" s="10" t="s">
        <v>36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2" ht="15" thickBot="1" x14ac:dyDescent="0.35">
      <c r="D20" s="10" t="s">
        <v>46</v>
      </c>
      <c r="E20" s="10"/>
      <c r="F20" s="10"/>
      <c r="G20">
        <f>SUM(G2:G19)</f>
        <v>56.9</v>
      </c>
      <c r="H20">
        <f>AVERAGE(H2:H12)</f>
        <v>43809.727272727272</v>
      </c>
      <c r="I20">
        <f t="shared" ref="I20:J20" si="15">AVERAGE(I2:I12)</f>
        <v>6627.545454545455</v>
      </c>
      <c r="J20">
        <f t="shared" si="15"/>
        <v>37182.181818181816</v>
      </c>
      <c r="K20">
        <f t="shared" si="3"/>
        <v>1.9721647537802938</v>
      </c>
      <c r="L20">
        <f t="shared" si="4"/>
        <v>13.036500555532694</v>
      </c>
      <c r="M20">
        <f t="shared" si="5"/>
        <v>2.3236936558077672</v>
      </c>
      <c r="Q20" s="11" t="s">
        <v>50</v>
      </c>
      <c r="R20" s="12"/>
      <c r="S20" s="12"/>
      <c r="T20" s="13"/>
      <c r="U20" s="3">
        <f>ROUND(G20*1000/7.5,0)</f>
        <v>7587</v>
      </c>
    </row>
    <row r="21" spans="1:22" ht="15" thickBot="1" x14ac:dyDescent="0.35">
      <c r="D21" s="10" t="s">
        <v>47</v>
      </c>
      <c r="E21" s="10"/>
      <c r="F21" s="10"/>
      <c r="G21">
        <f>SUM(G2:G12)</f>
        <v>36.6</v>
      </c>
      <c r="Q21" s="5" t="s">
        <v>51</v>
      </c>
      <c r="R21" s="4"/>
      <c r="S21" s="4"/>
      <c r="T21" s="6"/>
      <c r="U21" s="3">
        <f>SUM(U2:U12)</f>
        <v>4880</v>
      </c>
    </row>
    <row r="22" spans="1:22" ht="15" thickBot="1" x14ac:dyDescent="0.35">
      <c r="D22" s="10" t="s">
        <v>48</v>
      </c>
      <c r="E22" s="10"/>
      <c r="F22" s="10"/>
      <c r="G22">
        <f>G20-G21</f>
        <v>20.299999999999997</v>
      </c>
      <c r="Q22" s="11" t="s">
        <v>52</v>
      </c>
      <c r="R22" s="12"/>
      <c r="S22" s="12"/>
      <c r="T22" s="13"/>
      <c r="U22" s="3">
        <f>ROUND(G22*1000/7.5,0)</f>
        <v>2707</v>
      </c>
    </row>
    <row r="23" spans="1:22" ht="15" thickBot="1" x14ac:dyDescent="0.35">
      <c r="A23" s="1" t="s">
        <v>59</v>
      </c>
      <c r="B23" s="1" t="s">
        <v>54</v>
      </c>
      <c r="C23" s="10" t="s">
        <v>66</v>
      </c>
      <c r="D23" s="10"/>
      <c r="E23" s="14" t="s">
        <v>67</v>
      </c>
      <c r="F23" s="14"/>
      <c r="G23" s="14"/>
      <c r="Q23" s="11" t="s">
        <v>49</v>
      </c>
      <c r="R23" s="12"/>
      <c r="S23" s="12"/>
      <c r="T23" s="12"/>
      <c r="U23" s="3">
        <f>U20-U21-U22</f>
        <v>0</v>
      </c>
    </row>
    <row r="24" spans="1:22" x14ac:dyDescent="0.3">
      <c r="A24" s="1" t="s">
        <v>60</v>
      </c>
      <c r="B24" s="7">
        <f>A24/3.6</f>
        <v>22.222222222222221</v>
      </c>
      <c r="C24" s="10">
        <f>B24/7.5</f>
        <v>2.9629629629629628</v>
      </c>
      <c r="D24" s="10"/>
      <c r="E24" s="10">
        <f>ROUND(C24,0)</f>
        <v>3</v>
      </c>
      <c r="F24" s="10"/>
      <c r="G24" s="10"/>
      <c r="Q24" s="8"/>
      <c r="R24" s="8"/>
      <c r="S24" s="8"/>
      <c r="T24" s="8"/>
      <c r="U24" s="9"/>
    </row>
    <row r="25" spans="1:22" x14ac:dyDescent="0.3">
      <c r="A25" s="7" t="s">
        <v>55</v>
      </c>
      <c r="B25" s="7">
        <f>A25/3.6</f>
        <v>27.777777777777779</v>
      </c>
      <c r="C25" s="10">
        <f t="shared" ref="C25:C29" si="16">B25/7.5</f>
        <v>3.7037037037037037</v>
      </c>
      <c r="D25" s="10"/>
      <c r="E25" s="10">
        <f t="shared" ref="E25:E29" si="17">ROUND(C25,0)</f>
        <v>4</v>
      </c>
      <c r="F25" s="10"/>
      <c r="G25" s="10"/>
      <c r="Q25" t="s">
        <v>68</v>
      </c>
      <c r="U25">
        <f>J20/60*56/36</f>
        <v>963.98249158249143</v>
      </c>
      <c r="V25">
        <v>964</v>
      </c>
    </row>
    <row r="26" spans="1:22" x14ac:dyDescent="0.3">
      <c r="A26" s="7" t="s">
        <v>57</v>
      </c>
      <c r="B26" s="7">
        <f t="shared" ref="B26:B29" si="18">A26/3.6</f>
        <v>30.555555555555554</v>
      </c>
      <c r="C26" s="10">
        <f t="shared" si="16"/>
        <v>4.0740740740740735</v>
      </c>
      <c r="D26" s="10"/>
      <c r="E26" s="10">
        <f t="shared" si="17"/>
        <v>4</v>
      </c>
      <c r="F26" s="10"/>
      <c r="G26" s="10"/>
      <c r="Q26" t="s">
        <v>69</v>
      </c>
      <c r="U26">
        <f>I20/48*56/37</f>
        <v>208.97665847665851</v>
      </c>
      <c r="V26">
        <v>209</v>
      </c>
    </row>
    <row r="27" spans="1:22" x14ac:dyDescent="0.3">
      <c r="A27" s="7" t="s">
        <v>56</v>
      </c>
      <c r="B27" s="7">
        <f t="shared" si="18"/>
        <v>33.333333333333336</v>
      </c>
      <c r="C27" s="10">
        <f t="shared" si="16"/>
        <v>4.4444444444444446</v>
      </c>
      <c r="D27" s="10"/>
      <c r="E27" s="10">
        <f t="shared" si="17"/>
        <v>4</v>
      </c>
      <c r="F27" s="10"/>
      <c r="G27" s="10"/>
      <c r="Q27" t="s">
        <v>70</v>
      </c>
      <c r="U27">
        <f>U20/V25</f>
        <v>7.8703319502074685</v>
      </c>
    </row>
    <row r="28" spans="1:22" x14ac:dyDescent="0.3">
      <c r="A28" s="7" t="s">
        <v>58</v>
      </c>
      <c r="B28" s="7">
        <f t="shared" si="18"/>
        <v>38.888888888888886</v>
      </c>
      <c r="C28" s="10">
        <f t="shared" si="16"/>
        <v>5.1851851851851851</v>
      </c>
      <c r="D28" s="10"/>
      <c r="E28" s="10">
        <f t="shared" si="17"/>
        <v>5</v>
      </c>
      <c r="F28" s="10"/>
      <c r="G28" s="10"/>
      <c r="Q28" t="s">
        <v>71</v>
      </c>
      <c r="U28">
        <f>U20/V26</f>
        <v>36.301435406698566</v>
      </c>
    </row>
    <row r="29" spans="1:22" x14ac:dyDescent="0.3">
      <c r="A29" s="1" t="s">
        <v>61</v>
      </c>
      <c r="B29" s="1">
        <f t="shared" si="18"/>
        <v>44.444444444444443</v>
      </c>
      <c r="C29" s="10">
        <f t="shared" si="16"/>
        <v>5.9259259259259256</v>
      </c>
      <c r="D29" s="10"/>
      <c r="E29" s="10">
        <f t="shared" si="17"/>
        <v>6</v>
      </c>
      <c r="F29" s="10"/>
      <c r="G29" s="10"/>
    </row>
    <row r="31" spans="1:22" x14ac:dyDescent="0.3">
      <c r="A31" s="1" t="s">
        <v>62</v>
      </c>
      <c r="B31">
        <f>3*3.6*7.5</f>
        <v>81</v>
      </c>
    </row>
    <row r="32" spans="1:22" x14ac:dyDescent="0.3">
      <c r="A32" s="1" t="s">
        <v>63</v>
      </c>
      <c r="B32">
        <f>4*3.6*7.5</f>
        <v>108</v>
      </c>
    </row>
    <row r="33" spans="1:2" x14ac:dyDescent="0.3">
      <c r="A33" s="1" t="s">
        <v>64</v>
      </c>
      <c r="B33">
        <f>5*3.6*7.5</f>
        <v>135</v>
      </c>
    </row>
    <row r="34" spans="1:2" x14ac:dyDescent="0.3">
      <c r="A34" s="1" t="s">
        <v>65</v>
      </c>
      <c r="B34">
        <f>6*3.6*7.5</f>
        <v>162</v>
      </c>
    </row>
  </sheetData>
  <mergeCells count="27">
    <mergeCell ref="C28:D28"/>
    <mergeCell ref="C24:D24"/>
    <mergeCell ref="C29:D29"/>
    <mergeCell ref="E23:G23"/>
    <mergeCell ref="E24:G24"/>
    <mergeCell ref="E29:G29"/>
    <mergeCell ref="E28:G28"/>
    <mergeCell ref="E27:G27"/>
    <mergeCell ref="E26:G26"/>
    <mergeCell ref="E25:G25"/>
    <mergeCell ref="Q23:T23"/>
    <mergeCell ref="C23:D23"/>
    <mergeCell ref="C25:D25"/>
    <mergeCell ref="C26:D26"/>
    <mergeCell ref="C27:D27"/>
    <mergeCell ref="D20:F20"/>
    <mergeCell ref="D21:F21"/>
    <mergeCell ref="D22:F22"/>
    <mergeCell ref="Q20:T20"/>
    <mergeCell ref="Q22:T22"/>
    <mergeCell ref="H13:U13"/>
    <mergeCell ref="H14:U14"/>
    <mergeCell ref="H19:U19"/>
    <mergeCell ref="H18:U18"/>
    <mergeCell ref="H17:U17"/>
    <mergeCell ref="H16:U16"/>
    <mergeCell ref="H15:U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Godlewski</dc:creator>
  <cp:lastModifiedBy>Jan Godlewski</cp:lastModifiedBy>
  <dcterms:created xsi:type="dcterms:W3CDTF">2020-05-15T13:15:50Z</dcterms:created>
  <dcterms:modified xsi:type="dcterms:W3CDTF">2020-06-10T22:58:33Z</dcterms:modified>
</cp:coreProperties>
</file>