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20730" windowHeight="11760"/>
  </bookViews>
  <sheets>
    <sheet name="Sheet1" sheetId="1" r:id="rId1"/>
    <sheet name="Profits" sheetId="6" r:id="rId2"/>
    <sheet name="2024 Budget" sheetId="7" r:id="rId3"/>
    <sheet name="Customers" sheetId="5" r:id="rId4"/>
    <sheet name="Employees" sheetId="4" r:id="rId5"/>
    <sheet name="Chart" sheetId="3" r:id="rId6"/>
    <sheet name="PivotTable" sheetId="2" r:id="rId7"/>
    <sheet name="SmartArt" sheetId="8" r:id="rId8"/>
  </sheets>
  <definedNames>
    <definedName name="_xlnm._FilterDatabase" localSheetId="4" hidden="1">Employees!$A$1:$J$742</definedName>
    <definedName name="_xlnm._FilterDatabase" localSheetId="6" hidden="1">PivotTable!$A$2:$H$911</definedName>
    <definedName name="ee" localSheetId="2" hidden="1">{"FirstQ",#N/A,FALSE,"Budget2000";"SecondQ",#N/A,FALSE,"Budget2000";"Summary",#N/A,FALSE,"Budget2000"}</definedName>
    <definedName name="ee" localSheetId="3" hidden="1">{"FirstQ",#N/A,FALSE,"Budget2000";"SecondQ",#N/A,FALSE,"Budget2000";"Summary",#N/A,FALSE,"Budget2000"}</definedName>
    <definedName name="ee" localSheetId="4" hidden="1">{"FirstQ",#N/A,FALSE,"Budget2000";"SecondQ",#N/A,FALSE,"Budget2000";"Summary",#N/A,FALSE,"Budget2000"}</definedName>
    <definedName name="ee" localSheetId="1" hidden="1">{"FirstQ",#N/A,FALSE,"Budget2000";"SecondQ",#N/A,FALSE,"Budget2000";"Summary",#N/A,FALSE,"Budget2000"}</definedName>
    <definedName name="ee" localSheetId="7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2" hidden="1">{"FirstQ",#N/A,FALSE,"Budget2000";"SecondQ",#N/A,FALSE,"Budget2000";"Summary",#N/A,FALSE,"Budget2000"}</definedName>
    <definedName name="k" localSheetId="3" hidden="1">{"FirstQ",#N/A,FALSE,"Budget2000";"SecondQ",#N/A,FALSE,"Budget2000";"Summary",#N/A,FALSE,"Budget2000"}</definedName>
    <definedName name="k" localSheetId="4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localSheetId="7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2" hidden="1">{"FirstQ",#N/A,FALSE,"Budget2000";"SecondQ",#N/A,FALSE,"Budget2000";"Summary",#N/A,FALSE,"Budget2000"}</definedName>
    <definedName name="q" localSheetId="3" hidden="1">{"FirstQ",#N/A,FALSE,"Budget2000";"SecondQ",#N/A,FALSE,"Budget2000";"Summary",#N/A,FALSE,"Budget2000"}</definedName>
    <definedName name="q" localSheetId="4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localSheetId="7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2" hidden="1">{"FirstQ",#N/A,FALSE,"Budget2000";"SecondQ",#N/A,FALSE,"Budget2000"}</definedName>
    <definedName name="rr" localSheetId="3" hidden="1">{"FirstQ",#N/A,FALSE,"Budget2000";"SecondQ",#N/A,FALSE,"Budget2000"}</definedName>
    <definedName name="rr" localSheetId="4" hidden="1">{"FirstQ",#N/A,FALSE,"Budget2000";"SecondQ",#N/A,FALSE,"Budget2000"}</definedName>
    <definedName name="rr" localSheetId="1" hidden="1">{"FirstQ",#N/A,FALSE,"Budget2000";"SecondQ",#N/A,FALSE,"Budget2000"}</definedName>
    <definedName name="rr" localSheetId="7" hidden="1">{"FirstQ",#N/A,FALSE,"Budget2000";"SecondQ",#N/A,FALSE,"Budget2000"}</definedName>
    <definedName name="rr" hidden="1">{"FirstQ",#N/A,FALSE,"Budget2000";"SecondQ",#N/A,FALSE,"Budget2000"}</definedName>
    <definedName name="rrr" localSheetId="2" hidden="1">{"AllDetail",#N/A,FALSE,"Research Budget";"1stQuarter",#N/A,FALSE,"Research Budget";"2nd Quarter",#N/A,FALSE,"Research Budget";"Summary",#N/A,FALSE,"Research Budget"}</definedName>
    <definedName name="rrr" localSheetId="3" hidden="1">{"AllDetail",#N/A,FALSE,"Research Budget";"1stQuarter",#N/A,FALSE,"Research Budget";"2nd Quarter",#N/A,FALSE,"Research Budget";"Summary",#N/A,FALSE,"Research Budget"}</definedName>
    <definedName name="rrr" localSheetId="4" hidden="1">{"AllDetail",#N/A,FALSE,"Research Budget";"1stQuarter",#N/A,FALSE,"Research Budget";"2nd Quarter",#N/A,FALSE,"Research Budget";"Summary",#N/A,FALSE,"Research Budget"}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7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olver_adj" localSheetId="2" hidden="1">'2024 Budget'!#REF!,'2024 Budget'!#REF!</definedName>
    <definedName name="solver_adj" localSheetId="1" hidden="1">Profits!#REF!,Profits!#REF!</definedName>
    <definedName name="solver_cvg" localSheetId="2" hidden="1">0.0001</definedName>
    <definedName name="solver_cvg" localSheetId="1" hidden="1">0.0001</definedName>
    <definedName name="solver_drv" localSheetId="2" hidden="1">1</definedName>
    <definedName name="solver_drv" localSheetId="1" hidden="1">1</definedName>
    <definedName name="solver_est" localSheetId="2" hidden="1">1</definedName>
    <definedName name="solver_est" localSheetId="1" hidden="1">1</definedName>
    <definedName name="solver_itr" localSheetId="2" hidden="1">100</definedName>
    <definedName name="solver_itr" localSheetId="1" hidden="1">100</definedName>
    <definedName name="solver_lhs1" localSheetId="2" hidden="1">'2024 Budget'!#REF!</definedName>
    <definedName name="solver_lhs1" localSheetId="1" hidden="1">Profits!#REF!</definedName>
    <definedName name="solver_lhs2" localSheetId="2" hidden="1">'2024 Budget'!#REF!</definedName>
    <definedName name="solver_lhs2" localSheetId="1" hidden="1">Profits!#REF!</definedName>
    <definedName name="solver_lin" localSheetId="2" hidden="1">2</definedName>
    <definedName name="solver_lin" localSheetId="1" hidden="1">2</definedName>
    <definedName name="solver_neg" localSheetId="2" hidden="1">2</definedName>
    <definedName name="solver_neg" localSheetId="1" hidden="1">2</definedName>
    <definedName name="solver_num" localSheetId="2" hidden="1">2</definedName>
    <definedName name="solver_num" localSheetId="1" hidden="1">2</definedName>
    <definedName name="solver_nwt" localSheetId="2" hidden="1">1</definedName>
    <definedName name="solver_nwt" localSheetId="1" hidden="1">1</definedName>
    <definedName name="solver_opt" localSheetId="2" hidden="1">'2024 Budget'!#REF!</definedName>
    <definedName name="solver_opt" localSheetId="1" hidden="1">Profits!#REF!</definedName>
    <definedName name="solver_pre" localSheetId="2" hidden="1">0.000001</definedName>
    <definedName name="solver_pre" localSheetId="1" hidden="1">0.000001</definedName>
    <definedName name="solver_rel1" localSheetId="2" hidden="1">1</definedName>
    <definedName name="solver_rel1" localSheetId="1" hidden="1">1</definedName>
    <definedName name="solver_rel2" localSheetId="2" hidden="1">1</definedName>
    <definedName name="solver_rel2" localSheetId="1" hidden="1">1</definedName>
    <definedName name="solver_rhs1" localSheetId="2" hidden="1">500</definedName>
    <definedName name="solver_rhs1" localSheetId="1" hidden="1">500</definedName>
    <definedName name="solver_rhs2" localSheetId="2" hidden="1">350</definedName>
    <definedName name="solver_rhs2" localSheetId="1" hidden="1">350</definedName>
    <definedName name="solver_scl" localSheetId="2" hidden="1">2</definedName>
    <definedName name="solver_scl" localSheetId="1" hidden="1">2</definedName>
    <definedName name="solver_sho" localSheetId="2" hidden="1">1</definedName>
    <definedName name="solver_sho" localSheetId="1" hidden="1">1</definedName>
    <definedName name="solver_tim" localSheetId="2" hidden="1">100</definedName>
    <definedName name="solver_tim" localSheetId="1" hidden="1">100</definedName>
    <definedName name="solver_tol" localSheetId="2" hidden="1">0.05</definedName>
    <definedName name="solver_tol" localSheetId="1" hidden="1">0.05</definedName>
    <definedName name="solver_typ" localSheetId="2" hidden="1">3</definedName>
    <definedName name="solver_typ" localSheetId="1" hidden="1">3</definedName>
    <definedName name="solver_val" localSheetId="2" hidden="1">500</definedName>
    <definedName name="solver_val" localSheetId="1" hidden="1">500</definedName>
    <definedName name="wrn.AllData." localSheetId="2" hidden="1">{"FirstQ",#N/A,FALSE,"Budget2000";"SecondQ",#N/A,FALSE,"Budget2000";"Summary",#N/A,FALSE,"Budget2000"}</definedName>
    <definedName name="wrn.AllData." localSheetId="3" hidden="1">{"FirstQ",#N/A,FALSE,"Budget2000";"SecondQ",#N/A,FALSE,"Budget2000";"Summary",#N/A,FALSE,"Budget2000"}</definedName>
    <definedName name="wrn.AllData." localSheetId="4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localSheetId="7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2" hidden="1">{"FirstQ",#N/A,FALSE,"Budget2000";"SecondQ",#N/A,FALSE,"Budget2000"}</definedName>
    <definedName name="wrn.FirstHalf." localSheetId="3" hidden="1">{"FirstQ",#N/A,FALSE,"Budget2000";"SecondQ",#N/A,FALSE,"Budget2000"}</definedName>
    <definedName name="wrn.FirstHalf." localSheetId="4" hidden="1">{"FirstQ",#N/A,FALSE,"Budget2000";"SecondQ",#N/A,FALSE,"Budget2000"}</definedName>
    <definedName name="wrn.FirstHalf." localSheetId="1" hidden="1">{"FirstQ",#N/A,FALSE,"Budget2000";"SecondQ",#N/A,FALSE,"Budget2000"}</definedName>
    <definedName name="wrn.FirstHalf." localSheetId="7" hidden="1">{"FirstQ",#N/A,FALSE,"Budget2000";"SecondQ",#N/A,FALSE,"Budget2000"}</definedName>
    <definedName name="wrn.FirstHalf." hidden="1">{"FirstQ",#N/A,FALSE,"Budget2000";"SecondQ",#N/A,FALSE,"Budget2000"}</definedName>
    <definedName name="x" localSheetId="2" hidden="1">{"FirstQ",#N/A,FALSE,"Budget2000";"SecondQ",#N/A,FALSE,"Budget2000";"Summary",#N/A,FALSE,"Budget2000"}</definedName>
    <definedName name="x" localSheetId="3" hidden="1">{"FirstQ",#N/A,FALSE,"Budget2000";"SecondQ",#N/A,FALSE,"Budget2000";"Summary",#N/A,FALSE,"Budget2000"}</definedName>
    <definedName name="x" localSheetId="4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localSheetId="7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2" hidden="1">{"AllDetail",#N/A,FALSE,"Research Budget";"1stQuarter",#N/A,FALSE,"Research Budget";"2nd Quarter",#N/A,FALSE,"Research Budget";"Summary",#N/A,FALSE,"Research Budget"}</definedName>
    <definedName name="xxxxxxxxxxxxxxxxxxx" localSheetId="3" hidden="1">{"AllDetail",#N/A,FALSE,"Research Budget";"1stQuarter",#N/A,FALSE,"Research Budget";"2nd Quarter",#N/A,FALSE,"Research Budget";"Summary",#N/A,FALSE,"Research Budget"}</definedName>
    <definedName name="xxxxxxxxxxxxxxxxxxx" localSheetId="4" hidden="1">{"AllDetail",#N/A,FALSE,"Research Budget";"1stQuarter",#N/A,FALSE,"Research Budget";"2nd Quarter",#N/A,FALSE,"Research Budget";"Summary",#N/A,FALSE,"Research Budget"}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7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4" hidden="1">Employees!$A$1:$J$742</definedName>
  </definedNames>
  <calcPr calcId="124519"/>
  <pivotCaches>
    <pivotCache cacheId="1" r:id="rId9"/>
  </pivotCaches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6"/>
  <c r="D15"/>
  <c r="B15"/>
  <c r="G14"/>
  <c r="F14"/>
  <c r="D14"/>
  <c r="B14"/>
  <c r="H13"/>
  <c r="G13"/>
  <c r="F13"/>
  <c r="E13"/>
  <c r="D13"/>
  <c r="C13"/>
  <c r="B13"/>
  <c r="I11"/>
  <c r="H11"/>
  <c r="G11"/>
  <c r="E11"/>
  <c r="I10"/>
  <c r="H10"/>
  <c r="G10"/>
  <c r="F10"/>
  <c r="E10"/>
  <c r="D10"/>
  <c r="C10"/>
  <c r="I9"/>
  <c r="H9"/>
  <c r="G9"/>
  <c r="F9"/>
  <c r="E9"/>
  <c r="D9"/>
  <c r="C9"/>
  <c r="B7"/>
  <c r="G6"/>
  <c r="F6"/>
  <c r="F11" s="1"/>
  <c r="E6"/>
  <c r="E15" s="1"/>
  <c r="D6"/>
  <c r="D11" s="1"/>
  <c r="C6"/>
  <c r="C14" s="1"/>
  <c r="B6"/>
  <c r="I6" s="1"/>
  <c r="I5"/>
  <c r="I4"/>
  <c r="C7" l="1"/>
  <c r="D7" s="1"/>
  <c r="E7" s="1"/>
  <c r="F7" s="1"/>
  <c r="G7" s="1"/>
  <c r="E14"/>
  <c r="C15"/>
  <c r="C11"/>
  <c r="F15"/>
  <c r="H6"/>
  <c r="H15" l="1"/>
  <c r="H14"/>
  <c r="E911" i="2" l="1"/>
  <c r="E910"/>
  <c r="E909"/>
  <c r="E908"/>
  <c r="E907"/>
  <c r="E906"/>
  <c r="E905"/>
  <c r="E904"/>
  <c r="E903"/>
  <c r="E902"/>
  <c r="E901"/>
  <c r="E900"/>
  <c r="E899"/>
  <c r="E898"/>
  <c r="E897"/>
  <c r="E896"/>
  <c r="E895"/>
  <c r="E894"/>
  <c r="E893"/>
  <c r="E892"/>
  <c r="E891"/>
  <c r="E890"/>
  <c r="E889"/>
  <c r="E888"/>
  <c r="E887"/>
  <c r="E886"/>
  <c r="E885"/>
  <c r="E884"/>
  <c r="E883"/>
  <c r="E882"/>
  <c r="E881"/>
  <c r="E880"/>
  <c r="E879"/>
  <c r="E878"/>
  <c r="E877"/>
  <c r="E876"/>
  <c r="E875"/>
  <c r="E874"/>
  <c r="E873"/>
  <c r="E872"/>
  <c r="E871"/>
  <c r="E870"/>
  <c r="E869"/>
  <c r="E868"/>
  <c r="E867"/>
  <c r="E866"/>
  <c r="E865"/>
  <c r="E864"/>
  <c r="E863"/>
  <c r="E862"/>
  <c r="E861"/>
  <c r="E860"/>
  <c r="E859"/>
  <c r="E858"/>
  <c r="E857"/>
  <c r="E856"/>
  <c r="E855"/>
  <c r="E854"/>
  <c r="E853"/>
  <c r="E852"/>
  <c r="E851"/>
  <c r="E850"/>
  <c r="E849"/>
  <c r="E848"/>
  <c r="E847"/>
  <c r="E846"/>
  <c r="E845"/>
  <c r="E844"/>
  <c r="E843"/>
  <c r="E842"/>
  <c r="E841"/>
  <c r="E840"/>
  <c r="E839"/>
  <c r="E838"/>
  <c r="E837"/>
  <c r="E836"/>
  <c r="E835"/>
  <c r="E834"/>
  <c r="E833"/>
  <c r="E832"/>
  <c r="E831"/>
  <c r="E830"/>
  <c r="E829"/>
  <c r="E828"/>
  <c r="E827"/>
  <c r="E826"/>
  <c r="E825"/>
  <c r="E824"/>
  <c r="E823"/>
  <c r="E822"/>
  <c r="E821"/>
  <c r="E820"/>
  <c r="E819"/>
  <c r="E818"/>
  <c r="E817"/>
  <c r="E816"/>
  <c r="E815"/>
  <c r="E814"/>
  <c r="E813"/>
  <c r="E812"/>
  <c r="E811"/>
  <c r="E810"/>
  <c r="E809"/>
  <c r="E808"/>
  <c r="E807"/>
  <c r="E806"/>
  <c r="E805"/>
  <c r="E804"/>
  <c r="E803"/>
  <c r="E802"/>
  <c r="E801"/>
  <c r="E800"/>
  <c r="E799"/>
  <c r="E798"/>
  <c r="E797"/>
  <c r="E796"/>
  <c r="E795"/>
  <c r="E794"/>
  <c r="E793"/>
  <c r="E792"/>
  <c r="E791"/>
  <c r="E790"/>
  <c r="E789"/>
  <c r="E788"/>
  <c r="E787"/>
  <c r="E786"/>
  <c r="E785"/>
  <c r="E784"/>
  <c r="E783"/>
  <c r="E782"/>
  <c r="E781"/>
  <c r="E780"/>
  <c r="E779"/>
  <c r="E778"/>
  <c r="E777"/>
  <c r="E776"/>
  <c r="E775"/>
  <c r="E774"/>
  <c r="E773"/>
  <c r="E772"/>
  <c r="E771"/>
  <c r="E770"/>
  <c r="E769"/>
  <c r="E768"/>
  <c r="E767"/>
  <c r="E766"/>
  <c r="E765"/>
  <c r="E764"/>
  <c r="E763"/>
  <c r="E762"/>
  <c r="E761"/>
  <c r="E760"/>
  <c r="E759"/>
  <c r="E758"/>
  <c r="E757"/>
  <c r="E756"/>
  <c r="E755"/>
  <c r="E754"/>
  <c r="E753"/>
  <c r="E752"/>
  <c r="E751"/>
  <c r="E750"/>
  <c r="E749"/>
  <c r="E748"/>
  <c r="E747"/>
  <c r="E746"/>
  <c r="E745"/>
  <c r="E744"/>
  <c r="E743"/>
  <c r="E742"/>
  <c r="E741"/>
  <c r="E740"/>
  <c r="E739"/>
  <c r="E738"/>
  <c r="E737"/>
  <c r="E736"/>
  <c r="E735"/>
  <c r="E734"/>
  <c r="E733"/>
  <c r="E732"/>
  <c r="E731"/>
  <c r="E730"/>
  <c r="E729"/>
  <c r="E728"/>
  <c r="E727"/>
  <c r="E726"/>
  <c r="E725"/>
  <c r="E724"/>
  <c r="E723"/>
  <c r="E722"/>
  <c r="E721"/>
  <c r="E720"/>
  <c r="E719"/>
  <c r="E718"/>
  <c r="E717"/>
  <c r="E716"/>
  <c r="E715"/>
  <c r="E714"/>
  <c r="E713"/>
  <c r="E712"/>
  <c r="E711"/>
  <c r="E710"/>
  <c r="E709"/>
  <c r="E708"/>
  <c r="E707"/>
  <c r="E706"/>
  <c r="E705"/>
  <c r="E704"/>
  <c r="E703"/>
  <c r="E702"/>
  <c r="E701"/>
  <c r="E700"/>
  <c r="E699"/>
  <c r="E698"/>
  <c r="E697"/>
  <c r="E696"/>
  <c r="E695"/>
  <c r="E694"/>
  <c r="E693"/>
  <c r="E692"/>
  <c r="E691"/>
  <c r="E690"/>
  <c r="E689"/>
  <c r="E688"/>
  <c r="E687"/>
  <c r="E686"/>
  <c r="E685"/>
  <c r="E684"/>
  <c r="E683"/>
  <c r="E682"/>
  <c r="E681"/>
  <c r="E680"/>
  <c r="E679"/>
  <c r="E678"/>
  <c r="E677"/>
  <c r="E676"/>
  <c r="E675"/>
  <c r="E674"/>
  <c r="E673"/>
  <c r="E672"/>
  <c r="E671"/>
  <c r="E670"/>
  <c r="E669"/>
  <c r="E668"/>
  <c r="E667"/>
  <c r="E666"/>
  <c r="E665"/>
  <c r="E664"/>
  <c r="E663"/>
  <c r="E662"/>
  <c r="E661"/>
  <c r="E660"/>
  <c r="E659"/>
  <c r="E658"/>
  <c r="E657"/>
  <c r="E656"/>
  <c r="E655"/>
  <c r="E654"/>
  <c r="E653"/>
  <c r="E652"/>
  <c r="E651"/>
  <c r="E650"/>
  <c r="E649"/>
  <c r="E648"/>
  <c r="E647"/>
  <c r="E646"/>
  <c r="E645"/>
  <c r="E644"/>
  <c r="E643"/>
  <c r="E642"/>
  <c r="E641"/>
  <c r="E640"/>
  <c r="E639"/>
  <c r="E638"/>
  <c r="E637"/>
  <c r="E636"/>
  <c r="E635"/>
  <c r="E634"/>
  <c r="E633"/>
  <c r="E632"/>
  <c r="E631"/>
  <c r="E630"/>
  <c r="E629"/>
  <c r="E628"/>
  <c r="E627"/>
  <c r="E626"/>
  <c r="E625"/>
  <c r="E624"/>
  <c r="E623"/>
  <c r="E622"/>
  <c r="E621"/>
  <c r="E620"/>
  <c r="E619"/>
  <c r="E618"/>
  <c r="E617"/>
  <c r="E616"/>
  <c r="E615"/>
  <c r="E614"/>
  <c r="E613"/>
  <c r="E612"/>
  <c r="E611"/>
  <c r="E610"/>
  <c r="E609"/>
  <c r="E608"/>
  <c r="E607"/>
  <c r="E606"/>
  <c r="E605"/>
  <c r="E604"/>
  <c r="E603"/>
  <c r="E602"/>
  <c r="E601"/>
  <c r="E600"/>
  <c r="E599"/>
  <c r="E598"/>
  <c r="E597"/>
  <c r="E596"/>
  <c r="E595"/>
  <c r="E594"/>
  <c r="E593"/>
  <c r="E592"/>
  <c r="E591"/>
  <c r="E590"/>
  <c r="E589"/>
  <c r="E588"/>
  <c r="E587"/>
  <c r="E586"/>
  <c r="E585"/>
  <c r="E584"/>
  <c r="E583"/>
  <c r="E582"/>
  <c r="E581"/>
  <c r="E580"/>
  <c r="E579"/>
  <c r="E578"/>
  <c r="E577"/>
  <c r="E576"/>
  <c r="E575"/>
  <c r="E574"/>
  <c r="E573"/>
  <c r="E572"/>
  <c r="E571"/>
  <c r="E570"/>
  <c r="E569"/>
  <c r="E568"/>
  <c r="E567"/>
  <c r="E566"/>
  <c r="E565"/>
  <c r="E564"/>
  <c r="E563"/>
  <c r="E562"/>
  <c r="E561"/>
  <c r="E560"/>
  <c r="E559"/>
  <c r="E558"/>
  <c r="E557"/>
  <c r="E556"/>
  <c r="E555"/>
  <c r="E554"/>
  <c r="E553"/>
  <c r="E552"/>
  <c r="E551"/>
  <c r="E550"/>
  <c r="E549"/>
  <c r="E548"/>
  <c r="E547"/>
  <c r="E546"/>
  <c r="E545"/>
  <c r="E544"/>
  <c r="E543"/>
  <c r="E542"/>
  <c r="E541"/>
  <c r="E540"/>
  <c r="E539"/>
  <c r="E538"/>
  <c r="E537"/>
  <c r="E536"/>
  <c r="E535"/>
  <c r="E534"/>
  <c r="E533"/>
  <c r="E532"/>
  <c r="E531"/>
  <c r="E530"/>
  <c r="E529"/>
  <c r="E528"/>
  <c r="E527"/>
  <c r="E526"/>
  <c r="E525"/>
  <c r="E524"/>
  <c r="E523"/>
  <c r="E522"/>
  <c r="E521"/>
  <c r="E520"/>
  <c r="E519"/>
  <c r="E518"/>
  <c r="E517"/>
  <c r="E516"/>
  <c r="E515"/>
  <c r="E514"/>
  <c r="E513"/>
  <c r="E512"/>
  <c r="E511"/>
  <c r="E510"/>
  <c r="E509"/>
  <c r="E508"/>
  <c r="E507"/>
  <c r="E506"/>
  <c r="E505"/>
  <c r="E504"/>
  <c r="E503"/>
  <c r="E502"/>
  <c r="E501"/>
  <c r="E500"/>
  <c r="E499"/>
  <c r="E498"/>
  <c r="E497"/>
  <c r="E496"/>
  <c r="E495"/>
  <c r="E494"/>
  <c r="E493"/>
  <c r="E492"/>
  <c r="E491"/>
  <c r="E490"/>
  <c r="E489"/>
  <c r="E488"/>
  <c r="E487"/>
  <c r="E486"/>
  <c r="E485"/>
  <c r="E484"/>
  <c r="E483"/>
  <c r="E482"/>
  <c r="E481"/>
  <c r="E480"/>
  <c r="E479"/>
  <c r="E478"/>
  <c r="E477"/>
  <c r="E476"/>
  <c r="E475"/>
  <c r="E474"/>
  <c r="E473"/>
  <c r="E472"/>
  <c r="E471"/>
  <c r="E470"/>
  <c r="E469"/>
  <c r="E468"/>
  <c r="E467"/>
  <c r="E466"/>
  <c r="E465"/>
  <c r="E464"/>
  <c r="E463"/>
  <c r="E462"/>
  <c r="E461"/>
  <c r="E460"/>
  <c r="E459"/>
  <c r="E458"/>
  <c r="E457"/>
  <c r="E456"/>
  <c r="E455"/>
  <c r="E454"/>
  <c r="E453"/>
  <c r="E452"/>
  <c r="E451"/>
  <c r="E450"/>
  <c r="E449"/>
  <c r="E448"/>
  <c r="E447"/>
  <c r="E446"/>
  <c r="E445"/>
  <c r="E444"/>
  <c r="E443"/>
  <c r="E442"/>
  <c r="E441"/>
  <c r="E440"/>
  <c r="E439"/>
  <c r="E438"/>
  <c r="E437"/>
  <c r="E436"/>
  <c r="E435"/>
  <c r="E434"/>
  <c r="E433"/>
  <c r="E432"/>
  <c r="E431"/>
  <c r="E430"/>
  <c r="E429"/>
  <c r="E428"/>
  <c r="E427"/>
  <c r="E426"/>
  <c r="E425"/>
  <c r="E424"/>
  <c r="E423"/>
  <c r="E422"/>
  <c r="E421"/>
  <c r="E420"/>
  <c r="E419"/>
  <c r="E418"/>
  <c r="E417"/>
  <c r="E416"/>
  <c r="E415"/>
  <c r="E414"/>
  <c r="E413"/>
  <c r="E412"/>
  <c r="E411"/>
  <c r="E410"/>
  <c r="E409"/>
  <c r="E408"/>
  <c r="E407"/>
  <c r="E406"/>
  <c r="E405"/>
  <c r="E404"/>
  <c r="E403"/>
  <c r="E402"/>
  <c r="E401"/>
  <c r="E400"/>
  <c r="E399"/>
  <c r="E398"/>
  <c r="E397"/>
  <c r="E396"/>
  <c r="E395"/>
  <c r="E394"/>
  <c r="E393"/>
  <c r="E392"/>
  <c r="E391"/>
  <c r="E390"/>
  <c r="E389"/>
  <c r="E388"/>
  <c r="E387"/>
  <c r="E386"/>
  <c r="E385"/>
  <c r="E384"/>
  <c r="E383"/>
  <c r="E382"/>
  <c r="E381"/>
  <c r="E380"/>
  <c r="E379"/>
  <c r="E378"/>
  <c r="E377"/>
  <c r="E376"/>
  <c r="E375"/>
  <c r="E374"/>
  <c r="E373"/>
  <c r="E372"/>
  <c r="E371"/>
  <c r="E370"/>
  <c r="E369"/>
  <c r="E368"/>
  <c r="E367"/>
  <c r="E366"/>
  <c r="E365"/>
  <c r="E364"/>
  <c r="E363"/>
  <c r="E362"/>
  <c r="E361"/>
  <c r="E360"/>
  <c r="E359"/>
  <c r="E358"/>
  <c r="E357"/>
  <c r="E356"/>
  <c r="E355"/>
  <c r="E354"/>
  <c r="E353"/>
  <c r="E352"/>
  <c r="E351"/>
  <c r="E350"/>
  <c r="E349"/>
  <c r="E348"/>
  <c r="E347"/>
  <c r="E346"/>
  <c r="E345"/>
  <c r="E344"/>
  <c r="E343"/>
  <c r="E342"/>
  <c r="E341"/>
  <c r="E340"/>
  <c r="E339"/>
  <c r="E338"/>
  <c r="E337"/>
  <c r="E336"/>
  <c r="E335"/>
  <c r="E334"/>
  <c r="E333"/>
  <c r="E332"/>
  <c r="E331"/>
  <c r="E330"/>
  <c r="E329"/>
  <c r="E328"/>
  <c r="E327"/>
  <c r="E326"/>
  <c r="E325"/>
  <c r="E324"/>
  <c r="E323"/>
  <c r="E322"/>
  <c r="E321"/>
  <c r="E320"/>
  <c r="E319"/>
  <c r="E318"/>
  <c r="E317"/>
  <c r="E316"/>
  <c r="E315"/>
  <c r="E314"/>
  <c r="E313"/>
  <c r="E312"/>
  <c r="E311"/>
  <c r="E310"/>
  <c r="E309"/>
  <c r="E308"/>
  <c r="E307"/>
  <c r="E306"/>
  <c r="E305"/>
  <c r="E304"/>
  <c r="E303"/>
  <c r="E302"/>
  <c r="E301"/>
  <c r="E300"/>
  <c r="E299"/>
  <c r="E298"/>
  <c r="E297"/>
  <c r="E296"/>
  <c r="E295"/>
  <c r="E294"/>
  <c r="E293"/>
  <c r="E292"/>
  <c r="E291"/>
  <c r="E290"/>
  <c r="E289"/>
  <c r="E288"/>
  <c r="E287"/>
  <c r="E286"/>
  <c r="E285"/>
  <c r="E284"/>
  <c r="E283"/>
  <c r="E282"/>
  <c r="E281"/>
  <c r="E280"/>
  <c r="E279"/>
  <c r="E278"/>
  <c r="E277"/>
  <c r="E276"/>
  <c r="E275"/>
  <c r="E274"/>
  <c r="E273"/>
  <c r="E272"/>
  <c r="E271"/>
  <c r="E270"/>
  <c r="E269"/>
  <c r="E268"/>
  <c r="E267"/>
  <c r="E266"/>
  <c r="E265"/>
  <c r="E264"/>
  <c r="E263"/>
  <c r="E262"/>
  <c r="E261"/>
  <c r="E260"/>
  <c r="E259"/>
  <c r="E258"/>
  <c r="E257"/>
  <c r="E256"/>
  <c r="E255"/>
  <c r="E254"/>
  <c r="E253"/>
  <c r="E252"/>
  <c r="E251"/>
  <c r="E250"/>
  <c r="E249"/>
  <c r="E248"/>
  <c r="E247"/>
  <c r="E246"/>
  <c r="E245"/>
  <c r="E244"/>
  <c r="E243"/>
  <c r="E242"/>
  <c r="E241"/>
  <c r="E240"/>
  <c r="E239"/>
  <c r="E238"/>
  <c r="E237"/>
  <c r="E236"/>
  <c r="E235"/>
  <c r="E234"/>
  <c r="E233"/>
  <c r="E232"/>
  <c r="E231"/>
  <c r="E230"/>
  <c r="E229"/>
  <c r="E228"/>
  <c r="E227"/>
  <c r="E226"/>
  <c r="E225"/>
  <c r="E224"/>
  <c r="E223"/>
  <c r="E222"/>
  <c r="E221"/>
  <c r="E220"/>
  <c r="E219"/>
  <c r="E218"/>
  <c r="E217"/>
  <c r="E216"/>
  <c r="E215"/>
  <c r="E214"/>
  <c r="E213"/>
  <c r="E212"/>
  <c r="E211"/>
  <c r="E210"/>
  <c r="E209"/>
  <c r="E208"/>
  <c r="E207"/>
  <c r="E206"/>
  <c r="E205"/>
  <c r="E204"/>
  <c r="E203"/>
  <c r="E202"/>
  <c r="E201"/>
  <c r="E200"/>
  <c r="E199"/>
  <c r="E198"/>
  <c r="E197"/>
  <c r="E196"/>
  <c r="E195"/>
  <c r="E194"/>
  <c r="E193"/>
  <c r="E192"/>
  <c r="E191"/>
  <c r="E190"/>
  <c r="E189"/>
  <c r="E188"/>
  <c r="E187"/>
  <c r="E186"/>
  <c r="E185"/>
  <c r="E184"/>
  <c r="E183"/>
  <c r="E182"/>
  <c r="E181"/>
  <c r="E180"/>
  <c r="E179"/>
  <c r="E178"/>
  <c r="E177"/>
  <c r="E176"/>
  <c r="E175"/>
  <c r="E174"/>
  <c r="E173"/>
  <c r="E172"/>
  <c r="E171"/>
  <c r="E170"/>
  <c r="E169"/>
  <c r="E168"/>
  <c r="E167"/>
  <c r="E166"/>
  <c r="E165"/>
  <c r="E164"/>
  <c r="E163"/>
  <c r="E162"/>
  <c r="E161"/>
  <c r="E160"/>
  <c r="E159"/>
  <c r="E158"/>
  <c r="E157"/>
  <c r="E156"/>
  <c r="E155"/>
  <c r="E154"/>
  <c r="E153"/>
  <c r="E152"/>
  <c r="E151"/>
  <c r="E150"/>
  <c r="E149"/>
  <c r="E148"/>
  <c r="E147"/>
  <c r="E146"/>
  <c r="E145"/>
  <c r="E144"/>
  <c r="E143"/>
  <c r="E142"/>
  <c r="E141"/>
  <c r="E140"/>
  <c r="E139"/>
  <c r="E138"/>
  <c r="E137"/>
  <c r="E136"/>
  <c r="E135"/>
  <c r="E134"/>
  <c r="E133"/>
  <c r="E132"/>
  <c r="E131"/>
  <c r="E130"/>
  <c r="E129"/>
  <c r="E128"/>
  <c r="E127"/>
  <c r="E126"/>
  <c r="E125"/>
  <c r="E124"/>
  <c r="E123"/>
  <c r="E122"/>
  <c r="E121"/>
  <c r="E120"/>
  <c r="E119"/>
  <c r="E118"/>
  <c r="E117"/>
  <c r="E116"/>
  <c r="E115"/>
  <c r="E114"/>
  <c r="E113"/>
  <c r="E112"/>
  <c r="E111"/>
  <c r="E110"/>
  <c r="E109"/>
  <c r="E108"/>
  <c r="E107"/>
  <c r="E106"/>
  <c r="E105"/>
  <c r="E104"/>
  <c r="E103"/>
  <c r="E102"/>
  <c r="E101"/>
  <c r="E100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G13" i="8" l="1"/>
  <c r="F13"/>
  <c r="E13"/>
  <c r="D13"/>
  <c r="C13"/>
  <c r="B13"/>
  <c r="H10"/>
  <c r="G10"/>
  <c r="F10"/>
  <c r="E10"/>
  <c r="D10"/>
  <c r="C10"/>
  <c r="H9"/>
  <c r="G9"/>
  <c r="F9"/>
  <c r="E9"/>
  <c r="D9"/>
  <c r="C9"/>
  <c r="G6"/>
  <c r="G15" s="1"/>
  <c r="F6"/>
  <c r="F15" s="1"/>
  <c r="E6"/>
  <c r="E15" s="1"/>
  <c r="D6"/>
  <c r="D15" s="1"/>
  <c r="C6"/>
  <c r="C15" s="1"/>
  <c r="B6"/>
  <c r="B15" s="1"/>
  <c r="H5"/>
  <c r="H4"/>
  <c r="H6" l="1"/>
  <c r="H14" s="1"/>
  <c r="B7"/>
  <c r="C7" s="1"/>
  <c r="D7" s="1"/>
  <c r="E7" s="1"/>
  <c r="F7" s="1"/>
  <c r="G7" s="1"/>
  <c r="C11"/>
  <c r="D11"/>
  <c r="E11"/>
  <c r="F11"/>
  <c r="G11"/>
  <c r="H11"/>
  <c r="H13"/>
  <c r="B14"/>
  <c r="C14"/>
  <c r="D14"/>
  <c r="E14"/>
  <c r="F14"/>
  <c r="G14"/>
  <c r="H15" l="1"/>
  <c r="B32" i="7" l="1"/>
  <c r="C31"/>
  <c r="C30"/>
  <c r="C29"/>
  <c r="C28"/>
  <c r="C27"/>
  <c r="C26"/>
  <c r="C25"/>
  <c r="C24"/>
  <c r="C23"/>
  <c r="C22"/>
  <c r="C21"/>
  <c r="C20"/>
  <c r="C19"/>
  <c r="C18"/>
  <c r="C17"/>
  <c r="C16"/>
  <c r="B12"/>
  <c r="C11"/>
  <c r="C10"/>
  <c r="C9"/>
  <c r="B6"/>
  <c r="C5"/>
  <c r="C4"/>
  <c r="B13" l="1"/>
  <c r="B34" s="1"/>
  <c r="C6"/>
  <c r="C12"/>
  <c r="C32"/>
  <c r="D4"/>
  <c r="E4" s="1"/>
  <c r="D5"/>
  <c r="F5" s="1"/>
  <c r="D9"/>
  <c r="E9" s="1"/>
  <c r="D10"/>
  <c r="F10" s="1"/>
  <c r="D11"/>
  <c r="F11" s="1"/>
  <c r="D16"/>
  <c r="E16" s="1"/>
  <c r="D17"/>
  <c r="F17" s="1"/>
  <c r="D18"/>
  <c r="F18" s="1"/>
  <c r="D19"/>
  <c r="F19" s="1"/>
  <c r="D20"/>
  <c r="F20" s="1"/>
  <c r="D21"/>
  <c r="F21" s="1"/>
  <c r="D22"/>
  <c r="F22" s="1"/>
  <c r="D23"/>
  <c r="F23" s="1"/>
  <c r="D24"/>
  <c r="F24" s="1"/>
  <c r="D25"/>
  <c r="F25" s="1"/>
  <c r="D26"/>
  <c r="F26" s="1"/>
  <c r="D27"/>
  <c r="F27" s="1"/>
  <c r="D28"/>
  <c r="F28" s="1"/>
  <c r="D29"/>
  <c r="F29" s="1"/>
  <c r="D30"/>
  <c r="F30" s="1"/>
  <c r="D31"/>
  <c r="F31" s="1"/>
  <c r="C13" l="1"/>
  <c r="C34"/>
  <c r="G31"/>
  <c r="H31" s="1"/>
  <c r="J31" s="1"/>
  <c r="G30"/>
  <c r="H30" s="1"/>
  <c r="J30" s="1"/>
  <c r="G29"/>
  <c r="H29" s="1"/>
  <c r="J29" s="1"/>
  <c r="E31"/>
  <c r="E30"/>
  <c r="E29"/>
  <c r="G28"/>
  <c r="H28" s="1"/>
  <c r="J28" s="1"/>
  <c r="G27"/>
  <c r="H27" s="1"/>
  <c r="J27" s="1"/>
  <c r="G26"/>
  <c r="H26" s="1"/>
  <c r="J26" s="1"/>
  <c r="G25"/>
  <c r="H25" s="1"/>
  <c r="J25" s="1"/>
  <c r="G24"/>
  <c r="H24" s="1"/>
  <c r="J24" s="1"/>
  <c r="G23"/>
  <c r="H23" s="1"/>
  <c r="J23" s="1"/>
  <c r="G22"/>
  <c r="H22" s="1"/>
  <c r="J22" s="1"/>
  <c r="G21"/>
  <c r="H21" s="1"/>
  <c r="J21" s="1"/>
  <c r="G20"/>
  <c r="H20" s="1"/>
  <c r="J20" s="1"/>
  <c r="G19"/>
  <c r="H19" s="1"/>
  <c r="J19" s="1"/>
  <c r="G18"/>
  <c r="H18" s="1"/>
  <c r="J18" s="1"/>
  <c r="E28"/>
  <c r="E27"/>
  <c r="E26"/>
  <c r="E25"/>
  <c r="E24"/>
  <c r="E23"/>
  <c r="E22"/>
  <c r="E21"/>
  <c r="E20"/>
  <c r="E19"/>
  <c r="E18"/>
  <c r="G17"/>
  <c r="H17" s="1"/>
  <c r="J17" s="1"/>
  <c r="D32"/>
  <c r="F16"/>
  <c r="G11"/>
  <c r="H11" s="1"/>
  <c r="J11" s="1"/>
  <c r="G10"/>
  <c r="H10" s="1"/>
  <c r="J10" s="1"/>
  <c r="D12"/>
  <c r="F9"/>
  <c r="G5"/>
  <c r="H5" s="1"/>
  <c r="J5" s="1"/>
  <c r="D6"/>
  <c r="F4"/>
  <c r="E17"/>
  <c r="E11"/>
  <c r="E10"/>
  <c r="E5"/>
  <c r="D13" l="1"/>
  <c r="D34" s="1"/>
  <c r="F6"/>
  <c r="G4"/>
  <c r="E6"/>
  <c r="K5"/>
  <c r="L5" s="1"/>
  <c r="N5" s="1"/>
  <c r="I5"/>
  <c r="F12"/>
  <c r="G9"/>
  <c r="E12"/>
  <c r="K10"/>
  <c r="L10" s="1"/>
  <c r="N10" s="1"/>
  <c r="I10"/>
  <c r="K11"/>
  <c r="L11" s="1"/>
  <c r="N11" s="1"/>
  <c r="I11"/>
  <c r="F32"/>
  <c r="G16"/>
  <c r="E32"/>
  <c r="K17"/>
  <c r="L17" s="1"/>
  <c r="N17" s="1"/>
  <c r="I17"/>
  <c r="K18"/>
  <c r="L18" s="1"/>
  <c r="N18" s="1"/>
  <c r="I18"/>
  <c r="K19"/>
  <c r="L19" s="1"/>
  <c r="N19" s="1"/>
  <c r="I19"/>
  <c r="K20"/>
  <c r="L20" s="1"/>
  <c r="N20" s="1"/>
  <c r="I20"/>
  <c r="K21"/>
  <c r="L21" s="1"/>
  <c r="N21" s="1"/>
  <c r="I21"/>
  <c r="K22"/>
  <c r="L22" s="1"/>
  <c r="N22" s="1"/>
  <c r="I22"/>
  <c r="K23"/>
  <c r="L23" s="1"/>
  <c r="N23" s="1"/>
  <c r="I23"/>
  <c r="K24"/>
  <c r="L24" s="1"/>
  <c r="N24" s="1"/>
  <c r="I24"/>
  <c r="K25"/>
  <c r="L25" s="1"/>
  <c r="N25" s="1"/>
  <c r="I25"/>
  <c r="K26"/>
  <c r="L26" s="1"/>
  <c r="N26" s="1"/>
  <c r="I26"/>
  <c r="K27"/>
  <c r="L27" s="1"/>
  <c r="N27" s="1"/>
  <c r="I27"/>
  <c r="K28"/>
  <c r="L28" s="1"/>
  <c r="N28" s="1"/>
  <c r="I28"/>
  <c r="K29"/>
  <c r="L29" s="1"/>
  <c r="N29" s="1"/>
  <c r="I29"/>
  <c r="K30"/>
  <c r="L30" s="1"/>
  <c r="N30" s="1"/>
  <c r="I30"/>
  <c r="K31"/>
  <c r="L31" s="1"/>
  <c r="N31" s="1"/>
  <c r="I31"/>
  <c r="O31" l="1"/>
  <c r="P31" s="1"/>
  <c r="M31"/>
  <c r="O30"/>
  <c r="P30" s="1"/>
  <c r="M30"/>
  <c r="O29"/>
  <c r="P29" s="1"/>
  <c r="M29"/>
  <c r="O28"/>
  <c r="P28" s="1"/>
  <c r="M28"/>
  <c r="O27"/>
  <c r="P27" s="1"/>
  <c r="M27"/>
  <c r="O26"/>
  <c r="P26" s="1"/>
  <c r="M26"/>
  <c r="O25"/>
  <c r="P25" s="1"/>
  <c r="M25"/>
  <c r="O24"/>
  <c r="P24" s="1"/>
  <c r="M24"/>
  <c r="O23"/>
  <c r="P23" s="1"/>
  <c r="M23"/>
  <c r="O22"/>
  <c r="P22" s="1"/>
  <c r="M22"/>
  <c r="O21"/>
  <c r="P21" s="1"/>
  <c r="M21"/>
  <c r="O20"/>
  <c r="P20" s="1"/>
  <c r="M20"/>
  <c r="O19"/>
  <c r="P19" s="1"/>
  <c r="M19"/>
  <c r="O18"/>
  <c r="P18" s="1"/>
  <c r="M18"/>
  <c r="O17"/>
  <c r="P17" s="1"/>
  <c r="M17"/>
  <c r="G32"/>
  <c r="H16"/>
  <c r="I16" s="1"/>
  <c r="O11"/>
  <c r="P11" s="1"/>
  <c r="M11"/>
  <c r="O10"/>
  <c r="P10" s="1"/>
  <c r="M10"/>
  <c r="G12"/>
  <c r="H9"/>
  <c r="I9" s="1"/>
  <c r="O5"/>
  <c r="P5" s="1"/>
  <c r="M5"/>
  <c r="E13"/>
  <c r="G6"/>
  <c r="H4"/>
  <c r="I4" s="1"/>
  <c r="F13"/>
  <c r="F34" s="1"/>
  <c r="G13" l="1"/>
  <c r="G34" s="1"/>
  <c r="I6"/>
  <c r="H6"/>
  <c r="J4"/>
  <c r="E34"/>
  <c r="Q5"/>
  <c r="R5" s="1"/>
  <c r="I12"/>
  <c r="H12"/>
  <c r="J9"/>
  <c r="Q10"/>
  <c r="R10" s="1"/>
  <c r="Q11"/>
  <c r="R11" s="1"/>
  <c r="I32"/>
  <c r="H32"/>
  <c r="J16"/>
  <c r="Q17"/>
  <c r="R17" s="1"/>
  <c r="Q18"/>
  <c r="R18" s="1"/>
  <c r="Q19"/>
  <c r="R19" s="1"/>
  <c r="Q20"/>
  <c r="R20" s="1"/>
  <c r="Q21"/>
  <c r="R21" s="1"/>
  <c r="Q22"/>
  <c r="R22" s="1"/>
  <c r="Q23"/>
  <c r="R23" s="1"/>
  <c r="Q24"/>
  <c r="R24" s="1"/>
  <c r="Q25"/>
  <c r="R25" s="1"/>
  <c r="Q26"/>
  <c r="R26" s="1"/>
  <c r="Q27"/>
  <c r="R27" s="1"/>
  <c r="Q28"/>
  <c r="R28" s="1"/>
  <c r="Q29"/>
  <c r="R29" s="1"/>
  <c r="Q30"/>
  <c r="R30" s="1"/>
  <c r="Q31"/>
  <c r="R31" s="1"/>
  <c r="J32" l="1"/>
  <c r="K16"/>
  <c r="J12"/>
  <c r="K9"/>
  <c r="J6"/>
  <c r="K4"/>
  <c r="H13"/>
  <c r="H34" s="1"/>
  <c r="I13"/>
  <c r="J13" l="1"/>
  <c r="J34" s="1"/>
  <c r="I34"/>
  <c r="K6"/>
  <c r="L4"/>
  <c r="M4" s="1"/>
  <c r="K12"/>
  <c r="L9"/>
  <c r="M9" s="1"/>
  <c r="K32"/>
  <c r="L16"/>
  <c r="M16" s="1"/>
  <c r="M32" l="1"/>
  <c r="L32"/>
  <c r="N16"/>
  <c r="M12"/>
  <c r="L12"/>
  <c r="N9"/>
  <c r="M6"/>
  <c r="L6"/>
  <c r="N4"/>
  <c r="K13"/>
  <c r="K34" s="1"/>
  <c r="L13" l="1"/>
  <c r="L34" s="1"/>
  <c r="N6"/>
  <c r="O4"/>
  <c r="M13"/>
  <c r="N12"/>
  <c r="O9"/>
  <c r="N32"/>
  <c r="O16"/>
  <c r="O32" l="1"/>
  <c r="P16"/>
  <c r="P32" s="1"/>
  <c r="O12"/>
  <c r="P9"/>
  <c r="P12" s="1"/>
  <c r="M34"/>
  <c r="O6"/>
  <c r="P4"/>
  <c r="P6" s="1"/>
  <c r="N13"/>
  <c r="N34" s="1"/>
  <c r="O13" l="1"/>
  <c r="O34" s="1"/>
  <c r="Q4"/>
  <c r="R4" s="1"/>
  <c r="Q16"/>
  <c r="Q32" s="1"/>
  <c r="R32" s="1"/>
  <c r="Q9"/>
  <c r="R9" s="1"/>
  <c r="P13"/>
  <c r="P34" s="1"/>
  <c r="Q6"/>
  <c r="Q12" l="1"/>
  <c r="R12" s="1"/>
  <c r="R16"/>
  <c r="Q13"/>
  <c r="R6"/>
  <c r="Q34" l="1"/>
  <c r="R34" s="1"/>
  <c r="A2" s="1"/>
  <c r="R13"/>
  <c r="F314" i="4" l="1"/>
  <c r="J314" s="1"/>
  <c r="F227"/>
  <c r="J227" s="1"/>
  <c r="F650"/>
  <c r="J650" s="1"/>
  <c r="F495"/>
  <c r="J495" s="1"/>
  <c r="F75"/>
  <c r="J75" s="1"/>
  <c r="F730"/>
  <c r="J730" s="1"/>
  <c r="F721"/>
  <c r="J721" s="1"/>
  <c r="F717"/>
  <c r="J717" s="1"/>
  <c r="F715"/>
  <c r="J715" s="1"/>
  <c r="F664"/>
  <c r="J664" s="1"/>
  <c r="F657"/>
  <c r="J657" s="1"/>
  <c r="F542"/>
  <c r="J542" s="1"/>
  <c r="F532"/>
  <c r="J532" s="1"/>
  <c r="F121"/>
  <c r="J121" s="1"/>
  <c r="F92"/>
  <c r="J92" s="1"/>
  <c r="F639"/>
  <c r="J639" s="1"/>
  <c r="F587"/>
  <c r="J587" s="1"/>
  <c r="F537"/>
  <c r="J537" s="1"/>
  <c r="F124"/>
  <c r="J124" s="1"/>
  <c r="F95"/>
  <c r="J95" s="1"/>
  <c r="F504"/>
  <c r="J504" s="1"/>
  <c r="F66"/>
  <c r="J66" s="1"/>
  <c r="F678"/>
  <c r="J678" s="1"/>
  <c r="F429"/>
  <c r="J429" s="1"/>
  <c r="F420"/>
  <c r="J420" s="1"/>
  <c r="F384"/>
  <c r="J384" s="1"/>
  <c r="F357"/>
  <c r="J357" s="1"/>
  <c r="F220"/>
  <c r="J220" s="1"/>
  <c r="F83"/>
  <c r="J83" s="1"/>
  <c r="J27"/>
  <c r="F27"/>
  <c r="F16"/>
  <c r="J16" s="1"/>
  <c r="F621"/>
  <c r="J621" s="1"/>
  <c r="F490"/>
  <c r="J490" s="1"/>
  <c r="F459"/>
  <c r="J459" s="1"/>
  <c r="F423"/>
  <c r="J423" s="1"/>
  <c r="F398"/>
  <c r="J398" s="1"/>
  <c r="F390"/>
  <c r="J390" s="1"/>
  <c r="F89"/>
  <c r="J89" s="1"/>
  <c r="F212"/>
  <c r="J212" s="1"/>
  <c r="F258"/>
  <c r="J258" s="1"/>
  <c r="F567"/>
  <c r="J567" s="1"/>
  <c r="F497"/>
  <c r="J497" s="1"/>
  <c r="F72"/>
  <c r="J72" s="1"/>
  <c r="F458"/>
  <c r="J458" s="1"/>
  <c r="F382"/>
  <c r="J382" s="1"/>
  <c r="F24"/>
  <c r="J24" s="1"/>
  <c r="F518"/>
  <c r="J518" s="1"/>
  <c r="J157"/>
  <c r="F157"/>
  <c r="F626"/>
  <c r="J626" s="1"/>
  <c r="F597"/>
  <c r="J597" s="1"/>
  <c r="F377"/>
  <c r="J377" s="1"/>
  <c r="F264"/>
  <c r="J264" s="1"/>
  <c r="F80"/>
  <c r="J80" s="1"/>
  <c r="F742"/>
  <c r="J742" s="1"/>
  <c r="F627"/>
  <c r="J627" s="1"/>
  <c r="F548"/>
  <c r="J548" s="1"/>
  <c r="F513"/>
  <c r="J513" s="1"/>
  <c r="F502"/>
  <c r="J502" s="1"/>
  <c r="F435"/>
  <c r="J435" s="1"/>
  <c r="F370"/>
  <c r="J370" s="1"/>
  <c r="F327"/>
  <c r="J327" s="1"/>
  <c r="F297"/>
  <c r="J297" s="1"/>
  <c r="F276"/>
  <c r="J276" s="1"/>
  <c r="F252"/>
  <c r="J252" s="1"/>
  <c r="F189"/>
  <c r="J189" s="1"/>
  <c r="J152"/>
  <c r="F152"/>
  <c r="F44"/>
  <c r="J44" s="1"/>
  <c r="F726"/>
  <c r="J726" s="1"/>
  <c r="F720"/>
  <c r="J720" s="1"/>
  <c r="F710"/>
  <c r="J710" s="1"/>
  <c r="F707"/>
  <c r="J707" s="1"/>
  <c r="J696"/>
  <c r="F696"/>
  <c r="F661"/>
  <c r="J661" s="1"/>
  <c r="F656"/>
  <c r="J656" s="1"/>
  <c r="F637"/>
  <c r="J637" s="1"/>
  <c r="F618"/>
  <c r="J618" s="1"/>
  <c r="F607"/>
  <c r="J607" s="1"/>
  <c r="F595"/>
  <c r="J595" s="1"/>
  <c r="F594"/>
  <c r="J594" s="1"/>
  <c r="F588"/>
  <c r="J588" s="1"/>
  <c r="F584"/>
  <c r="J584" s="1"/>
  <c r="F569"/>
  <c r="J569" s="1"/>
  <c r="F549"/>
  <c r="J549" s="1"/>
  <c r="F524"/>
  <c r="J524" s="1"/>
  <c r="F510"/>
  <c r="J510" s="1"/>
  <c r="F483"/>
  <c r="J483" s="1"/>
  <c r="F473"/>
  <c r="J473" s="1"/>
  <c r="F466"/>
  <c r="J466" s="1"/>
  <c r="F425"/>
  <c r="J425" s="1"/>
  <c r="F409"/>
  <c r="J409" s="1"/>
  <c r="F387"/>
  <c r="J387" s="1"/>
  <c r="F385"/>
  <c r="J385" s="1"/>
  <c r="F375"/>
  <c r="J375" s="1"/>
  <c r="F366"/>
  <c r="J366" s="1"/>
  <c r="F334"/>
  <c r="J334" s="1"/>
  <c r="F295"/>
  <c r="J295" s="1"/>
  <c r="F289"/>
  <c r="J289" s="1"/>
  <c r="F287"/>
  <c r="J287" s="1"/>
  <c r="F257"/>
  <c r="J257" s="1"/>
  <c r="F256"/>
  <c r="J256" s="1"/>
  <c r="F250"/>
  <c r="J250" s="1"/>
  <c r="J241"/>
  <c r="F241"/>
  <c r="F232"/>
  <c r="J232" s="1"/>
  <c r="F229"/>
  <c r="J229" s="1"/>
  <c r="F162"/>
  <c r="J162" s="1"/>
  <c r="F160"/>
  <c r="J160" s="1"/>
  <c r="F159"/>
  <c r="J159" s="1"/>
  <c r="F150"/>
  <c r="J150" s="1"/>
  <c r="F132"/>
  <c r="J132" s="1"/>
  <c r="F45"/>
  <c r="J45" s="1"/>
  <c r="F35"/>
  <c r="J35" s="1"/>
  <c r="F646"/>
  <c r="J646" s="1"/>
  <c r="F633"/>
  <c r="J633" s="1"/>
  <c r="J593"/>
  <c r="F593"/>
  <c r="F577"/>
  <c r="J577" s="1"/>
  <c r="F501"/>
  <c r="J501" s="1"/>
  <c r="F478"/>
  <c r="J478" s="1"/>
  <c r="F461"/>
  <c r="J461" s="1"/>
  <c r="F452"/>
  <c r="J452" s="1"/>
  <c r="F411"/>
  <c r="J411" s="1"/>
  <c r="J394"/>
  <c r="F394"/>
  <c r="F386"/>
  <c r="J386" s="1"/>
  <c r="F359"/>
  <c r="J359" s="1"/>
  <c r="F356"/>
  <c r="J356" s="1"/>
  <c r="F355"/>
  <c r="J355" s="1"/>
  <c r="J354"/>
  <c r="F354"/>
  <c r="F346"/>
  <c r="J346" s="1"/>
  <c r="F320"/>
  <c r="J320" s="1"/>
  <c r="F305"/>
  <c r="J305" s="1"/>
  <c r="F271"/>
  <c r="J271" s="1"/>
  <c r="F254"/>
  <c r="J254" s="1"/>
  <c r="F239"/>
  <c r="J239" s="1"/>
  <c r="F237"/>
  <c r="J237" s="1"/>
  <c r="F191"/>
  <c r="J191" s="1"/>
  <c r="F149"/>
  <c r="J149" s="1"/>
  <c r="F144"/>
  <c r="J144" s="1"/>
  <c r="F113"/>
  <c r="J113" s="1"/>
  <c r="F85"/>
  <c r="J85" s="1"/>
  <c r="J65"/>
  <c r="F65"/>
  <c r="F58"/>
  <c r="J58" s="1"/>
  <c r="F56"/>
  <c r="J56" s="1"/>
  <c r="F15"/>
  <c r="J15" s="1"/>
  <c r="F671"/>
  <c r="J671" s="1"/>
  <c r="J363"/>
  <c r="F363"/>
  <c r="F310"/>
  <c r="J310" s="1"/>
  <c r="F215"/>
  <c r="J215" s="1"/>
  <c r="F107"/>
  <c r="J107" s="1"/>
  <c r="F82"/>
  <c r="J82" s="1"/>
  <c r="F32"/>
  <c r="J32" s="1"/>
  <c r="F21"/>
  <c r="J21" s="1"/>
  <c r="F598"/>
  <c r="J598" s="1"/>
  <c r="F590"/>
  <c r="J590" s="1"/>
  <c r="F547"/>
  <c r="J547" s="1"/>
  <c r="F430"/>
  <c r="J430" s="1"/>
  <c r="F365"/>
  <c r="J365" s="1"/>
  <c r="J284"/>
  <c r="F284"/>
  <c r="J245"/>
  <c r="F245"/>
  <c r="F199"/>
  <c r="J199" s="1"/>
  <c r="F735"/>
  <c r="J735" s="1"/>
  <c r="F692"/>
  <c r="J692" s="1"/>
  <c r="F682"/>
  <c r="J682" s="1"/>
  <c r="J680"/>
  <c r="F680"/>
  <c r="F672"/>
  <c r="J672" s="1"/>
  <c r="F665"/>
  <c r="J665" s="1"/>
  <c r="F651"/>
  <c r="J651" s="1"/>
  <c r="F635"/>
  <c r="J635" s="1"/>
  <c r="F605"/>
  <c r="J605" s="1"/>
  <c r="F589"/>
  <c r="J589" s="1"/>
  <c r="F580"/>
  <c r="J580" s="1"/>
  <c r="F520"/>
  <c r="J520" s="1"/>
  <c r="F505"/>
  <c r="J505" s="1"/>
  <c r="F476"/>
  <c r="J476" s="1"/>
  <c r="F475"/>
  <c r="J475" s="1"/>
  <c r="F463"/>
  <c r="J463" s="1"/>
  <c r="J456"/>
  <c r="F456"/>
  <c r="F450"/>
  <c r="J450" s="1"/>
  <c r="F449"/>
  <c r="J449" s="1"/>
  <c r="F414"/>
  <c r="J414" s="1"/>
  <c r="F413"/>
  <c r="J413" s="1"/>
  <c r="F407"/>
  <c r="J407" s="1"/>
  <c r="F348"/>
  <c r="J348" s="1"/>
  <c r="F331"/>
  <c r="J331" s="1"/>
  <c r="F319"/>
  <c r="J319" s="1"/>
  <c r="F317"/>
  <c r="J317" s="1"/>
  <c r="F296"/>
  <c r="J296" s="1"/>
  <c r="F290"/>
  <c r="J290" s="1"/>
  <c r="F283"/>
  <c r="J283" s="1"/>
  <c r="F226"/>
  <c r="J226" s="1"/>
  <c r="F205"/>
  <c r="J205" s="1"/>
  <c r="F184"/>
  <c r="J184" s="1"/>
  <c r="F180"/>
  <c r="J180" s="1"/>
  <c r="F145"/>
  <c r="J145" s="1"/>
  <c r="J136"/>
  <c r="F136"/>
  <c r="F120"/>
  <c r="J120" s="1"/>
  <c r="F59"/>
  <c r="J59" s="1"/>
  <c r="F54"/>
  <c r="J54" s="1"/>
  <c r="F26"/>
  <c r="J26" s="1"/>
  <c r="J6"/>
  <c r="F6"/>
  <c r="F5"/>
  <c r="J5" s="1"/>
  <c r="F3"/>
  <c r="J3" s="1"/>
  <c r="F2"/>
  <c r="J2" s="1"/>
  <c r="F718"/>
  <c r="J718" s="1"/>
  <c r="F697"/>
  <c r="J697" s="1"/>
  <c r="F645"/>
  <c r="J645" s="1"/>
  <c r="F494"/>
  <c r="J494" s="1"/>
  <c r="F427"/>
  <c r="J427" s="1"/>
  <c r="F374"/>
  <c r="J374" s="1"/>
  <c r="F322"/>
  <c r="J322" s="1"/>
  <c r="F312"/>
  <c r="J312" s="1"/>
  <c r="F269"/>
  <c r="J269" s="1"/>
  <c r="F169"/>
  <c r="J169" s="1"/>
  <c r="F165"/>
  <c r="J165" s="1"/>
  <c r="F126"/>
  <c r="J126" s="1"/>
  <c r="F74"/>
  <c r="J74" s="1"/>
  <c r="F11"/>
  <c r="J11" s="1"/>
  <c r="J151"/>
  <c r="F151"/>
  <c r="F703"/>
  <c r="J703" s="1"/>
  <c r="F515"/>
  <c r="J515" s="1"/>
  <c r="F173"/>
  <c r="J173" s="1"/>
  <c r="F705"/>
  <c r="J705" s="1"/>
  <c r="F579"/>
  <c r="J579" s="1"/>
  <c r="F403"/>
  <c r="J403" s="1"/>
  <c r="F371"/>
  <c r="J371" s="1"/>
  <c r="F288"/>
  <c r="J288" s="1"/>
  <c r="F236"/>
  <c r="J236" s="1"/>
  <c r="F234"/>
  <c r="J234" s="1"/>
  <c r="F193"/>
  <c r="J193" s="1"/>
  <c r="F142"/>
  <c r="J142" s="1"/>
  <c r="J38"/>
  <c r="F38"/>
  <c r="F37"/>
  <c r="J37" s="1"/>
  <c r="F724"/>
  <c r="J724" s="1"/>
  <c r="F457"/>
  <c r="J457" s="1"/>
  <c r="F270"/>
  <c r="J270" s="1"/>
  <c r="J574"/>
  <c r="F574"/>
  <c r="F376"/>
  <c r="J376" s="1"/>
  <c r="F156"/>
  <c r="J156" s="1"/>
  <c r="F153"/>
  <c r="J153" s="1"/>
  <c r="F99"/>
  <c r="J99" s="1"/>
  <c r="F741"/>
  <c r="J741" s="1"/>
  <c r="F686"/>
  <c r="J686" s="1"/>
  <c r="F679"/>
  <c r="J679" s="1"/>
  <c r="F612"/>
  <c r="J612" s="1"/>
  <c r="F599"/>
  <c r="J599" s="1"/>
  <c r="F556"/>
  <c r="J556" s="1"/>
  <c r="F496"/>
  <c r="J496" s="1"/>
  <c r="F493"/>
  <c r="J493" s="1"/>
  <c r="J489"/>
  <c r="F489"/>
  <c r="F484"/>
  <c r="J484" s="1"/>
  <c r="F468"/>
  <c r="J468" s="1"/>
  <c r="F416"/>
  <c r="J416" s="1"/>
  <c r="F396"/>
  <c r="J396" s="1"/>
  <c r="F383"/>
  <c r="J383" s="1"/>
  <c r="F265"/>
  <c r="J265" s="1"/>
  <c r="F195"/>
  <c r="J195" s="1"/>
  <c r="F194"/>
  <c r="J194" s="1"/>
  <c r="F127"/>
  <c r="J127" s="1"/>
  <c r="F123"/>
  <c r="J123" s="1"/>
  <c r="F4"/>
  <c r="J4" s="1"/>
  <c r="F736"/>
  <c r="J736" s="1"/>
  <c r="F729"/>
  <c r="J729" s="1"/>
  <c r="F666"/>
  <c r="J666" s="1"/>
  <c r="F620"/>
  <c r="J620" s="1"/>
  <c r="F563"/>
  <c r="J563" s="1"/>
  <c r="F508"/>
  <c r="J508" s="1"/>
  <c r="J351"/>
  <c r="F351"/>
  <c r="F280"/>
  <c r="J280" s="1"/>
  <c r="F235"/>
  <c r="J235" s="1"/>
  <c r="F228"/>
  <c r="J228" s="1"/>
  <c r="F39"/>
  <c r="J39" s="1"/>
  <c r="F381"/>
  <c r="J381" s="1"/>
  <c r="F708"/>
  <c r="J708" s="1"/>
  <c r="F700"/>
  <c r="J700" s="1"/>
  <c r="F670"/>
  <c r="J670" s="1"/>
  <c r="F585"/>
  <c r="J585" s="1"/>
  <c r="F372"/>
  <c r="J372" s="1"/>
  <c r="F349"/>
  <c r="J349" s="1"/>
  <c r="F345"/>
  <c r="J345" s="1"/>
  <c r="F316"/>
  <c r="J316" s="1"/>
  <c r="F196"/>
  <c r="J196" s="1"/>
  <c r="F79"/>
  <c r="J79" s="1"/>
  <c r="F53"/>
  <c r="J53" s="1"/>
  <c r="F668"/>
  <c r="J668" s="1"/>
  <c r="F638"/>
  <c r="J638" s="1"/>
  <c r="F576"/>
  <c r="J576" s="1"/>
  <c r="F560"/>
  <c r="J560" s="1"/>
  <c r="F555"/>
  <c r="J555" s="1"/>
  <c r="F552"/>
  <c r="J552" s="1"/>
  <c r="J545"/>
  <c r="F545"/>
  <c r="F519"/>
  <c r="J519" s="1"/>
  <c r="F460"/>
  <c r="J460" s="1"/>
  <c r="F395"/>
  <c r="J395" s="1"/>
  <c r="F368"/>
  <c r="J368" s="1"/>
  <c r="F350"/>
  <c r="J350" s="1"/>
  <c r="F347"/>
  <c r="J347" s="1"/>
  <c r="F338"/>
  <c r="J338" s="1"/>
  <c r="F332"/>
  <c r="J332" s="1"/>
  <c r="F325"/>
  <c r="J325" s="1"/>
  <c r="F313"/>
  <c r="J313" s="1"/>
  <c r="F272"/>
  <c r="J272" s="1"/>
  <c r="F262"/>
  <c r="J262" s="1"/>
  <c r="J249"/>
  <c r="F249"/>
  <c r="F242"/>
  <c r="J242" s="1"/>
  <c r="F204"/>
  <c r="J204" s="1"/>
  <c r="F122"/>
  <c r="J122" s="1"/>
  <c r="F103"/>
  <c r="J103" s="1"/>
  <c r="J98"/>
  <c r="F98"/>
  <c r="F86"/>
  <c r="J86" s="1"/>
  <c r="F84"/>
  <c r="J84" s="1"/>
  <c r="F60"/>
  <c r="J60" s="1"/>
  <c r="F34"/>
  <c r="J34" s="1"/>
  <c r="F674"/>
  <c r="J674" s="1"/>
  <c r="F643"/>
  <c r="J643" s="1"/>
  <c r="F624"/>
  <c r="J624" s="1"/>
  <c r="F609"/>
  <c r="J609" s="1"/>
  <c r="F559"/>
  <c r="J559" s="1"/>
  <c r="F440"/>
  <c r="J440" s="1"/>
  <c r="F408"/>
  <c r="J408" s="1"/>
  <c r="F397"/>
  <c r="J397" s="1"/>
  <c r="J369"/>
  <c r="F369"/>
  <c r="F93"/>
  <c r="J93" s="1"/>
  <c r="F733"/>
  <c r="J733" s="1"/>
  <c r="F601"/>
  <c r="J601" s="1"/>
  <c r="F573"/>
  <c r="J573" s="1"/>
  <c r="F300"/>
  <c r="J300" s="1"/>
  <c r="F108"/>
  <c r="J108" s="1"/>
  <c r="F277"/>
  <c r="J277" s="1"/>
  <c r="F7"/>
  <c r="J7" s="1"/>
  <c r="F614"/>
  <c r="J614" s="1"/>
  <c r="F606"/>
  <c r="J606" s="1"/>
  <c r="F523"/>
  <c r="J523" s="1"/>
  <c r="F448"/>
  <c r="J448" s="1"/>
  <c r="F436"/>
  <c r="J436" s="1"/>
  <c r="F352"/>
  <c r="J352" s="1"/>
  <c r="F336"/>
  <c r="J336" s="1"/>
  <c r="F286"/>
  <c r="J286" s="1"/>
  <c r="F171"/>
  <c r="J171" s="1"/>
  <c r="J91"/>
  <c r="F91"/>
  <c r="F18"/>
  <c r="J18" s="1"/>
  <c r="F565"/>
  <c r="J565" s="1"/>
  <c r="F540"/>
  <c r="J540" s="1"/>
  <c r="F521"/>
  <c r="J521" s="1"/>
  <c r="F462"/>
  <c r="J462" s="1"/>
  <c r="F451"/>
  <c r="J451" s="1"/>
  <c r="F445"/>
  <c r="J445" s="1"/>
  <c r="F401"/>
  <c r="J401" s="1"/>
  <c r="F293"/>
  <c r="J293" s="1"/>
  <c r="F246"/>
  <c r="J246" s="1"/>
  <c r="F218"/>
  <c r="J218" s="1"/>
  <c r="F68"/>
  <c r="J68" s="1"/>
  <c r="F42"/>
  <c r="J42" s="1"/>
  <c r="F737"/>
  <c r="J737" s="1"/>
  <c r="F714"/>
  <c r="J714" s="1"/>
  <c r="F704"/>
  <c r="J704" s="1"/>
  <c r="F702"/>
  <c r="J702" s="1"/>
  <c r="F699"/>
  <c r="J699" s="1"/>
  <c r="F687"/>
  <c r="J687" s="1"/>
  <c r="F684"/>
  <c r="J684" s="1"/>
  <c r="F681"/>
  <c r="J681" s="1"/>
  <c r="F658"/>
  <c r="J658" s="1"/>
  <c r="J653"/>
  <c r="F653"/>
  <c r="F652"/>
  <c r="J652" s="1"/>
  <c r="F647"/>
  <c r="J647" s="1"/>
  <c r="F640"/>
  <c r="J640" s="1"/>
  <c r="F632"/>
  <c r="J632" s="1"/>
  <c r="F631"/>
  <c r="J631" s="1"/>
  <c r="F630"/>
  <c r="J630" s="1"/>
  <c r="F629"/>
  <c r="J629" s="1"/>
  <c r="F616"/>
  <c r="J616" s="1"/>
  <c r="F596"/>
  <c r="J596" s="1"/>
  <c r="F568"/>
  <c r="J568" s="1"/>
  <c r="F564"/>
  <c r="J564" s="1"/>
  <c r="F562"/>
  <c r="J562" s="1"/>
  <c r="J561"/>
  <c r="F561"/>
  <c r="F544"/>
  <c r="J544" s="1"/>
  <c r="F529"/>
  <c r="J529" s="1"/>
  <c r="F528"/>
  <c r="J528" s="1"/>
  <c r="F516"/>
  <c r="J516" s="1"/>
  <c r="J514"/>
  <c r="F514"/>
  <c r="F503"/>
  <c r="J503" s="1"/>
  <c r="F479"/>
  <c r="J479" s="1"/>
  <c r="F447"/>
  <c r="J447" s="1"/>
  <c r="F443"/>
  <c r="J443" s="1"/>
  <c r="F442"/>
  <c r="J442" s="1"/>
  <c r="F439"/>
  <c r="J439" s="1"/>
  <c r="F438"/>
  <c r="J438" s="1"/>
  <c r="F434"/>
  <c r="J434" s="1"/>
  <c r="F433"/>
  <c r="J433" s="1"/>
  <c r="F422"/>
  <c r="J422" s="1"/>
  <c r="F421"/>
  <c r="J421" s="1"/>
  <c r="F389"/>
  <c r="J389" s="1"/>
  <c r="J358"/>
  <c r="F358"/>
  <c r="F340"/>
  <c r="J340" s="1"/>
  <c r="F333"/>
  <c r="J333" s="1"/>
  <c r="F324"/>
  <c r="J324" s="1"/>
  <c r="F309"/>
  <c r="J309" s="1"/>
  <c r="F299"/>
  <c r="J299" s="1"/>
  <c r="F294"/>
  <c r="J294" s="1"/>
  <c r="F285"/>
  <c r="J285" s="1"/>
  <c r="F274"/>
  <c r="J274" s="1"/>
  <c r="F259"/>
  <c r="J259" s="1"/>
  <c r="F247"/>
  <c r="J247" s="1"/>
  <c r="F238"/>
  <c r="J238" s="1"/>
  <c r="F225"/>
  <c r="J225" s="1"/>
  <c r="F221"/>
  <c r="J221" s="1"/>
  <c r="F209"/>
  <c r="J209" s="1"/>
  <c r="F203"/>
  <c r="J203" s="1"/>
  <c r="F200"/>
  <c r="J200" s="1"/>
  <c r="F185"/>
  <c r="J185" s="1"/>
  <c r="J178"/>
  <c r="F178"/>
  <c r="F172"/>
  <c r="J172" s="1"/>
  <c r="F166"/>
  <c r="J166" s="1"/>
  <c r="F164"/>
  <c r="J164" s="1"/>
  <c r="F148"/>
  <c r="J148" s="1"/>
  <c r="F140"/>
  <c r="J140" s="1"/>
  <c r="F138"/>
  <c r="J138" s="1"/>
  <c r="F135"/>
  <c r="J135" s="1"/>
  <c r="F115"/>
  <c r="J115" s="1"/>
  <c r="F111"/>
  <c r="J111" s="1"/>
  <c r="F100"/>
  <c r="J100" s="1"/>
  <c r="F94"/>
  <c r="J94" s="1"/>
  <c r="F88"/>
  <c r="J88" s="1"/>
  <c r="F78"/>
  <c r="J78" s="1"/>
  <c r="F76"/>
  <c r="J76" s="1"/>
  <c r="F73"/>
  <c r="J73" s="1"/>
  <c r="F71"/>
  <c r="J71" s="1"/>
  <c r="F69"/>
  <c r="J69" s="1"/>
  <c r="F40"/>
  <c r="J40" s="1"/>
  <c r="F36"/>
  <c r="J36" s="1"/>
  <c r="F30"/>
  <c r="J30" s="1"/>
  <c r="F8"/>
  <c r="J8" s="1"/>
  <c r="F725"/>
  <c r="J725" s="1"/>
  <c r="J722"/>
  <c r="F722"/>
  <c r="F669"/>
  <c r="J669" s="1"/>
  <c r="F611"/>
  <c r="J611" s="1"/>
  <c r="F592"/>
  <c r="J592" s="1"/>
  <c r="F586"/>
  <c r="J586" s="1"/>
  <c r="F581"/>
  <c r="J581" s="1"/>
  <c r="F578"/>
  <c r="J578" s="1"/>
  <c r="F575"/>
  <c r="J575" s="1"/>
  <c r="F534"/>
  <c r="J534" s="1"/>
  <c r="F533"/>
  <c r="J533" s="1"/>
  <c r="F525"/>
  <c r="J525" s="1"/>
  <c r="F522"/>
  <c r="J522" s="1"/>
  <c r="F517"/>
  <c r="J517" s="1"/>
  <c r="F512"/>
  <c r="J512" s="1"/>
  <c r="F499"/>
  <c r="J499" s="1"/>
  <c r="F472"/>
  <c r="J472" s="1"/>
  <c r="F454"/>
  <c r="J454" s="1"/>
  <c r="F446"/>
  <c r="J446" s="1"/>
  <c r="F426"/>
  <c r="J426" s="1"/>
  <c r="F410"/>
  <c r="J410" s="1"/>
  <c r="F406"/>
  <c r="J406" s="1"/>
  <c r="F392"/>
  <c r="J392" s="1"/>
  <c r="F378"/>
  <c r="J378" s="1"/>
  <c r="F330"/>
  <c r="J330" s="1"/>
  <c r="F323"/>
  <c r="J323" s="1"/>
  <c r="F302"/>
  <c r="J302" s="1"/>
  <c r="F201"/>
  <c r="J201" s="1"/>
  <c r="F190"/>
  <c r="J190" s="1"/>
  <c r="F187"/>
  <c r="J187" s="1"/>
  <c r="F174"/>
  <c r="J174" s="1"/>
  <c r="J170"/>
  <c r="F170"/>
  <c r="F161"/>
  <c r="J161" s="1"/>
  <c r="F141"/>
  <c r="J141" s="1"/>
  <c r="F139"/>
  <c r="J139" s="1"/>
  <c r="F137"/>
  <c r="J137" s="1"/>
  <c r="F134"/>
  <c r="J134" s="1"/>
  <c r="F128"/>
  <c r="J128" s="1"/>
  <c r="F116"/>
  <c r="J116" s="1"/>
  <c r="F109"/>
  <c r="J109" s="1"/>
  <c r="F101"/>
  <c r="J101" s="1"/>
  <c r="F81"/>
  <c r="J81" s="1"/>
  <c r="F70"/>
  <c r="J70" s="1"/>
  <c r="F55"/>
  <c r="J55" s="1"/>
  <c r="F51"/>
  <c r="J51" s="1"/>
  <c r="F50"/>
  <c r="J50" s="1"/>
  <c r="F48"/>
  <c r="J48" s="1"/>
  <c r="F23"/>
  <c r="J23" s="1"/>
  <c r="F176"/>
  <c r="J176" s="1"/>
  <c r="J104"/>
  <c r="F104"/>
  <c r="F667"/>
  <c r="J667" s="1"/>
  <c r="F243"/>
  <c r="J243" s="1"/>
  <c r="F583"/>
  <c r="J583" s="1"/>
  <c r="F453"/>
  <c r="J453" s="1"/>
  <c r="F553"/>
  <c r="J553" s="1"/>
  <c r="F63"/>
  <c r="J63" s="1"/>
  <c r="F602"/>
  <c r="J602" s="1"/>
  <c r="F571"/>
  <c r="J571" s="1"/>
  <c r="F308"/>
  <c r="J308" s="1"/>
  <c r="F117"/>
  <c r="J117" s="1"/>
  <c r="F29"/>
  <c r="J29" s="1"/>
  <c r="F500"/>
  <c r="J500" s="1"/>
  <c r="F471"/>
  <c r="J471" s="1"/>
  <c r="F267"/>
  <c r="J267" s="1"/>
  <c r="F41"/>
  <c r="J41" s="1"/>
  <c r="F14"/>
  <c r="J14" s="1"/>
  <c r="F10"/>
  <c r="J10" s="1"/>
  <c r="F739"/>
  <c r="J739" s="1"/>
  <c r="F732"/>
  <c r="J732" s="1"/>
  <c r="F660"/>
  <c r="J660" s="1"/>
  <c r="F654"/>
  <c r="J654" s="1"/>
  <c r="F628"/>
  <c r="J628" s="1"/>
  <c r="F600"/>
  <c r="J600" s="1"/>
  <c r="F591"/>
  <c r="J591" s="1"/>
  <c r="F557"/>
  <c r="J557" s="1"/>
  <c r="F530"/>
  <c r="J530" s="1"/>
  <c r="F498"/>
  <c r="J498" s="1"/>
  <c r="F477"/>
  <c r="J477" s="1"/>
  <c r="F465"/>
  <c r="J465" s="1"/>
  <c r="F424"/>
  <c r="J424" s="1"/>
  <c r="F415"/>
  <c r="J415" s="1"/>
  <c r="F402"/>
  <c r="J402" s="1"/>
  <c r="F399"/>
  <c r="J399" s="1"/>
  <c r="J311"/>
  <c r="F311"/>
  <c r="F303"/>
  <c r="J303" s="1"/>
  <c r="J275"/>
  <c r="F275"/>
  <c r="F233"/>
  <c r="J233" s="1"/>
  <c r="F216"/>
  <c r="J216" s="1"/>
  <c r="F188"/>
  <c r="J188" s="1"/>
  <c r="J130"/>
  <c r="F130"/>
  <c r="F52"/>
  <c r="J52" s="1"/>
  <c r="F49"/>
  <c r="J49" s="1"/>
  <c r="F28"/>
  <c r="J28" s="1"/>
  <c r="F691"/>
  <c r="J691" s="1"/>
  <c r="F673"/>
  <c r="J673" s="1"/>
  <c r="F506"/>
  <c r="J506" s="1"/>
  <c r="F266"/>
  <c r="J266" s="1"/>
  <c r="F260"/>
  <c r="J260" s="1"/>
  <c r="F211"/>
  <c r="J211" s="1"/>
  <c r="F179"/>
  <c r="J179" s="1"/>
  <c r="F550"/>
  <c r="J550" s="1"/>
  <c r="J482"/>
  <c r="F482"/>
  <c r="F441"/>
  <c r="J441" s="1"/>
  <c r="J261"/>
  <c r="F261"/>
  <c r="F33"/>
  <c r="J33" s="1"/>
  <c r="F688"/>
  <c r="J688" s="1"/>
  <c r="F644"/>
  <c r="J644" s="1"/>
  <c r="J367"/>
  <c r="F367"/>
  <c r="F158"/>
  <c r="J158" s="1"/>
  <c r="F133"/>
  <c r="J133" s="1"/>
  <c r="F685"/>
  <c r="J685" s="1"/>
  <c r="F361"/>
  <c r="J361" s="1"/>
  <c r="F353"/>
  <c r="J353" s="1"/>
  <c r="F147"/>
  <c r="J147" s="1"/>
  <c r="F648"/>
  <c r="J648" s="1"/>
  <c r="F507"/>
  <c r="J507" s="1"/>
  <c r="F278"/>
  <c r="J278" s="1"/>
  <c r="F444"/>
  <c r="J444" s="1"/>
  <c r="F419"/>
  <c r="J419" s="1"/>
  <c r="J417"/>
  <c r="F417"/>
  <c r="F87"/>
  <c r="J87" s="1"/>
  <c r="J662"/>
  <c r="F662"/>
  <c r="F625"/>
  <c r="J625" s="1"/>
  <c r="F623"/>
  <c r="J623" s="1"/>
  <c r="F604"/>
  <c r="J604" s="1"/>
  <c r="J487"/>
  <c r="F487"/>
  <c r="F480"/>
  <c r="J480" s="1"/>
  <c r="F251"/>
  <c r="J251" s="1"/>
  <c r="F731"/>
  <c r="J731" s="1"/>
  <c r="F716"/>
  <c r="J716" s="1"/>
  <c r="F698"/>
  <c r="J698" s="1"/>
  <c r="F655"/>
  <c r="J655" s="1"/>
  <c r="F642"/>
  <c r="J642" s="1"/>
  <c r="F619"/>
  <c r="J619" s="1"/>
  <c r="F566"/>
  <c r="J566" s="1"/>
  <c r="F541"/>
  <c r="J541" s="1"/>
  <c r="F538"/>
  <c r="J538" s="1"/>
  <c r="J536"/>
  <c r="F536"/>
  <c r="F491"/>
  <c r="J491" s="1"/>
  <c r="J486"/>
  <c r="F486"/>
  <c r="F474"/>
  <c r="J474" s="1"/>
  <c r="F431"/>
  <c r="J431" s="1"/>
  <c r="F412"/>
  <c r="J412" s="1"/>
  <c r="J329"/>
  <c r="F329"/>
  <c r="F318"/>
  <c r="J318" s="1"/>
  <c r="F304"/>
  <c r="J304" s="1"/>
  <c r="F281"/>
  <c r="J281" s="1"/>
  <c r="F279"/>
  <c r="J279" s="1"/>
  <c r="F273"/>
  <c r="J273" s="1"/>
  <c r="F210"/>
  <c r="J210" s="1"/>
  <c r="F208"/>
  <c r="J208" s="1"/>
  <c r="F198"/>
  <c r="J198" s="1"/>
  <c r="F175"/>
  <c r="J175" s="1"/>
  <c r="F167"/>
  <c r="J167" s="1"/>
  <c r="F154"/>
  <c r="J154" s="1"/>
  <c r="J129"/>
  <c r="F129"/>
  <c r="F47"/>
  <c r="J47" s="1"/>
  <c r="J740"/>
  <c r="F740"/>
  <c r="F713"/>
  <c r="J713" s="1"/>
  <c r="F709"/>
  <c r="J709" s="1"/>
  <c r="F689"/>
  <c r="J689" s="1"/>
  <c r="J675"/>
  <c r="F675"/>
  <c r="F649"/>
  <c r="J649" s="1"/>
  <c r="F546"/>
  <c r="J546" s="1"/>
  <c r="F535"/>
  <c r="J535" s="1"/>
  <c r="F527"/>
  <c r="J527" s="1"/>
  <c r="F464"/>
  <c r="J464" s="1"/>
  <c r="F379"/>
  <c r="J379" s="1"/>
  <c r="F360"/>
  <c r="J360" s="1"/>
  <c r="F341"/>
  <c r="J341" s="1"/>
  <c r="F328"/>
  <c r="J328" s="1"/>
  <c r="F263"/>
  <c r="J263" s="1"/>
  <c r="F230"/>
  <c r="J230" s="1"/>
  <c r="J143"/>
  <c r="F143"/>
  <c r="F77"/>
  <c r="J77" s="1"/>
  <c r="J62"/>
  <c r="F62"/>
  <c r="F307"/>
  <c r="J307" s="1"/>
  <c r="F291"/>
  <c r="J291" s="1"/>
  <c r="F106"/>
  <c r="J106" s="1"/>
  <c r="J492"/>
  <c r="F492"/>
  <c r="F404"/>
  <c r="J404" s="1"/>
  <c r="F373"/>
  <c r="J373" s="1"/>
  <c r="F362"/>
  <c r="J362" s="1"/>
  <c r="F248"/>
  <c r="J248" s="1"/>
  <c r="F213"/>
  <c r="J213" s="1"/>
  <c r="F485"/>
  <c r="J485" s="1"/>
  <c r="F207"/>
  <c r="J207" s="1"/>
  <c r="F118"/>
  <c r="J118" s="1"/>
  <c r="F61"/>
  <c r="J61" s="1"/>
  <c r="F738"/>
  <c r="J738" s="1"/>
  <c r="F694"/>
  <c r="J694" s="1"/>
  <c r="J663"/>
  <c r="F663"/>
  <c r="F539"/>
  <c r="J539" s="1"/>
  <c r="J437"/>
  <c r="F437"/>
  <c r="F181"/>
  <c r="J181" s="1"/>
  <c r="F110"/>
  <c r="J110" s="1"/>
  <c r="F57"/>
  <c r="J57" s="1"/>
  <c r="J46"/>
  <c r="F46"/>
  <c r="F531"/>
  <c r="J531" s="1"/>
  <c r="F511"/>
  <c r="J511" s="1"/>
  <c r="F488"/>
  <c r="J488" s="1"/>
  <c r="F622"/>
  <c r="J622" s="1"/>
  <c r="F428"/>
  <c r="J428" s="1"/>
  <c r="F728"/>
  <c r="J728" s="1"/>
  <c r="F526"/>
  <c r="J526" s="1"/>
  <c r="F455"/>
  <c r="J455" s="1"/>
  <c r="F432"/>
  <c r="J432" s="1"/>
  <c r="F391"/>
  <c r="J391" s="1"/>
  <c r="F337"/>
  <c r="J337" s="1"/>
  <c r="J231"/>
  <c r="F231"/>
  <c r="F9"/>
  <c r="J9" s="1"/>
  <c r="J572"/>
  <c r="F572"/>
  <c r="F554"/>
  <c r="J554" s="1"/>
  <c r="F418"/>
  <c r="J418" s="1"/>
  <c r="F202"/>
  <c r="J202" s="1"/>
  <c r="J183"/>
  <c r="F183"/>
  <c r="F146"/>
  <c r="J146" s="1"/>
  <c r="F25"/>
  <c r="J25" s="1"/>
  <c r="F182"/>
  <c r="J182" s="1"/>
  <c r="F659"/>
  <c r="J659" s="1"/>
  <c r="F706"/>
  <c r="J706" s="1"/>
  <c r="F509"/>
  <c r="J509" s="1"/>
  <c r="F163"/>
  <c r="J163" s="1"/>
  <c r="F388"/>
  <c r="J388" s="1"/>
  <c r="F326"/>
  <c r="J326" s="1"/>
  <c r="F64"/>
  <c r="J64" s="1"/>
  <c r="F13"/>
  <c r="J13" s="1"/>
  <c r="J693"/>
  <c r="F693"/>
  <c r="F641"/>
  <c r="J641" s="1"/>
  <c r="J608"/>
  <c r="F608"/>
  <c r="F603"/>
  <c r="J603" s="1"/>
  <c r="F570"/>
  <c r="J570" s="1"/>
  <c r="F364"/>
  <c r="J364" s="1"/>
  <c r="F321"/>
  <c r="J321" s="1"/>
  <c r="F306"/>
  <c r="J306" s="1"/>
  <c r="F255"/>
  <c r="J255" s="1"/>
  <c r="F186"/>
  <c r="J186" s="1"/>
  <c r="F155"/>
  <c r="J155" s="1"/>
  <c r="F119"/>
  <c r="J119" s="1"/>
  <c r="F96"/>
  <c r="J96" s="1"/>
  <c r="F734"/>
  <c r="J734" s="1"/>
  <c r="F727"/>
  <c r="J727" s="1"/>
  <c r="F723"/>
  <c r="J723" s="1"/>
  <c r="F712"/>
  <c r="J712" s="1"/>
  <c r="F711"/>
  <c r="J711" s="1"/>
  <c r="F701"/>
  <c r="J701" s="1"/>
  <c r="F695"/>
  <c r="J695" s="1"/>
  <c r="J683"/>
  <c r="F683"/>
  <c r="F676"/>
  <c r="J676" s="1"/>
  <c r="F617"/>
  <c r="J617" s="1"/>
  <c r="F613"/>
  <c r="J613" s="1"/>
  <c r="F610"/>
  <c r="J610" s="1"/>
  <c r="F558"/>
  <c r="J558" s="1"/>
  <c r="F551"/>
  <c r="J551" s="1"/>
  <c r="F543"/>
  <c r="J543" s="1"/>
  <c r="F481"/>
  <c r="J481" s="1"/>
  <c r="F470"/>
  <c r="J470" s="1"/>
  <c r="F400"/>
  <c r="J400" s="1"/>
  <c r="F393"/>
  <c r="J393" s="1"/>
  <c r="F380"/>
  <c r="J380" s="1"/>
  <c r="F344"/>
  <c r="J344" s="1"/>
  <c r="F343"/>
  <c r="J343" s="1"/>
  <c r="F342"/>
  <c r="J342" s="1"/>
  <c r="F339"/>
  <c r="J339" s="1"/>
  <c r="F335"/>
  <c r="J335" s="1"/>
  <c r="F301"/>
  <c r="J301" s="1"/>
  <c r="F298"/>
  <c r="J298" s="1"/>
  <c r="F292"/>
  <c r="J292" s="1"/>
  <c r="F282"/>
  <c r="J282" s="1"/>
  <c r="F240"/>
  <c r="J240" s="1"/>
  <c r="F222"/>
  <c r="J222" s="1"/>
  <c r="F219"/>
  <c r="J219" s="1"/>
  <c r="F217"/>
  <c r="J217" s="1"/>
  <c r="F197"/>
  <c r="J197" s="1"/>
  <c r="F192"/>
  <c r="J192" s="1"/>
  <c r="F177"/>
  <c r="J177" s="1"/>
  <c r="F168"/>
  <c r="J168" s="1"/>
  <c r="F125"/>
  <c r="J125" s="1"/>
  <c r="F112"/>
  <c r="J112" s="1"/>
  <c r="F97"/>
  <c r="J97" s="1"/>
  <c r="F90"/>
  <c r="J90" s="1"/>
  <c r="F43"/>
  <c r="J43" s="1"/>
  <c r="F31"/>
  <c r="J31" s="1"/>
  <c r="J22"/>
  <c r="F22"/>
  <c r="F20"/>
  <c r="J20" s="1"/>
  <c r="F19"/>
  <c r="J19" s="1"/>
  <c r="F17"/>
  <c r="J17" s="1"/>
  <c r="F719"/>
  <c r="J719" s="1"/>
  <c r="F690"/>
  <c r="J690" s="1"/>
  <c r="F677"/>
  <c r="J677" s="1"/>
  <c r="F636"/>
  <c r="J636" s="1"/>
  <c r="F634"/>
  <c r="J634" s="1"/>
  <c r="F615"/>
  <c r="J615" s="1"/>
  <c r="F582"/>
  <c r="J582" s="1"/>
  <c r="F469"/>
  <c r="J469" s="1"/>
  <c r="J467"/>
  <c r="F467"/>
  <c r="F405"/>
  <c r="J405" s="1"/>
  <c r="F315"/>
  <c r="J315" s="1"/>
  <c r="F268"/>
  <c r="J268" s="1"/>
  <c r="F253"/>
  <c r="J253" s="1"/>
  <c r="F244"/>
  <c r="J244" s="1"/>
  <c r="J224"/>
  <c r="F224"/>
  <c r="F223"/>
  <c r="J223" s="1"/>
  <c r="F214"/>
  <c r="J214" s="1"/>
  <c r="F206"/>
  <c r="J206" s="1"/>
  <c r="F131"/>
  <c r="J131" s="1"/>
  <c r="F114"/>
  <c r="J114" s="1"/>
  <c r="F105"/>
  <c r="J105" s="1"/>
  <c r="F102"/>
  <c r="J102" s="1"/>
  <c r="F67"/>
  <c r="J67" s="1"/>
  <c r="F12"/>
  <c r="J12" s="1"/>
  <c r="H8" i="3" l="1"/>
  <c r="G8"/>
  <c r="F8"/>
  <c r="E8"/>
  <c r="I7"/>
  <c r="I6"/>
  <c r="I5"/>
  <c r="I4"/>
  <c r="I3"/>
  <c r="I8" l="1"/>
  <c r="H38" i="2"/>
  <c r="H735"/>
  <c r="H586"/>
  <c r="H280"/>
  <c r="H646"/>
  <c r="H324"/>
  <c r="H900"/>
  <c r="H729"/>
  <c r="H246"/>
  <c r="H60"/>
  <c r="H419"/>
  <c r="H413"/>
  <c r="H207"/>
  <c r="H803"/>
  <c r="H572"/>
  <c r="H792"/>
  <c r="H256"/>
  <c r="H771"/>
  <c r="H879"/>
  <c r="H583"/>
  <c r="H140"/>
  <c r="H362"/>
  <c r="H691"/>
  <c r="H446"/>
  <c r="H35"/>
  <c r="H497"/>
  <c r="H98"/>
  <c r="H384"/>
  <c r="H662"/>
  <c r="H104"/>
  <c r="H230"/>
  <c r="H355"/>
  <c r="H178"/>
  <c r="H302"/>
  <c r="H682"/>
  <c r="H40"/>
  <c r="H657"/>
  <c r="H506"/>
  <c r="H654"/>
  <c r="H57"/>
  <c r="H553"/>
  <c r="H784"/>
  <c r="H167"/>
  <c r="H532"/>
  <c r="H283"/>
  <c r="H185"/>
  <c r="H790"/>
  <c r="H56"/>
  <c r="H441"/>
  <c r="H261"/>
  <c r="H801"/>
  <c r="H746"/>
  <c r="H408"/>
  <c r="H471"/>
  <c r="H600"/>
  <c r="H548"/>
  <c r="H451"/>
  <c r="H700"/>
  <c r="H770"/>
  <c r="H733"/>
  <c r="H505"/>
  <c r="H170"/>
  <c r="H474"/>
  <c r="H391"/>
  <c r="H785"/>
  <c r="H899"/>
  <c r="H165"/>
  <c r="H779"/>
  <c r="H117"/>
  <c r="H161"/>
  <c r="H704"/>
  <c r="H650"/>
  <c r="H437"/>
  <c r="H67"/>
  <c r="H874"/>
  <c r="H358"/>
  <c r="H645"/>
  <c r="H450"/>
  <c r="H806"/>
  <c r="H49"/>
  <c r="H782"/>
  <c r="H901"/>
  <c r="H214"/>
  <c r="H666"/>
  <c r="H376"/>
  <c r="H648"/>
  <c r="H759"/>
  <c r="H203"/>
  <c r="H81"/>
  <c r="H516"/>
  <c r="H903"/>
  <c r="H618"/>
  <c r="H345"/>
  <c r="H731"/>
  <c r="H520"/>
  <c r="H710"/>
  <c r="H585"/>
  <c r="H781"/>
  <c r="H426"/>
  <c r="H160"/>
  <c r="H465"/>
  <c r="H878"/>
  <c r="H439"/>
  <c r="H109"/>
  <c r="H891"/>
  <c r="H537"/>
  <c r="H697"/>
  <c r="H577"/>
  <c r="H134"/>
  <c r="H202"/>
  <c r="H157"/>
  <c r="H828"/>
  <c r="H632"/>
  <c r="H144"/>
  <c r="H470"/>
  <c r="H616"/>
  <c r="H223"/>
  <c r="H501"/>
  <c r="H237"/>
  <c r="H599"/>
  <c r="H314"/>
  <c r="H723"/>
  <c r="H476"/>
  <c r="H78"/>
  <c r="H250"/>
  <c r="H455"/>
  <c r="H377"/>
  <c r="H294"/>
  <c r="H141"/>
  <c r="H260"/>
  <c r="H614"/>
  <c r="H204"/>
  <c r="H108"/>
  <c r="H342"/>
  <c r="H679"/>
  <c r="H84"/>
  <c r="H213"/>
  <c r="H590"/>
  <c r="H529"/>
  <c r="H239"/>
  <c r="H375"/>
  <c r="H791"/>
  <c r="H105"/>
  <c r="H483"/>
  <c r="H196"/>
  <c r="H885"/>
  <c r="H393"/>
  <c r="H884"/>
  <c r="H462"/>
  <c r="H685"/>
  <c r="H351"/>
  <c r="H525"/>
  <c r="H12"/>
  <c r="H236"/>
  <c r="H423"/>
  <c r="H173"/>
  <c r="H162"/>
  <c r="H394"/>
  <c r="H270"/>
  <c r="H13"/>
  <c r="H353"/>
  <c r="H123"/>
  <c r="H406"/>
  <c r="H448"/>
  <c r="H561"/>
  <c r="H6"/>
  <c r="H401"/>
  <c r="H609"/>
  <c r="H149"/>
  <c r="H335"/>
  <c r="H184"/>
  <c r="H765"/>
  <c r="H190"/>
  <c r="H812"/>
  <c r="H778"/>
  <c r="H328"/>
  <c r="H563"/>
  <c r="H794"/>
  <c r="H208"/>
  <c r="H860"/>
  <c r="H48"/>
  <c r="H54"/>
  <c r="H745"/>
  <c r="H341"/>
  <c r="H705"/>
  <c r="H366"/>
  <c r="H859"/>
  <c r="H464"/>
  <c r="H138"/>
  <c r="H226"/>
  <c r="H641"/>
  <c r="H488"/>
  <c r="H504"/>
  <c r="H523"/>
  <c r="H418"/>
  <c r="H841"/>
  <c r="H716"/>
  <c r="H718"/>
  <c r="H684"/>
  <c r="H186"/>
  <c r="H613"/>
  <c r="H164"/>
  <c r="H466"/>
  <c r="H479"/>
  <c r="H194"/>
  <c r="H820"/>
  <c r="H843"/>
  <c r="H332"/>
  <c r="H297"/>
  <c r="H150"/>
  <c r="H477"/>
  <c r="H634"/>
  <c r="H694"/>
  <c r="H175"/>
  <c r="H267"/>
  <c r="H279"/>
  <c r="H640"/>
  <c r="H701"/>
  <c r="H906"/>
  <c r="H23"/>
  <c r="H290"/>
  <c r="H865"/>
  <c r="H743"/>
  <c r="H275"/>
  <c r="H904"/>
  <c r="H174"/>
  <c r="H531"/>
  <c r="H352"/>
  <c r="H156"/>
  <c r="H911"/>
  <c r="H629"/>
  <c r="H212"/>
  <c r="H835"/>
  <c r="H592"/>
  <c r="H750"/>
  <c r="H385"/>
  <c r="H736"/>
  <c r="H383"/>
  <c r="H840"/>
  <c r="H461"/>
  <c r="H608"/>
  <c r="H587"/>
  <c r="H680"/>
  <c r="H482"/>
  <c r="H777"/>
  <c r="H624"/>
  <c r="H218"/>
  <c r="H281"/>
  <c r="H493"/>
  <c r="H349"/>
  <c r="H370"/>
  <c r="H18"/>
  <c r="H79"/>
  <c r="H855"/>
  <c r="H118"/>
  <c r="H27"/>
  <c r="H636"/>
  <c r="H834"/>
  <c r="H811"/>
  <c r="H838"/>
  <c r="H296"/>
  <c r="H388"/>
  <c r="H295"/>
  <c r="H163"/>
  <c r="H725"/>
  <c r="H715"/>
  <c r="H538"/>
  <c r="H272"/>
  <c r="H21"/>
  <c r="H248"/>
  <c r="H127"/>
  <c r="H245"/>
  <c r="H315"/>
  <c r="H432"/>
  <c r="H14"/>
  <c r="H807"/>
  <c r="H243"/>
  <c r="H347"/>
  <c r="H567"/>
  <c r="H541"/>
  <c r="H431"/>
  <c r="H143"/>
  <c r="H881"/>
  <c r="H486"/>
  <c r="H690"/>
  <c r="H850"/>
  <c r="H26"/>
  <c r="H354"/>
  <c r="H130"/>
  <c r="H456"/>
  <c r="H348"/>
  <c r="H287"/>
  <c r="H36"/>
  <c r="H436"/>
  <c r="H192"/>
  <c r="H131"/>
  <c r="H578"/>
  <c r="H83"/>
  <c r="H681"/>
  <c r="H683"/>
  <c r="H628"/>
  <c r="H649"/>
  <c r="H176"/>
  <c r="H177"/>
  <c r="H30"/>
  <c r="H363"/>
  <c r="H748"/>
  <c r="H285"/>
  <c r="H659"/>
  <c r="H626"/>
  <c r="H502"/>
  <c r="H810"/>
  <c r="H277"/>
  <c r="H611"/>
  <c r="H136"/>
  <c r="H331"/>
  <c r="H565"/>
  <c r="H832"/>
  <c r="H802"/>
  <c r="H536"/>
  <c r="H350"/>
  <c r="H103"/>
  <c r="H159"/>
  <c r="H687"/>
  <c r="H381"/>
  <c r="H421"/>
  <c r="H330"/>
  <c r="H52"/>
  <c r="H692"/>
  <c r="H512"/>
  <c r="H231"/>
  <c r="H499"/>
  <c r="H863"/>
  <c r="H71"/>
  <c r="H653"/>
  <c r="H274"/>
  <c r="H571"/>
  <c r="H258"/>
  <c r="H252"/>
  <c r="H158"/>
  <c r="H490"/>
  <c r="H830"/>
  <c r="H595"/>
  <c r="H510"/>
  <c r="H627"/>
  <c r="H615"/>
  <c r="H313"/>
  <c r="H526"/>
  <c r="H557"/>
  <c r="H837"/>
  <c r="H846"/>
  <c r="H633"/>
  <c r="H273"/>
  <c r="H235"/>
  <c r="H698"/>
  <c r="H908"/>
  <c r="H668"/>
  <c r="H74"/>
  <c r="H500"/>
  <c r="H751"/>
  <c r="H847"/>
  <c r="H168"/>
  <c r="H343"/>
  <c r="H407"/>
  <c r="H111"/>
  <c r="H766"/>
  <c r="H877"/>
  <c r="H758"/>
  <c r="H783"/>
  <c r="H361"/>
  <c r="H844"/>
  <c r="H814"/>
  <c r="H333"/>
  <c r="H454"/>
  <c r="H635"/>
  <c r="H221"/>
  <c r="H702"/>
  <c r="H365"/>
  <c r="H395"/>
  <c r="H749"/>
  <c r="H403"/>
  <c r="H706"/>
  <c r="H639"/>
  <c r="H398"/>
  <c r="H286"/>
  <c r="H689"/>
  <c r="H249"/>
  <c r="H591"/>
  <c r="H665"/>
  <c r="H559"/>
  <c r="H29"/>
  <c r="H316"/>
  <c r="H319"/>
  <c r="H752"/>
  <c r="H242"/>
  <c r="H468"/>
  <c r="H741"/>
  <c r="H86"/>
  <c r="H695"/>
  <c r="H739"/>
  <c r="H522"/>
  <c r="H415"/>
  <c r="H45"/>
  <c r="H7"/>
  <c r="H171"/>
  <c r="H326"/>
  <c r="H65"/>
  <c r="H658"/>
  <c r="H598"/>
  <c r="H740"/>
  <c r="H542"/>
  <c r="H284"/>
  <c r="H189"/>
  <c r="H768"/>
  <c r="H119"/>
  <c r="H232"/>
  <c r="H311"/>
  <c r="H61"/>
  <c r="H564"/>
  <c r="H472"/>
  <c r="H550"/>
  <c r="H125"/>
  <c r="H90"/>
  <c r="H799"/>
  <c r="H554"/>
  <c r="H346"/>
  <c r="H821"/>
  <c r="H570"/>
  <c r="H215"/>
  <c r="H543"/>
  <c r="H494"/>
  <c r="H625"/>
  <c r="H198"/>
  <c r="H292"/>
  <c r="H360"/>
  <c r="H469"/>
  <c r="H291"/>
  <c r="H569"/>
  <c r="H728"/>
  <c r="H112"/>
  <c r="H722"/>
  <c r="H309"/>
  <c r="H244"/>
  <c r="H588"/>
  <c r="H712"/>
  <c r="H489"/>
  <c r="H517"/>
  <c r="H630"/>
  <c r="H404"/>
  <c r="H883"/>
  <c r="H664"/>
  <c r="H387"/>
  <c r="H424"/>
  <c r="H857"/>
  <c r="H503"/>
  <c r="H73"/>
  <c r="H390"/>
  <c r="H617"/>
  <c r="H8"/>
  <c r="H205"/>
  <c r="H889"/>
  <c r="H411"/>
  <c r="H487"/>
  <c r="H179"/>
  <c r="H907"/>
  <c r="H220"/>
  <c r="H46"/>
  <c r="H699"/>
  <c r="H663"/>
  <c r="H549"/>
  <c r="H853"/>
  <c r="H15"/>
  <c r="H412"/>
  <c r="H321"/>
  <c r="H399"/>
  <c r="H42"/>
  <c r="H139"/>
  <c r="H848"/>
  <c r="H738"/>
  <c r="H443"/>
  <c r="H528"/>
  <c r="H28"/>
  <c r="H767"/>
  <c r="H305"/>
  <c r="H380"/>
  <c r="H655"/>
  <c r="H787"/>
  <c r="H430"/>
  <c r="H893"/>
  <c r="H262"/>
  <c r="H513"/>
  <c r="H871"/>
  <c r="H100"/>
  <c r="H276"/>
  <c r="H721"/>
  <c r="H675"/>
  <c r="H693"/>
  <c r="H882"/>
  <c r="H240"/>
  <c r="H804"/>
  <c r="H3"/>
  <c r="H195"/>
  <c r="H495"/>
  <c r="H201"/>
  <c r="H115"/>
  <c r="H776"/>
  <c r="H181"/>
  <c r="H47"/>
  <c r="H68"/>
  <c r="H371"/>
  <c r="H773"/>
  <c r="H547"/>
  <c r="H826"/>
  <c r="H191"/>
  <c r="H133"/>
  <c r="H601"/>
  <c r="H417"/>
  <c r="H756"/>
  <c r="H678"/>
  <c r="H62"/>
  <c r="H289"/>
  <c r="H619"/>
  <c r="H39"/>
  <c r="H677"/>
  <c r="H269"/>
  <c r="H89"/>
  <c r="H453"/>
  <c r="H422"/>
  <c r="H744"/>
  <c r="H392"/>
  <c r="H514"/>
  <c r="H427"/>
  <c r="H610"/>
  <c r="H188"/>
  <c r="H129"/>
  <c r="H124"/>
  <c r="H433"/>
  <c r="H720"/>
  <c r="H434"/>
  <c r="H498"/>
  <c r="H425"/>
  <c r="H607"/>
  <c r="H849"/>
  <c r="H234"/>
  <c r="H651"/>
  <c r="H337"/>
  <c r="H396"/>
  <c r="H206"/>
  <c r="H620"/>
  <c r="H22"/>
  <c r="H378"/>
  <c r="H579"/>
  <c r="H573"/>
  <c r="H576"/>
  <c r="H769"/>
  <c r="H858"/>
  <c r="H151"/>
  <c r="H458"/>
  <c r="H153"/>
  <c r="H265"/>
  <c r="H798"/>
  <c r="H813"/>
  <c r="H182"/>
  <c r="H688"/>
  <c r="H582"/>
  <c r="H556"/>
  <c r="H43"/>
  <c r="H420"/>
  <c r="H217"/>
  <c r="H233"/>
  <c r="H897"/>
  <c r="H312"/>
  <c r="H368"/>
  <c r="H99"/>
  <c r="H521"/>
  <c r="H95"/>
  <c r="H870"/>
  <c r="H558"/>
  <c r="H530"/>
  <c r="H786"/>
  <c r="H671"/>
  <c r="H535"/>
  <c r="H670"/>
  <c r="H667"/>
  <c r="H63"/>
  <c r="H622"/>
  <c r="H77"/>
  <c r="H76"/>
  <c r="H815"/>
  <c r="H854"/>
  <c r="H414"/>
  <c r="H121"/>
  <c r="H623"/>
  <c r="H732"/>
  <c r="H888"/>
  <c r="H155"/>
  <c r="H102"/>
  <c r="H568"/>
  <c r="H473"/>
  <c r="H760"/>
  <c r="H872"/>
  <c r="H833"/>
  <c r="H80"/>
  <c r="H251"/>
  <c r="H546"/>
  <c r="H304"/>
  <c r="H809"/>
  <c r="H819"/>
  <c r="H400"/>
  <c r="H19"/>
  <c r="H584"/>
  <c r="H711"/>
  <c r="H709"/>
  <c r="H508"/>
  <c r="H747"/>
  <c r="H113"/>
  <c r="H257"/>
  <c r="H120"/>
  <c r="H864"/>
  <c r="H435"/>
  <c r="H101"/>
  <c r="H574"/>
  <c r="H263"/>
  <c r="H66"/>
  <c r="H336"/>
  <c r="H754"/>
  <c r="H575"/>
  <c r="H199"/>
  <c r="H142"/>
  <c r="H890"/>
  <c r="H484"/>
  <c r="H910"/>
  <c r="H146"/>
  <c r="H183"/>
  <c r="H796"/>
  <c r="H566"/>
  <c r="H364"/>
  <c r="H909"/>
  <c r="H905"/>
  <c r="H59"/>
  <c r="H686"/>
  <c r="H197"/>
  <c r="H255"/>
  <c r="H457"/>
  <c r="H868"/>
  <c r="H126"/>
  <c r="H318"/>
  <c r="H325"/>
  <c r="H795"/>
  <c r="H755"/>
  <c r="H485"/>
  <c r="H92"/>
  <c r="H4"/>
  <c r="H128"/>
  <c r="H253"/>
  <c r="H816"/>
  <c r="H862"/>
  <c r="H82"/>
  <c r="H372"/>
  <c r="H50"/>
  <c r="H637"/>
  <c r="H496"/>
  <c r="H895"/>
  <c r="H887"/>
  <c r="H225"/>
  <c r="H603"/>
  <c r="H869"/>
  <c r="H612"/>
  <c r="H357"/>
  <c r="H51"/>
  <c r="H527"/>
  <c r="H148"/>
  <c r="H386"/>
  <c r="H397"/>
  <c r="H775"/>
  <c r="H169"/>
  <c r="H534"/>
  <c r="H247"/>
  <c r="H91"/>
  <c r="H467"/>
  <c r="H31"/>
  <c r="H753"/>
  <c r="H866"/>
  <c r="H589"/>
  <c r="H180"/>
  <c r="H800"/>
  <c r="H856"/>
  <c r="H552"/>
  <c r="H518"/>
  <c r="H17"/>
  <c r="H774"/>
  <c r="H114"/>
  <c r="H382"/>
  <c r="H409"/>
  <c r="H647"/>
  <c r="H429"/>
  <c r="H9"/>
  <c r="H544"/>
  <c r="H416"/>
  <c r="H788"/>
  <c r="H621"/>
  <c r="H797"/>
  <c r="H673"/>
  <c r="H5"/>
  <c r="H661"/>
  <c r="H303"/>
  <c r="H122"/>
  <c r="H780"/>
  <c r="H842"/>
  <c r="H154"/>
  <c r="H442"/>
  <c r="H737"/>
  <c r="H707"/>
  <c r="H669"/>
  <c r="H306"/>
  <c r="H447"/>
  <c r="H210"/>
  <c r="H334"/>
  <c r="H805"/>
  <c r="H509"/>
  <c r="H110"/>
  <c r="H831"/>
  <c r="H540"/>
  <c r="H33"/>
  <c r="H597"/>
  <c r="H317"/>
  <c r="H132"/>
  <c r="H379"/>
  <c r="H867"/>
  <c r="H93"/>
  <c r="H643"/>
  <c r="H764"/>
  <c r="H25"/>
  <c r="H187"/>
  <c r="H478"/>
  <c r="H560"/>
  <c r="H137"/>
  <c r="H367"/>
  <c r="H875"/>
  <c r="H892"/>
  <c r="H107"/>
  <c r="H829"/>
  <c r="H229"/>
  <c r="H719"/>
  <c r="H58"/>
  <c r="H515"/>
  <c r="H308"/>
  <c r="H459"/>
  <c r="H405"/>
  <c r="H193"/>
  <c r="H152"/>
  <c r="H839"/>
  <c r="H463"/>
  <c r="H209"/>
  <c r="H238"/>
  <c r="H861"/>
  <c r="H10"/>
  <c r="H873"/>
  <c r="H793"/>
  <c r="H734"/>
  <c r="H763"/>
  <c r="H172"/>
  <c r="H480"/>
  <c r="H519"/>
  <c r="H742"/>
  <c r="H762"/>
  <c r="H200"/>
  <c r="H227"/>
  <c r="H491"/>
  <c r="H713"/>
  <c r="H329"/>
  <c r="H402"/>
  <c r="H581"/>
  <c r="H32"/>
  <c r="H539"/>
  <c r="H818"/>
  <c r="H726"/>
  <c r="H714"/>
  <c r="H440"/>
  <c r="H356"/>
  <c r="H452"/>
  <c r="H299"/>
  <c r="H300"/>
  <c r="H851"/>
  <c r="H638"/>
  <c r="H551"/>
  <c r="H562"/>
  <c r="H823"/>
  <c r="H216"/>
  <c r="H338"/>
  <c r="H374"/>
  <c r="H339"/>
  <c r="H69"/>
  <c r="H475"/>
  <c r="H70"/>
  <c r="H224"/>
  <c r="H53"/>
  <c r="H894"/>
  <c r="H264"/>
  <c r="H44"/>
  <c r="H94"/>
  <c r="H20"/>
  <c r="H533"/>
  <c r="H674"/>
  <c r="H438"/>
  <c r="H282"/>
  <c r="H323"/>
  <c r="H825"/>
  <c r="H37"/>
  <c r="H72"/>
  <c r="H696"/>
  <c r="H278"/>
  <c r="H605"/>
  <c r="H327"/>
  <c r="H656"/>
  <c r="H602"/>
  <c r="H373"/>
  <c r="H902"/>
  <c r="H724"/>
  <c r="H761"/>
  <c r="H789"/>
  <c r="H631"/>
  <c r="H817"/>
  <c r="H75"/>
  <c r="H445"/>
  <c r="H87"/>
  <c r="H41"/>
  <c r="H730"/>
  <c r="H11"/>
  <c r="H880"/>
  <c r="H580"/>
  <c r="H596"/>
  <c r="H642"/>
  <c r="H34"/>
  <c r="H644"/>
  <c r="H288"/>
  <c r="H55"/>
  <c r="H896"/>
  <c r="H444"/>
  <c r="H772"/>
  <c r="H594"/>
  <c r="H85"/>
  <c r="H676"/>
  <c r="H717"/>
  <c r="H211"/>
  <c r="H271"/>
  <c r="H147"/>
  <c r="H241"/>
  <c r="H228"/>
  <c r="H359"/>
  <c r="H824"/>
  <c r="H259"/>
  <c r="H808"/>
  <c r="H727"/>
  <c r="H822"/>
  <c r="H222"/>
  <c r="H219"/>
  <c r="H876"/>
  <c r="H428"/>
  <c r="H852"/>
  <c r="H64"/>
  <c r="H845"/>
  <c r="H145"/>
  <c r="H96"/>
  <c r="H481"/>
  <c r="H268"/>
  <c r="H369"/>
  <c r="H410"/>
  <c r="H703"/>
  <c r="H898"/>
  <c r="H660"/>
  <c r="H460"/>
  <c r="H604"/>
  <c r="H555"/>
  <c r="H524"/>
  <c r="H652"/>
  <c r="H266"/>
  <c r="H97"/>
  <c r="H320"/>
  <c r="H492"/>
  <c r="H106"/>
  <c r="H593"/>
  <c r="H757"/>
  <c r="H886"/>
  <c r="H88"/>
  <c r="H827"/>
  <c r="H344"/>
  <c r="H836"/>
  <c r="H301"/>
  <c r="H293"/>
  <c r="H511"/>
  <c r="H606"/>
  <c r="H708"/>
  <c r="H672"/>
  <c r="H116"/>
  <c r="H307"/>
  <c r="H24"/>
  <c r="H449"/>
  <c r="H507"/>
  <c r="H135"/>
  <c r="AC11"/>
  <c r="AB11"/>
  <c r="AA11"/>
  <c r="Z11"/>
  <c r="Y11"/>
  <c r="H389"/>
  <c r="AC10"/>
  <c r="AB10"/>
  <c r="AA10"/>
  <c r="Z10"/>
  <c r="Y10"/>
  <c r="H545"/>
  <c r="AC9"/>
  <c r="AB9"/>
  <c r="AA9"/>
  <c r="Z9"/>
  <c r="Y9"/>
  <c r="H166"/>
  <c r="AC8"/>
  <c r="AB8"/>
  <c r="AA8"/>
  <c r="Z8"/>
  <c r="Y8"/>
  <c r="H16"/>
  <c r="AC7"/>
  <c r="AB7"/>
  <c r="AA7"/>
  <c r="Z7"/>
  <c r="Y7"/>
  <c r="H254"/>
  <c r="AC6"/>
  <c r="AB6"/>
  <c r="AA6"/>
  <c r="Z6"/>
  <c r="Y6"/>
  <c r="H322"/>
  <c r="AC5"/>
  <c r="AB5"/>
  <c r="AA5"/>
  <c r="Z5"/>
  <c r="Y5"/>
  <c r="H298"/>
  <c r="AC4"/>
  <c r="AB4"/>
  <c r="AA4"/>
  <c r="Z4"/>
  <c r="Y4"/>
  <c r="H310"/>
  <c r="AC3"/>
  <c r="AB3"/>
  <c r="AA3"/>
  <c r="Z3"/>
  <c r="Y3"/>
  <c r="H340"/>
  <c r="AC2"/>
  <c r="AB2"/>
  <c r="AA2"/>
  <c r="Z2"/>
  <c r="Y2"/>
  <c r="AC1"/>
  <c r="AB1"/>
  <c r="AA1"/>
  <c r="Z1"/>
  <c r="Y1"/>
  <c r="AD5" l="1"/>
  <c r="AD9"/>
  <c r="AD6"/>
  <c r="Z12"/>
  <c r="AC12"/>
  <c r="AD2"/>
  <c r="Y12"/>
  <c r="AA12"/>
  <c r="AD10"/>
  <c r="AB12"/>
  <c r="AD4"/>
  <c r="AD8"/>
  <c r="AD3"/>
  <c r="AD7"/>
  <c r="AD11"/>
  <c r="AD1"/>
  <c r="AD12" l="1"/>
</calcChain>
</file>

<file path=xl/comments1.xml><?xml version="1.0" encoding="utf-8"?>
<comments xmlns="http://schemas.openxmlformats.org/spreadsheetml/2006/main">
  <authors>
    <author>sri</author>
  </authors>
  <commentList>
    <comment ref="A12" authorId="0">
      <text>
        <r>
          <rPr>
            <b/>
            <sz val="9"/>
            <color indexed="81"/>
            <rFont val="Tahoma"/>
            <charset val="1"/>
          </rPr>
          <t>sri:</t>
        </r>
        <r>
          <rPr>
            <sz val="9"/>
            <color indexed="81"/>
            <rFont val="Tahoma"/>
            <charset val="1"/>
          </rPr>
          <t xml:space="preserve">
GOTO FORMULAS and Numeric</t>
        </r>
      </text>
    </comment>
  </commentList>
</comments>
</file>

<file path=xl/sharedStrings.xml><?xml version="1.0" encoding="utf-8"?>
<sst xmlns="http://schemas.openxmlformats.org/spreadsheetml/2006/main" count="8086" uniqueCount="1551">
  <si>
    <t>Bamboo Coffee Table</t>
  </si>
  <si>
    <t>Bamboo End Table</t>
  </si>
  <si>
    <t>Captain Recliner</t>
  </si>
  <si>
    <t>Chameleon Couch</t>
  </si>
  <si>
    <t>Media Armoire</t>
  </si>
  <si>
    <t>Total</t>
  </si>
  <si>
    <t>Arnold, Cole</t>
  </si>
  <si>
    <t>Byrd, Asa</t>
  </si>
  <si>
    <t>Salesperson</t>
  </si>
  <si>
    <t>Product</t>
  </si>
  <si>
    <t>Region</t>
  </si>
  <si>
    <t>Customer</t>
  </si>
  <si>
    <t>Date</t>
  </si>
  <si>
    <t>Item Cost</t>
  </si>
  <si>
    <t>No.Items</t>
  </si>
  <si>
    <t>Sum of Total Cost</t>
  </si>
  <si>
    <t>Christensen, Jill</t>
  </si>
  <si>
    <t>Vaughn, Harlon</t>
  </si>
  <si>
    <t>NE</t>
  </si>
  <si>
    <t>B&amp;B Spaces</t>
  </si>
  <si>
    <t>Ellington Designs</t>
  </si>
  <si>
    <t>Fabulous Homes</t>
  </si>
  <si>
    <t>Home Emporium</t>
  </si>
  <si>
    <t>Home USA</t>
  </si>
  <si>
    <t>Grand Total</t>
  </si>
  <si>
    <t>Kelly, Icelita</t>
  </si>
  <si>
    <t>Norman, Rita</t>
  </si>
  <si>
    <t>SE</t>
  </si>
  <si>
    <t>Leon, Emily</t>
  </si>
  <si>
    <t>NW</t>
  </si>
  <si>
    <t>Livingston, Lynette</t>
  </si>
  <si>
    <t>Lucas, John</t>
  </si>
  <si>
    <t>SW</t>
  </si>
  <si>
    <t>Maynard, Susan</t>
  </si>
  <si>
    <t>Owen, Robert</t>
  </si>
  <si>
    <t>McCullough, Scott</t>
  </si>
  <si>
    <t>Home Product Sales</t>
  </si>
  <si>
    <t>Furniture Sales by Region</t>
  </si>
  <si>
    <t>Item</t>
  </si>
  <si>
    <t xml:space="preserve"> Total</t>
  </si>
  <si>
    <t>Bath</t>
  </si>
  <si>
    <t>Bedroom</t>
  </si>
  <si>
    <t>Dining</t>
  </si>
  <si>
    <t>Entryways</t>
  </si>
  <si>
    <t>Kids Room</t>
  </si>
  <si>
    <t>Kitchen</t>
  </si>
  <si>
    <t>Living Room</t>
  </si>
  <si>
    <t>Employee Name</t>
  </si>
  <si>
    <t>Building</t>
  </si>
  <si>
    <t>Department</t>
  </si>
  <si>
    <t>Status</t>
  </si>
  <si>
    <t>Hire Date</t>
  </si>
  <si>
    <t>Years</t>
  </si>
  <si>
    <t>Benefits</t>
  </si>
  <si>
    <t>Salary</t>
  </si>
  <si>
    <t>Job Rating</t>
  </si>
  <si>
    <t>New Salary</t>
  </si>
  <si>
    <t>Watson</t>
  </si>
  <si>
    <t>Account Management</t>
  </si>
  <si>
    <t>Contract</t>
  </si>
  <si>
    <t>West</t>
  </si>
  <si>
    <t>North</t>
  </si>
  <si>
    <t>Taft</t>
  </si>
  <si>
    <t>Main</t>
  </si>
  <si>
    <t>South</t>
  </si>
  <si>
    <t>Full Time</t>
  </si>
  <si>
    <t>M</t>
  </si>
  <si>
    <t>DM</t>
  </si>
  <si>
    <t>DMR</t>
  </si>
  <si>
    <t>D</t>
  </si>
  <si>
    <t>R</t>
  </si>
  <si>
    <t>Half-Time</t>
  </si>
  <si>
    <t>Hourly</t>
  </si>
  <si>
    <t>ADC</t>
  </si>
  <si>
    <t>Creative</t>
  </si>
  <si>
    <t>Environmental Compliance</t>
  </si>
  <si>
    <t>Environmental Health/Safety</t>
  </si>
  <si>
    <t>Facilities/Engineering</t>
  </si>
  <si>
    <t>Green Building</t>
  </si>
  <si>
    <t>Human Resources</t>
  </si>
  <si>
    <t>IT</t>
  </si>
  <si>
    <t>Bauer, Chris</t>
  </si>
  <si>
    <t>Major Mfg Projects</t>
  </si>
  <si>
    <t>Manufacturing</t>
  </si>
  <si>
    <t>Conley, Mark</t>
  </si>
  <si>
    <t>DR</t>
  </si>
  <si>
    <t>Manufacturing Admin</t>
  </si>
  <si>
    <t>Marketing</t>
  </si>
  <si>
    <t>Product Development</t>
  </si>
  <si>
    <t>Jordan, Mark</t>
  </si>
  <si>
    <t>Professional Training Group</t>
  </si>
  <si>
    <t>Quality Assurance</t>
  </si>
  <si>
    <t>Henry, Craig</t>
  </si>
  <si>
    <t>Quality Control</t>
  </si>
  <si>
    <t>Ware, David</t>
  </si>
  <si>
    <t>Research Center</t>
  </si>
  <si>
    <t>Research/Development</t>
  </si>
  <si>
    <t>Sales</t>
  </si>
  <si>
    <t>Training</t>
  </si>
  <si>
    <t>Name</t>
  </si>
  <si>
    <t>Phone</t>
  </si>
  <si>
    <t>Street Address</t>
  </si>
  <si>
    <t>833-7877 Odio. Avenue</t>
  </si>
  <si>
    <t>5357 Nonummy Rd.</t>
  </si>
  <si>
    <t>715-1222 Magnis Ave</t>
  </si>
  <si>
    <t>P.O. Box 187, 4017 Sed Av.</t>
  </si>
  <si>
    <t>542-1511 Nibh. St.</t>
  </si>
  <si>
    <t>Ap #398-3940 Donec Street</t>
  </si>
  <si>
    <t>P.O. Box 343, 2319 Sed St.</t>
  </si>
  <si>
    <t>1695 Sociis Av.</t>
  </si>
  <si>
    <t>1406 Id, Rd.</t>
  </si>
  <si>
    <t>Ap #218-5658 Aliquet Av.</t>
  </si>
  <si>
    <t>Ap #825-2943 Quis, Ave</t>
  </si>
  <si>
    <t>107-3412 Vel St.</t>
  </si>
  <si>
    <t>675-7676 Enim. Av.</t>
  </si>
  <si>
    <t>Ap #767-7552 Dictum. Av.</t>
  </si>
  <si>
    <t>934-7262 Mauris St.</t>
  </si>
  <si>
    <t>Ap #418-1355 Aliquet Street</t>
  </si>
  <si>
    <t>8070 Proin Ave</t>
  </si>
  <si>
    <t>Ap #966-779 Vulputate, Ave</t>
  </si>
  <si>
    <t>P.O. Box 715, 3601 Imperdiet Street</t>
  </si>
  <si>
    <t>1473 Est, St.</t>
  </si>
  <si>
    <t>886-7383 Libero Rd.</t>
  </si>
  <si>
    <t>P.O. Box 317, 3062 Eget Rd.</t>
  </si>
  <si>
    <t>Ap #899-5759 Pharetra. Ave</t>
  </si>
  <si>
    <t>Ap #414-4802 Tincidunt Street</t>
  </si>
  <si>
    <t>4903 Ornare, Road</t>
  </si>
  <si>
    <t>P.O. Box 704, 1988 Pellentesque St.</t>
  </si>
  <si>
    <t>P.O. Box 213, 3969 Dui, Avenue</t>
  </si>
  <si>
    <t>577-353 Risus. Street</t>
  </si>
  <si>
    <t>Ap #462-7700 Enim. St.</t>
  </si>
  <si>
    <t>526-3205 Sodales St.</t>
  </si>
  <si>
    <t>6086 Consequat Rd.</t>
  </si>
  <si>
    <t>P.O. Box 929, 8239 Blandit Av.</t>
  </si>
  <si>
    <t>P.O. Box 283, 1302 Arcu Rd.</t>
  </si>
  <si>
    <t>P.O. Box 113, 9244 Erat Ave</t>
  </si>
  <si>
    <t>P.O. Box 622, 7185 Nulla Ave</t>
  </si>
  <si>
    <t>9007 Purus, Rd.</t>
  </si>
  <si>
    <t>P.O. Box 381, 3399 Cursus. Street</t>
  </si>
  <si>
    <t>942-8386 Nec Road</t>
  </si>
  <si>
    <t>P.O. Box 785, 2566 Commodo Avenue</t>
  </si>
  <si>
    <t>6091 Nec, Ave</t>
  </si>
  <si>
    <t>1165 Facilisis Street</t>
  </si>
  <si>
    <t>Ap #433-517 Vitae Road</t>
  </si>
  <si>
    <t>P.O. Box 465, 5868 Adipiscing Ave</t>
  </si>
  <si>
    <t>Ap #402-5766 Egestas St.</t>
  </si>
  <si>
    <t>7232 Leo. St.</t>
  </si>
  <si>
    <t>3389 Egestas St.</t>
  </si>
  <si>
    <t>P.O. Box 475, 9898 Feugiat Ave</t>
  </si>
  <si>
    <t>5093 Eu Street</t>
  </si>
  <si>
    <t>2718 Nisl St.</t>
  </si>
  <si>
    <t>855-6659 Feugiat Road</t>
  </si>
  <si>
    <t>993-6177 Magna Road</t>
  </si>
  <si>
    <t>518-8059 Dui, Road</t>
  </si>
  <si>
    <t>P.O. Box 275, 5902 Euismod Road</t>
  </si>
  <si>
    <t>254-6423 Tellus. St.</t>
  </si>
  <si>
    <t>563-5184 Hendrerit St.</t>
  </si>
  <si>
    <t>P.O. Box 442, 8530 Nunc St.</t>
  </si>
  <si>
    <t>984-7202 Tincidunt Avenue</t>
  </si>
  <si>
    <t>Ap #708-2416 Placerat, Av.</t>
  </si>
  <si>
    <t>5604 Luctus Street</t>
  </si>
  <si>
    <t>7032 At Rd.</t>
  </si>
  <si>
    <t>P.O. Box 819, 7097 Quis Rd.</t>
  </si>
  <si>
    <t>379-3475 Netus Rd.</t>
  </si>
  <si>
    <t>131-2642 Dui, Av.</t>
  </si>
  <si>
    <t>379-255 Primis Rd.</t>
  </si>
  <si>
    <t>6060 Vestibulum Rd.</t>
  </si>
  <si>
    <t>6738 Condimentum Rd.</t>
  </si>
  <si>
    <t>7203 Quis Road</t>
  </si>
  <si>
    <t>Ap #403-3651 Semper Av.</t>
  </si>
  <si>
    <t>4370 Tincidunt Av.</t>
  </si>
  <si>
    <t>Ap #944-1258 Sollicitudin Ave</t>
  </si>
  <si>
    <t>Ap #803-3095 Sodales Rd.</t>
  </si>
  <si>
    <t>P.O. Box 386, 3835 Tempus Street</t>
  </si>
  <si>
    <t>P.O. Box 684, 9358 Eu, St.</t>
  </si>
  <si>
    <t>Ap #175-2156 Suspendisse Rd.</t>
  </si>
  <si>
    <t>6865 Accumsan Avenue</t>
  </si>
  <si>
    <t>Ap #314-6130 Faucibus Rd.</t>
  </si>
  <si>
    <t>Ap #357-1597 Sapien, St.</t>
  </si>
  <si>
    <t>3812 Ut Ave</t>
  </si>
  <si>
    <t>P.O. Box 582, 1465 Mollis St.</t>
  </si>
  <si>
    <t>8080 Gravida Avenue</t>
  </si>
  <si>
    <t>5261 Habitant St.</t>
  </si>
  <si>
    <t>Ap #997-6467 In Rd.</t>
  </si>
  <si>
    <t>125-853 Nunc Avenue</t>
  </si>
  <si>
    <t>P.O. Box 991, 6970 Est, Avenue</t>
  </si>
  <si>
    <t>P.O. Box 752, 3629 Facilisi. St.</t>
  </si>
  <si>
    <t>674-1385 Pellentesque Road</t>
  </si>
  <si>
    <t>Ap #159-6921 Mi St.</t>
  </si>
  <si>
    <t>906-3660 Integer Street</t>
  </si>
  <si>
    <t>P.O. Box 672, 9216 Euismod Street</t>
  </si>
  <si>
    <t>Ap #475-2988 Aliquam Ave</t>
  </si>
  <si>
    <t>P.O. Box 963, 3045 Sapien Rd.</t>
  </si>
  <si>
    <t>3886 Mauris Road</t>
  </si>
  <si>
    <t>Ap #330-4295 Facilisis Rd.</t>
  </si>
  <si>
    <t>Ap #589-5468 Suspendisse Street</t>
  </si>
  <si>
    <t>P.O. Box 646, 4366 Amet St.</t>
  </si>
  <si>
    <t>Ap #881-9027 Urna. Rd.</t>
  </si>
  <si>
    <t>9651 Sem Av.</t>
  </si>
  <si>
    <t>9261 Mus. Street</t>
  </si>
  <si>
    <t>Ap #537-8398 Arcu. St.</t>
  </si>
  <si>
    <t>P.O. Box 774, 8696 Orci Road</t>
  </si>
  <si>
    <t>5527 Lorem, St.</t>
  </si>
  <si>
    <t>586-2005 Nullam Avenue</t>
  </si>
  <si>
    <t>P.O. Box 627, 7383 Interdum St.</t>
  </si>
  <si>
    <t>Ap #912-3100 Aliquam Rd.</t>
  </si>
  <si>
    <t>279-3285 Nam St.</t>
  </si>
  <si>
    <t>391 Iaculis St.</t>
  </si>
  <si>
    <t>6063 Nec St.</t>
  </si>
  <si>
    <t>Ap #839-1756 Quisque Street</t>
  </si>
  <si>
    <t>600-170 A, Rd.</t>
  </si>
  <si>
    <t>274-7777 Eget, Ave</t>
  </si>
  <si>
    <t>Ap #692-2451 Amet Ave</t>
  </si>
  <si>
    <t>P.O. Box 105, 9937 Ultricies Street</t>
  </si>
  <si>
    <t>P.O. Box 314, 2762 Faucibus Ave</t>
  </si>
  <si>
    <t>P.O. Box 218, 1662 Purus, Ave</t>
  </si>
  <si>
    <t>666-1366 Accumsan St.</t>
  </si>
  <si>
    <t>185-1753 Enim, Street</t>
  </si>
  <si>
    <t>375-2389 Arcu. Rd.</t>
  </si>
  <si>
    <t>Ap #663-3717 Quisque Avenue</t>
  </si>
  <si>
    <t>P.O. Box 225, 9519 Eu Ave</t>
  </si>
  <si>
    <t>Ap #539-1008 Penatibus Road</t>
  </si>
  <si>
    <t>626-2437 Gravida. Ave</t>
  </si>
  <si>
    <t>303-5118 Vehicula. Street</t>
  </si>
  <si>
    <t>991-9829 Auctor. St.</t>
  </si>
  <si>
    <t>P.O. Box 763, 6836 Gravida Street</t>
  </si>
  <si>
    <t>642-6586 Facilisis Ave</t>
  </si>
  <si>
    <t>Ap #490-3800 Nullam Avenue</t>
  </si>
  <si>
    <t>609-5574 Neque. Rd.</t>
  </si>
  <si>
    <t>4848 Lacus Avenue</t>
  </si>
  <si>
    <t>841-7175 Nec, Avenue</t>
  </si>
  <si>
    <t>751-6606 Integer St.</t>
  </si>
  <si>
    <t>6013 Aliquam St.</t>
  </si>
  <si>
    <t>Ap #315-9687 Faucibus Rd.</t>
  </si>
  <si>
    <t>P.O. Box 980, 3935 Ipsum Ave</t>
  </si>
  <si>
    <t>Ap #531-912 Eu Rd.</t>
  </si>
  <si>
    <t>Ap #112-4290 Mauris Street</t>
  </si>
  <si>
    <t>P.O. Box 107, 3920 Curabitur Avenue</t>
  </si>
  <si>
    <t>2759 Praesent St.</t>
  </si>
  <si>
    <t>Ap #823-5337 Dis St.</t>
  </si>
  <si>
    <t>P.O. Box 859, 5831 Integer Rd.</t>
  </si>
  <si>
    <t>225-5222 Tellus Street</t>
  </si>
  <si>
    <t>P.O. Box 660, 8240 Sed St.</t>
  </si>
  <si>
    <t>668 Sed St.</t>
  </si>
  <si>
    <t>Ap #220-9024 Nulla Ave</t>
  </si>
  <si>
    <t>643-4389 Dui Rd.</t>
  </si>
  <si>
    <t>8999 Urna. Road</t>
  </si>
  <si>
    <t>Ap #154-1541 Mi Rd.</t>
  </si>
  <si>
    <t>P.O. Box 478, 2989 Amet, Avenue</t>
  </si>
  <si>
    <t>P.O. Box 477, 3511 Eget Street</t>
  </si>
  <si>
    <t>160-3783 Sem, Road</t>
  </si>
  <si>
    <t>P.O. Box 555, 4956 Malesuada Ave</t>
  </si>
  <si>
    <t>Ap #746-8767 Vitae Street</t>
  </si>
  <si>
    <t>130-9445 Eu Street</t>
  </si>
  <si>
    <t>P.O. Box 626, 5474 Tellus Street</t>
  </si>
  <si>
    <t>P.O. Box 145, 4650 At, Rd.</t>
  </si>
  <si>
    <t>5689 Interdum Rd.</t>
  </si>
  <si>
    <t>Ap #498-9352 Arcu Avenue</t>
  </si>
  <si>
    <t>8098 Nisi Avenue</t>
  </si>
  <si>
    <t>627-8645 Sagittis Rd.</t>
  </si>
  <si>
    <t>7657 Tortor St.</t>
  </si>
  <si>
    <t>260-3711 Enim. Avenue</t>
  </si>
  <si>
    <t>602-8642 Ipsum St.</t>
  </si>
  <si>
    <t>6596 Tempor St.</t>
  </si>
  <si>
    <t>4486 Euismod Av.</t>
  </si>
  <si>
    <t>Ap #246-6280 Auctor St.</t>
  </si>
  <si>
    <t>Ap #229-5154 Turpis St.</t>
  </si>
  <si>
    <t>158-4011 Lectus Avenue</t>
  </si>
  <si>
    <t>P.O. Box 577, 3417 Nunc Rd.</t>
  </si>
  <si>
    <t>267 Nullam Av.</t>
  </si>
  <si>
    <t>3560 Nibh Road</t>
  </si>
  <si>
    <t>Ap #910-4472 Ante, St.</t>
  </si>
  <si>
    <t>6632 Non St.</t>
  </si>
  <si>
    <t>3535 Ac, Street</t>
  </si>
  <si>
    <t>Ap #836-6697 Eget, Street</t>
  </si>
  <si>
    <t>Ap #788-7197 Vitae St.</t>
  </si>
  <si>
    <t>Ap #558-4522 Rutrum. Av.</t>
  </si>
  <si>
    <t>6464 Donec Ave</t>
  </si>
  <si>
    <t>633-6016 Consectetuer St.</t>
  </si>
  <si>
    <t>Ap #586-5375 Auctor Avenue</t>
  </si>
  <si>
    <t>6964 Vel, Road</t>
  </si>
  <si>
    <t>P.O. Box 503, 4634 Egestas. St.</t>
  </si>
  <si>
    <t>2190 Ac St.</t>
  </si>
  <si>
    <t>Ap #264-1204 Fames St.</t>
  </si>
  <si>
    <t>4361 Odio Rd.</t>
  </si>
  <si>
    <t>P.O. Box 584, 7776 Quisque Avenue</t>
  </si>
  <si>
    <t>166-624 Suspendisse St.</t>
  </si>
  <si>
    <t>662-5601 Suspendisse St.</t>
  </si>
  <si>
    <t>6685 Tellus St.</t>
  </si>
  <si>
    <t>419-2836 Malesuada St.</t>
  </si>
  <si>
    <t>P.O. Box 762, 6321 Parturient Av.</t>
  </si>
  <si>
    <t>Ap #370-496 Nam St.</t>
  </si>
  <si>
    <t>Ap #803-1572 Quis Rd.</t>
  </si>
  <si>
    <t>Ap #340-8681 Consectetuer St.</t>
  </si>
  <si>
    <t>Ap #794-2198 Est, Avenue</t>
  </si>
  <si>
    <t>P.O. Box 309, 6929 Vitae Rd.</t>
  </si>
  <si>
    <t>211-9606 A, Ave</t>
  </si>
  <si>
    <t>5366 Parturient St.</t>
  </si>
  <si>
    <t>6527 Cumin St.</t>
  </si>
  <si>
    <t>475-8892 Tellus. Rd.</t>
  </si>
  <si>
    <t>896-7036 Libero. Rd.</t>
  </si>
  <si>
    <t>546-255 Mi Avenue</t>
  </si>
  <si>
    <t>Jan</t>
  </si>
  <si>
    <t>Feb</t>
  </si>
  <si>
    <t>Mar</t>
  </si>
  <si>
    <t>Apr</t>
  </si>
  <si>
    <t>May</t>
  </si>
  <si>
    <t>Jun</t>
  </si>
  <si>
    <t>Expenses</t>
  </si>
  <si>
    <t>Profits</t>
  </si>
  <si>
    <t>YTD Profits</t>
  </si>
  <si>
    <t>% Sales Change</t>
  </si>
  <si>
    <t>% Profits Change</t>
  </si>
  <si>
    <t>% Expenses Change</t>
  </si>
  <si>
    <t>Sales:Expenses</t>
  </si>
  <si>
    <t>Sales:Profits</t>
  </si>
  <si>
    <t>Expenses:Profits</t>
  </si>
  <si>
    <t>1st Q</t>
  </si>
  <si>
    <t>2nd Q</t>
  </si>
  <si>
    <t>Jul</t>
  </si>
  <si>
    <t>Aug</t>
  </si>
  <si>
    <t>Sep</t>
  </si>
  <si>
    <t>3rd Q</t>
  </si>
  <si>
    <t>Oct</t>
  </si>
  <si>
    <t>Nov</t>
  </si>
  <si>
    <t>Dec</t>
  </si>
  <si>
    <t>4th Q</t>
  </si>
  <si>
    <t>TOTAL</t>
  </si>
  <si>
    <t>Gross Revenue</t>
  </si>
  <si>
    <t>Shipping</t>
  </si>
  <si>
    <t>Cost of Goods Sold</t>
  </si>
  <si>
    <t>Goods</t>
  </si>
  <si>
    <t>Freight</t>
  </si>
  <si>
    <t>Miscellaneous</t>
  </si>
  <si>
    <t>Cost of Goods Total</t>
  </si>
  <si>
    <t>Gross Profit</t>
  </si>
  <si>
    <t>Advertising</t>
  </si>
  <si>
    <t>Electricity</t>
  </si>
  <si>
    <t>Food</t>
  </si>
  <si>
    <t>Heat</t>
  </si>
  <si>
    <t>Insurance</t>
  </si>
  <si>
    <t>Interest</t>
  </si>
  <si>
    <t>Legal Services</t>
  </si>
  <si>
    <t>Office Supplies</t>
  </si>
  <si>
    <t>Rent</t>
  </si>
  <si>
    <t>Salaries</t>
  </si>
  <si>
    <t>Taxes</t>
  </si>
  <si>
    <t>Telephone</t>
  </si>
  <si>
    <t>Travel</t>
  </si>
  <si>
    <t>Utilities</t>
  </si>
  <si>
    <t>Water</t>
  </si>
  <si>
    <t>Total Expenses</t>
  </si>
  <si>
    <t>Net Profit</t>
  </si>
  <si>
    <t>2024 Budget</t>
  </si>
  <si>
    <t>Furniture Sales - 2021 and 2022</t>
  </si>
  <si>
    <t>Garner, Aaron</t>
  </si>
  <si>
    <t>Bell, Aladdin</t>
  </si>
  <si>
    <t>Gould, Alana</t>
  </si>
  <si>
    <t>Bernard, Ali</t>
  </si>
  <si>
    <t>Carr, Allen</t>
  </si>
  <si>
    <t>Oliver, Alma</t>
  </si>
  <si>
    <t>Head, Amy</t>
  </si>
  <si>
    <t>Weber, Amy</t>
  </si>
  <si>
    <t>Horne, Armando</t>
  </si>
  <si>
    <t>Duke, Astra</t>
  </si>
  <si>
    <t>Harvey, August</t>
  </si>
  <si>
    <t>Rush, Avye</t>
  </si>
  <si>
    <t>Williamson, Ayanna</t>
  </si>
  <si>
    <t>Hatfield, Berk</t>
  </si>
  <si>
    <t>Roach, Bo</t>
  </si>
  <si>
    <t>Black, Brent</t>
  </si>
  <si>
    <t>Powell, Brittany</t>
  </si>
  <si>
    <t>Carrillo, Carter</t>
  </si>
  <si>
    <t>Weber, Chantale</t>
  </si>
  <si>
    <t>Mills, Charde</t>
  </si>
  <si>
    <t>Stuart, Claire</t>
  </si>
  <si>
    <t>Hendricks, Clark</t>
  </si>
  <si>
    <t>Frederick, Colby</t>
  </si>
  <si>
    <t>Compton, Colton</t>
  </si>
  <si>
    <t>Shaffer, Cora</t>
  </si>
  <si>
    <t>Goff, Cruz</t>
  </si>
  <si>
    <t>Vargas, Cruz</t>
  </si>
  <si>
    <t>Pena, Dacey</t>
  </si>
  <si>
    <t>Palmer, Damon</t>
  </si>
  <si>
    <t>Miranda, David</t>
  </si>
  <si>
    <t>Pierce, Dean</t>
  </si>
  <si>
    <t>Berry, Deborah</t>
  </si>
  <si>
    <t>Ingram, Echo</t>
  </si>
  <si>
    <t>Robinson, Ethan</t>
  </si>
  <si>
    <t>Santos, Evan</t>
  </si>
  <si>
    <t>Molina, Francesca</t>
  </si>
  <si>
    <t>Melendez, Gabriel</t>
  </si>
  <si>
    <t>Serrano, Garrett</t>
  </si>
  <si>
    <t>Davidson, Geraldine</t>
  </si>
  <si>
    <t>Prince, Hamish</t>
  </si>
  <si>
    <t>Hood, Hedda</t>
  </si>
  <si>
    <t>Fernandez, Herman</t>
  </si>
  <si>
    <t>Pearson, Hilel</t>
  </si>
  <si>
    <t>Dalton, Hu</t>
  </si>
  <si>
    <t>Williams, Idona</t>
  </si>
  <si>
    <t>Nixon, Igor</t>
  </si>
  <si>
    <t>Jefferson, Imani</t>
  </si>
  <si>
    <t>Lopez, Ira</t>
  </si>
  <si>
    <t>Sargent, Irma</t>
  </si>
  <si>
    <t>Gilmore, Jason</t>
  </si>
  <si>
    <t>Romero, Jim</t>
  </si>
  <si>
    <t>Fields, Jin</t>
  </si>
  <si>
    <t>Kirkland, Kaden</t>
  </si>
  <si>
    <t>Bernard, Karleigh</t>
  </si>
  <si>
    <t>Lynch, Keely</t>
  </si>
  <si>
    <t>Nicholson, Keely</t>
  </si>
  <si>
    <t>Garrison, Knox</t>
  </si>
  <si>
    <t>Henson, Kyla</t>
  </si>
  <si>
    <t>Joseph, Kylan</t>
  </si>
  <si>
    <t>Bright, Lacy</t>
  </si>
  <si>
    <t>Fulton, Lance</t>
  </si>
  <si>
    <t>Lloyd, Lani</t>
  </si>
  <si>
    <t>Bowman, Len</t>
  </si>
  <si>
    <t>Peters, Lunea</t>
  </si>
  <si>
    <t>Pearson, Lydia</t>
  </si>
  <si>
    <t>Cabrera, Malik</t>
  </si>
  <si>
    <t>Slater, Margaret</t>
  </si>
  <si>
    <t>Byers, Marsden</t>
  </si>
  <si>
    <t>Wilkerson, Mary</t>
  </si>
  <si>
    <t>Mcfarland, Maxwell</t>
  </si>
  <si>
    <t>Burgess, McKenzie</t>
  </si>
  <si>
    <t>Harvey, Micah</t>
  </si>
  <si>
    <t>Eaton, Noble</t>
  </si>
  <si>
    <t>Pugh, Nolan</t>
  </si>
  <si>
    <t>Ray, Odette</t>
  </si>
  <si>
    <t>Ballard, Oleg</t>
  </si>
  <si>
    <t>Boyle, Olga</t>
  </si>
  <si>
    <t>Myers, Ori</t>
  </si>
  <si>
    <t>Chaney, Owen</t>
  </si>
  <si>
    <t>Munoz, Paul</t>
  </si>
  <si>
    <t>Sharp, Paul</t>
  </si>
  <si>
    <t>Keith, Renee</t>
  </si>
  <si>
    <t>Benson, Rhea</t>
  </si>
  <si>
    <t>Mcgee, Rhea</t>
  </si>
  <si>
    <t>Hayden, Ronan</t>
  </si>
  <si>
    <t>Adams, Ruby</t>
  </si>
  <si>
    <t>Reilly, Sacha</t>
  </si>
  <si>
    <t>Ortega, Sade</t>
  </si>
  <si>
    <t>Patterson, Scarlett</t>
  </si>
  <si>
    <t>Bonner, Serina</t>
  </si>
  <si>
    <t>Wilkerson, Shay</t>
  </si>
  <si>
    <t>Hayden, Stewart</t>
  </si>
  <si>
    <t>Wiley, Stewart</t>
  </si>
  <si>
    <t>Ballard, Tad</t>
  </si>
  <si>
    <t>Sandoval, Tanya</t>
  </si>
  <si>
    <t>Franklin, Tara</t>
  </si>
  <si>
    <t>Mcmahon, Tate</t>
  </si>
  <si>
    <t>Long, Thaddeus</t>
  </si>
  <si>
    <t>Erickson, Tyrone</t>
  </si>
  <si>
    <t>Walsh, Uma</t>
  </si>
  <si>
    <t>Harmon, Uriah</t>
  </si>
  <si>
    <t>Moon, Ursula</t>
  </si>
  <si>
    <t>Malone, Vladimir</t>
  </si>
  <si>
    <t>Stuart, Wang</t>
  </si>
  <si>
    <t>Rollins, Wing</t>
  </si>
  <si>
    <t>Alston, Yoko</t>
  </si>
  <si>
    <t>Richmond, Yoko</t>
  </si>
  <si>
    <t>Rogers, Yvonne</t>
  </si>
  <si>
    <t>Vance, Zane</t>
  </si>
  <si>
    <t>Keller, Zena</t>
  </si>
  <si>
    <t>Faulkner, Alex</t>
  </si>
  <si>
    <t>Cruz, Alan</t>
  </si>
  <si>
    <t>Todd, Ashe</t>
  </si>
  <si>
    <t>Buckley, Athe</t>
  </si>
  <si>
    <t>Burt, Autu</t>
  </si>
  <si>
    <t>Pate, Bert</t>
  </si>
  <si>
    <t>Flores, Blaz</t>
  </si>
  <si>
    <t>Rosales, Bren</t>
  </si>
  <si>
    <t>Burgess, Bren</t>
  </si>
  <si>
    <t>Slater, Bria</t>
  </si>
  <si>
    <t>Hinton, Bryn</t>
  </si>
  <si>
    <t>Sykes, Byro</t>
  </si>
  <si>
    <t>Hughes, Cale</t>
  </si>
  <si>
    <t>Payne, Cand</t>
  </si>
  <si>
    <t>Barrett, Ceci</t>
  </si>
  <si>
    <t>Quinn, Chan</t>
  </si>
  <si>
    <t>Mccarthy, Char</t>
  </si>
  <si>
    <t>Cash, Chlo</t>
  </si>
  <si>
    <t>Rasmussen, Chri</t>
  </si>
  <si>
    <t>Young, Clau</t>
  </si>
  <si>
    <t>Barlow, Cyru</t>
  </si>
  <si>
    <t>Levy, Dant</t>
  </si>
  <si>
    <t>Landry, Elia</t>
  </si>
  <si>
    <t>Collier, Geor</t>
  </si>
  <si>
    <t>Drake, Germ</t>
  </si>
  <si>
    <t>Booker, Gill</t>
  </si>
  <si>
    <t>Flores, Glen</t>
  </si>
  <si>
    <t>Lawrence, Grif</t>
  </si>
  <si>
    <t>Stein, Hall</t>
  </si>
  <si>
    <t>Hinton, Hana</t>
  </si>
  <si>
    <t>Malone, Harr</t>
  </si>
  <si>
    <t>Peterson, Henr</t>
  </si>
  <si>
    <t>Gibson, Iman</t>
  </si>
  <si>
    <t>Silva, Jame</t>
  </si>
  <si>
    <t>Fleming, Jare</t>
  </si>
  <si>
    <t>Tillman, Jasm</t>
  </si>
  <si>
    <t>Sears, Jole</t>
  </si>
  <si>
    <t>Cervantes, Jona</t>
  </si>
  <si>
    <t>Brown, Karl</t>
  </si>
  <si>
    <t>Bender, Kary</t>
  </si>
  <si>
    <t>Roach, Kimb</t>
  </si>
  <si>
    <t>Fry, Lanc</t>
  </si>
  <si>
    <t>Rocha, Lati</t>
  </si>
  <si>
    <t>Erickson, Lero</t>
  </si>
  <si>
    <t>Shields, Lila</t>
  </si>
  <si>
    <t>Trujillo, Made</t>
  </si>
  <si>
    <t>Davis, Mage</t>
  </si>
  <si>
    <t>Byrd, Mait</t>
  </si>
  <si>
    <t>Hebert, Mart</t>
  </si>
  <si>
    <t>Turner, Matt</t>
  </si>
  <si>
    <t>Roy, Miri</t>
  </si>
  <si>
    <t>Yates, Nata</t>
  </si>
  <si>
    <t>Case, Nere</t>
  </si>
  <si>
    <t>Neal, Nich</t>
  </si>
  <si>
    <t>Kirkland, Nich</t>
  </si>
  <si>
    <t>Bailey, Noel</t>
  </si>
  <si>
    <t>Dunlap, Noel</t>
  </si>
  <si>
    <t>Hines, Octa</t>
  </si>
  <si>
    <t>Morales, Pric</t>
  </si>
  <si>
    <t>Rodgers, Quai</t>
  </si>
  <si>
    <t>Stevens, Raph</t>
  </si>
  <si>
    <t>Aguilar, Raym</t>
  </si>
  <si>
    <t>Briggs, Shan</t>
  </si>
  <si>
    <t>Haynes, Solo</t>
  </si>
  <si>
    <t>Fuller, Sylv</t>
  </si>
  <si>
    <t>Houston, Taty</t>
  </si>
  <si>
    <t>Duran, Tyro</t>
  </si>
  <si>
    <t>Harvey, Urie</t>
  </si>
  <si>
    <t>Gilliam, Vann</t>
  </si>
  <si>
    <t>Lowe, Warr</t>
  </si>
  <si>
    <t>Blevins, Whil</t>
  </si>
  <si>
    <t>Meyers, Will</t>
  </si>
  <si>
    <t>Campos, Xeno</t>
  </si>
  <si>
    <t>Adkins, Britany</t>
  </si>
  <si>
    <t>Hopper, Aladdiy</t>
  </si>
  <si>
    <t>Castro, Aquilay</t>
  </si>
  <si>
    <t>Richard, Beatriy</t>
  </si>
  <si>
    <t>Cox, Ceciliy</t>
  </si>
  <si>
    <t>Justice, Fletchy</t>
  </si>
  <si>
    <t>Mcneil, Luciusy</t>
  </si>
  <si>
    <t>Houston, Melindy</t>
  </si>
  <si>
    <t>Cox, Phylliy</t>
  </si>
  <si>
    <t>Brooks, Quinlay</t>
  </si>
  <si>
    <t>Stanton, Shelbyy</t>
  </si>
  <si>
    <t>Alexander, Travisy</t>
  </si>
  <si>
    <t>Shaffer, Veroniy</t>
  </si>
  <si>
    <t>Harmon, Virginy</t>
  </si>
  <si>
    <t>Alston, Walkery</t>
  </si>
  <si>
    <t>Espinoza, Yolanda</t>
  </si>
  <si>
    <t>Joyner, Midge</t>
  </si>
  <si>
    <t>Customer database - web sales current through November 2022</t>
  </si>
  <si>
    <t>Anderson, Diane</t>
  </si>
  <si>
    <t>Andrews, Michael</t>
  </si>
  <si>
    <t>Ashley, Danielle</t>
  </si>
  <si>
    <t>Atkinson, William</t>
  </si>
  <si>
    <t>Austin, Polly</t>
  </si>
  <si>
    <t>Ayala, Heidi</t>
  </si>
  <si>
    <t>Barker, Deborah</t>
  </si>
  <si>
    <t>Bean, Raquel</t>
  </si>
  <si>
    <t>Booth, Michael</t>
  </si>
  <si>
    <t>Bowman, Kevin</t>
  </si>
  <si>
    <t>Burnett, Max</t>
  </si>
  <si>
    <t>Cabe, Lon</t>
  </si>
  <si>
    <t>Cain, John</t>
  </si>
  <si>
    <t>Cameron, Jenny</t>
  </si>
  <si>
    <t>Cannon, Allan</t>
  </si>
  <si>
    <t>Carter, Sheri</t>
  </si>
  <si>
    <t>Castillo, Jessica</t>
  </si>
  <si>
    <t>Chapman, Melissa</t>
  </si>
  <si>
    <t>Christian, Nicole</t>
  </si>
  <si>
    <t>Cobb, Hunyen</t>
  </si>
  <si>
    <t>Curry, Dale</t>
  </si>
  <si>
    <t>Delgado, Leslie</t>
  </si>
  <si>
    <t>Doyle, Phillip</t>
  </si>
  <si>
    <t>Edwards, Derrell</t>
  </si>
  <si>
    <t>Espinoza, Suzanne</t>
  </si>
  <si>
    <t>Farmer, George</t>
  </si>
  <si>
    <t>Fitzgerald, Matt</t>
  </si>
  <si>
    <t>Ford, Ellen</t>
  </si>
  <si>
    <t>Fox, William</t>
  </si>
  <si>
    <t>Frank, Dennis</t>
  </si>
  <si>
    <t>Freeman, Robert</t>
  </si>
  <si>
    <t>French, Adam</t>
  </si>
  <si>
    <t>Frost, Shannon</t>
  </si>
  <si>
    <t>Gilbert, John</t>
  </si>
  <si>
    <t>Glass, Diane</t>
  </si>
  <si>
    <t>Gordon, Leonard</t>
  </si>
  <si>
    <t>Grant, Regina</t>
  </si>
  <si>
    <t>Gutierrez, Cynthia</t>
  </si>
  <si>
    <t>Harper, Edward</t>
  </si>
  <si>
    <t>Hayes, Debra</t>
  </si>
  <si>
    <t>Henson, Shawn</t>
  </si>
  <si>
    <t>Herrera, Angela</t>
  </si>
  <si>
    <t>Higgins, Chris</t>
  </si>
  <si>
    <t>Holloway, George</t>
  </si>
  <si>
    <t>Horn, Douglas</t>
  </si>
  <si>
    <t>Howell, Lisa</t>
  </si>
  <si>
    <t>Hunter, Eric</t>
  </si>
  <si>
    <t>Jackson, Elaine</t>
  </si>
  <si>
    <t>Jefferson, Scott</t>
  </si>
  <si>
    <t>Jenkins, Gary</t>
  </si>
  <si>
    <t>Jennings, Michael</t>
  </si>
  <si>
    <t>Kirby, Erin</t>
  </si>
  <si>
    <t>Lawson, Deborah</t>
  </si>
  <si>
    <t>Lindsey, Gary</t>
  </si>
  <si>
    <t>Long, Scott</t>
  </si>
  <si>
    <t>Lynch, Lowell</t>
  </si>
  <si>
    <t>Mann, Richard</t>
  </si>
  <si>
    <t>Morrow, Brian</t>
  </si>
  <si>
    <t>Morton, Mark</t>
  </si>
  <si>
    <t>Moses, Sally</t>
  </si>
  <si>
    <t>Neal, Chris</t>
  </si>
  <si>
    <t>Preston, Nathaniel</t>
  </si>
  <si>
    <t>Ramsey, Elizabeth</t>
  </si>
  <si>
    <t>Reid, Douglas</t>
  </si>
  <si>
    <t>Rivers, Teri</t>
  </si>
  <si>
    <t>Roman, Michael</t>
  </si>
  <si>
    <t>Schmidt, Todd</t>
  </si>
  <si>
    <t>Scott, Al</t>
  </si>
  <si>
    <t>Serrano, Kevin</t>
  </si>
  <si>
    <t>Shannon, Pat</t>
  </si>
  <si>
    <t>Shaw, Annie</t>
  </si>
  <si>
    <t>Shepherd, Daniel</t>
  </si>
  <si>
    <t>Solis, Christopher</t>
  </si>
  <si>
    <t>Soto, Eric</t>
  </si>
  <si>
    <t>Stanley, Bryant</t>
  </si>
  <si>
    <t>Vargas, Michael</t>
  </si>
  <si>
    <t>Vasquez, Stephen</t>
  </si>
  <si>
    <t>Villarreal, Brian</t>
  </si>
  <si>
    <t>Walls, Ann</t>
  </si>
  <si>
    <t>Walters, Williams</t>
  </si>
  <si>
    <t>Ward, Gary</t>
  </si>
  <si>
    <t>Watkins, Carlos</t>
  </si>
  <si>
    <t>Wells, Jeffrey</t>
  </si>
  <si>
    <t>West, Gustavo</t>
  </si>
  <si>
    <t>Wiley, William</t>
  </si>
  <si>
    <t>William, Jessica</t>
  </si>
  <si>
    <t>Wilson, Charles</t>
  </si>
  <si>
    <t>Woodard, Jonathan</t>
  </si>
  <si>
    <t>Dawson, Brian</t>
  </si>
  <si>
    <t>Duran, Lisa</t>
  </si>
  <si>
    <t>Page, Hector</t>
  </si>
  <si>
    <t>Taylor, Larry</t>
  </si>
  <si>
    <t>Weber, Timothy</t>
  </si>
  <si>
    <t>Allison, Barney</t>
  </si>
  <si>
    <t>Baker, Roger</t>
  </si>
  <si>
    <t>Copeland, Troy</t>
  </si>
  <si>
    <t>Durham, Leonard</t>
  </si>
  <si>
    <t>Figueroa, Terry</t>
  </si>
  <si>
    <t>Garner, Robin</t>
  </si>
  <si>
    <t>Hutchinson, John</t>
  </si>
  <si>
    <t>Lloyd, Jill</t>
  </si>
  <si>
    <t>Maxwell, Preston</t>
  </si>
  <si>
    <t>McCoy, Scott</t>
  </si>
  <si>
    <t>McDowell, Michael</t>
  </si>
  <si>
    <t>Molina, Randy</t>
  </si>
  <si>
    <t>Nixon, Timothy</t>
  </si>
  <si>
    <t>Park, Donald</t>
  </si>
  <si>
    <t>Perkins, ReAnnon</t>
  </si>
  <si>
    <t>Ray, Eileen</t>
  </si>
  <si>
    <t>Roberson, Stephen</t>
  </si>
  <si>
    <t>Silva, Shaun</t>
  </si>
  <si>
    <t>Winters, Craig</t>
  </si>
  <si>
    <t>Beck, Sperry</t>
  </si>
  <si>
    <t>Blair, John</t>
  </si>
  <si>
    <t>Bond, Lesa</t>
  </si>
  <si>
    <t>Carroll, Gabriel</t>
  </si>
  <si>
    <t>Chang, Matthew</t>
  </si>
  <si>
    <t>Dunn, Irv</t>
  </si>
  <si>
    <t>Fleming, Michelle</t>
  </si>
  <si>
    <t>McKenzie, Dennis</t>
  </si>
  <si>
    <t>Nguyen, Gretchen</t>
  </si>
  <si>
    <t>Phelps, Dawn</t>
  </si>
  <si>
    <t>Potter, Charles</t>
  </si>
  <si>
    <t>Thornton, Benjamin</t>
  </si>
  <si>
    <t>Walton, Kelly</t>
  </si>
  <si>
    <t>Wyatt, Andrea</t>
  </si>
  <si>
    <t>Carey, Peter</t>
  </si>
  <si>
    <t>Foley, Ed</t>
  </si>
  <si>
    <t>Gomez, Douglas</t>
  </si>
  <si>
    <t>Hawkins, Robin</t>
  </si>
  <si>
    <t>Hill, Deborah</t>
  </si>
  <si>
    <t>Kim, Linda</t>
  </si>
  <si>
    <t>Landry, Daniel</t>
  </si>
  <si>
    <t>Malone, Bruce</t>
  </si>
  <si>
    <t>Norton, Gretchen</t>
  </si>
  <si>
    <t>Becker, Judith</t>
  </si>
  <si>
    <t>Booker, Bryan</t>
  </si>
  <si>
    <t>Briggs, Greg</t>
  </si>
  <si>
    <t>Bullock, Gregory</t>
  </si>
  <si>
    <t>Clayton, Brett</t>
  </si>
  <si>
    <t>Conway, Denise</t>
  </si>
  <si>
    <t>Cunningham, Jaquelyn</t>
  </si>
  <si>
    <t>Deleon, Matthew</t>
  </si>
  <si>
    <t>Dorsey, Laura</t>
  </si>
  <si>
    <t>Farrell, Brian</t>
  </si>
  <si>
    <t>Fletcher, Kathleen</t>
  </si>
  <si>
    <t>Flowers, Anthony</t>
  </si>
  <si>
    <t>Gardner, Kuyler</t>
  </si>
  <si>
    <t>Goodman, Michelle</t>
  </si>
  <si>
    <t>Griffith, Robert</t>
  </si>
  <si>
    <t>Hammond, Erin</t>
  </si>
  <si>
    <t>Harding, Paul</t>
  </si>
  <si>
    <t>Harmon, John</t>
  </si>
  <si>
    <t>Hickman, Renee</t>
  </si>
  <si>
    <t>Hood, Lorna</t>
  </si>
  <si>
    <t>Hudson, Erik</t>
  </si>
  <si>
    <t>Huff, Lynn</t>
  </si>
  <si>
    <t>James, Angus</t>
  </si>
  <si>
    <t>Kent, Ronald</t>
  </si>
  <si>
    <t>Lawrence, Kathleen</t>
  </si>
  <si>
    <t>Martinez, Diane</t>
  </si>
  <si>
    <t>Matthews, Steve</t>
  </si>
  <si>
    <t>May, Debra</t>
  </si>
  <si>
    <t>McDonald, Bobby</t>
  </si>
  <si>
    <t>Mendoza, Patricia</t>
  </si>
  <si>
    <t>Morgan, Angela</t>
  </si>
  <si>
    <t>Mullins, Marc</t>
  </si>
  <si>
    <t>Navarro, Nathaniel</t>
  </si>
  <si>
    <t>Nichols, Lee</t>
  </si>
  <si>
    <t>Nicholson, Tamara</t>
  </si>
  <si>
    <t>Norris, Christopher</t>
  </si>
  <si>
    <t>Perry, Dana</t>
  </si>
  <si>
    <t>Pitts, Tracy</t>
  </si>
  <si>
    <t>Poole, Rachel</t>
  </si>
  <si>
    <t>Porter, Tia</t>
  </si>
  <si>
    <t>Powers, Randy</t>
  </si>
  <si>
    <t>Pruitt, Debbie</t>
  </si>
  <si>
    <t>Richardson, Gay</t>
  </si>
  <si>
    <t>Schneider, Karin</t>
  </si>
  <si>
    <t>Sherman, Robert</t>
  </si>
  <si>
    <t>Simmons, Jimmy</t>
  </si>
  <si>
    <t>Simpson, Gerald</t>
  </si>
  <si>
    <t>Steele, Brian</t>
  </si>
  <si>
    <t>Stone, Vicki</t>
  </si>
  <si>
    <t>Swanson, John</t>
  </si>
  <si>
    <t>Thompson, Cheryl</t>
  </si>
  <si>
    <t>Vance, Timothy</t>
  </si>
  <si>
    <t>Wallace, Jean</t>
  </si>
  <si>
    <t>Warren, Marisa</t>
  </si>
  <si>
    <t>Weiss, Meegan</t>
  </si>
  <si>
    <t>Wheeler, Carolyn</t>
  </si>
  <si>
    <t>Whitehead, Keith</t>
  </si>
  <si>
    <t>Wolfe, Steven</t>
  </si>
  <si>
    <t>York, Bruce</t>
  </si>
  <si>
    <t>Cohen, Jack</t>
  </si>
  <si>
    <t>Cortez, Gregory</t>
  </si>
  <si>
    <t>Hardin, Neill</t>
  </si>
  <si>
    <t>Juarez, Mihaela</t>
  </si>
  <si>
    <t>Kerr, Therese</t>
  </si>
  <si>
    <t>Pacheco, Jonathan</t>
  </si>
  <si>
    <t>Stokes, Kevin</t>
  </si>
  <si>
    <t>Wade, Brenda</t>
  </si>
  <si>
    <t>Barnett, Robert</t>
  </si>
  <si>
    <t>Daniel, Jon</t>
  </si>
  <si>
    <t>Gregory, Denise</t>
  </si>
  <si>
    <t>Knight, Warren</t>
  </si>
  <si>
    <t>Medina, Shira</t>
  </si>
  <si>
    <t>Nelson, Jan</t>
  </si>
  <si>
    <t>Ramos, Matt</t>
  </si>
  <si>
    <t>Stephenson, John</t>
  </si>
  <si>
    <t>Wall, Sonia</t>
  </si>
  <si>
    <t>Alvarado, Robert</t>
  </si>
  <si>
    <t>Anthony, Martin</t>
  </si>
  <si>
    <t>Ballard, Ryan</t>
  </si>
  <si>
    <t>Banks, Chris</t>
  </si>
  <si>
    <t>Bennett, Lara</t>
  </si>
  <si>
    <t>Best, Diane</t>
  </si>
  <si>
    <t>Chandler, Rebecca</t>
  </si>
  <si>
    <t>Cline, James</t>
  </si>
  <si>
    <t>Dudley, Brenda</t>
  </si>
  <si>
    <t>Ellis, Eric</t>
  </si>
  <si>
    <t>Floyd, John</t>
  </si>
  <si>
    <t>Fowler, Chris</t>
  </si>
  <si>
    <t>Garrison, Brian</t>
  </si>
  <si>
    <t>Greer, Karen</t>
  </si>
  <si>
    <t>Guerra, Laura</t>
  </si>
  <si>
    <t>Guerrero, Allen</t>
  </si>
  <si>
    <t>Hancock, Brian</t>
  </si>
  <si>
    <t>Hess, Herb</t>
  </si>
  <si>
    <t>Hines, Lisa</t>
  </si>
  <si>
    <t>Hodges, Rodney</t>
  </si>
  <si>
    <t>Luna, Barry</t>
  </si>
  <si>
    <t>Mack, Marcia</t>
  </si>
  <si>
    <t>Mathews, Steven</t>
  </si>
  <si>
    <t>McClain, Richelle</t>
  </si>
  <si>
    <t>Morris, Michael</t>
  </si>
  <si>
    <t>Mosley, Rebecca</t>
  </si>
  <si>
    <t>Murray, Melanie</t>
  </si>
  <si>
    <t>Olson, Jennifer</t>
  </si>
  <si>
    <t>Orr, Joseph</t>
  </si>
  <si>
    <t>Pace, Shaun</t>
  </si>
  <si>
    <t>Peterson, Greg</t>
  </si>
  <si>
    <t>Reeves, Suzanne</t>
  </si>
  <si>
    <t>Robbins, Mark</t>
  </si>
  <si>
    <t>Russell, Corey</t>
  </si>
  <si>
    <t>Saunders, Catherine</t>
  </si>
  <si>
    <t>Sawyer, Jason</t>
  </si>
  <si>
    <t>Skinner, Matthew</t>
  </si>
  <si>
    <t>Sutton, Karin</t>
  </si>
  <si>
    <t>Terry, Todd</t>
  </si>
  <si>
    <t>Underwood, Matthew</t>
  </si>
  <si>
    <t>Walsh, Dennis</t>
  </si>
  <si>
    <t>Wong, Doug</t>
  </si>
  <si>
    <t>Yates, Eric</t>
  </si>
  <si>
    <t>Boone, Richard</t>
  </si>
  <si>
    <t>Campos, Kenneth</t>
  </si>
  <si>
    <t>Douglas, Terry</t>
  </si>
  <si>
    <t>Gilmore, Elena</t>
  </si>
  <si>
    <t>Miranda, Kristin</t>
  </si>
  <si>
    <t>Randolph, Randy</t>
  </si>
  <si>
    <t>Romero, Chad</t>
  </si>
  <si>
    <t>Tran, Thomas</t>
  </si>
  <si>
    <t>Allen, Kevin</t>
  </si>
  <si>
    <t>Atkins, Douglas</t>
  </si>
  <si>
    <t>Ayers, Robbie</t>
  </si>
  <si>
    <t>Barber, Michael</t>
  </si>
  <si>
    <t>Barron, Verna</t>
  </si>
  <si>
    <t>Bates, Teresa</t>
  </si>
  <si>
    <t>Baxter, David</t>
  </si>
  <si>
    <t>Bell, Troy</t>
  </si>
  <si>
    <t>Benson, Jacklyn</t>
  </si>
  <si>
    <t>Berry, Kathryn</t>
  </si>
  <si>
    <t>Blackburn, Debra</t>
  </si>
  <si>
    <t>Boyd, John</t>
  </si>
  <si>
    <t>Boyer, Raymond</t>
  </si>
  <si>
    <t>Bradford, David</t>
  </si>
  <si>
    <t>Bradley, Traci</t>
  </si>
  <si>
    <t>Brady, Jeff</t>
  </si>
  <si>
    <t>Bridges, Ensley</t>
  </si>
  <si>
    <t>Brock, Kathleen</t>
  </si>
  <si>
    <t>Browning, Cherie</t>
  </si>
  <si>
    <t>Burgess, Fiona</t>
  </si>
  <si>
    <t>Burns, Roy</t>
  </si>
  <si>
    <t>Butler, Marilyn</t>
  </si>
  <si>
    <t>Callahan, Stephanie</t>
  </si>
  <si>
    <t>Camacho, Robert</t>
  </si>
  <si>
    <t>Carrillo, Anthony</t>
  </si>
  <si>
    <t>Carson, Christopher</t>
  </si>
  <si>
    <t>Castro, Richard</t>
  </si>
  <si>
    <t>Chambers, William</t>
  </si>
  <si>
    <t>Clay, Elbert</t>
  </si>
  <si>
    <t>Cole, Roque</t>
  </si>
  <si>
    <t>Coleman, Michael</t>
  </si>
  <si>
    <t>Collins, Donnie</t>
  </si>
  <si>
    <t>Colon, Rick</t>
  </si>
  <si>
    <t>Combs, Mark</t>
  </si>
  <si>
    <t>Conner, Stephanie</t>
  </si>
  <si>
    <t>Cox, Jaime</t>
  </si>
  <si>
    <t>Davidson, David</t>
  </si>
  <si>
    <t>Day, Amy</t>
  </si>
  <si>
    <t>Decker, David</t>
  </si>
  <si>
    <t>Diaz, Lincoln</t>
  </si>
  <si>
    <t>Dickerson, Richard</t>
  </si>
  <si>
    <t>Dixon, Duane</t>
  </si>
  <si>
    <t>Dominguez, Kyle</t>
  </si>
  <si>
    <t>Drake, Cris</t>
  </si>
  <si>
    <t>Eaton, Anthony</t>
  </si>
  <si>
    <t>Elliott, David</t>
  </si>
  <si>
    <t>English, Marie</t>
  </si>
  <si>
    <t>Fernandez, Cathy</t>
  </si>
  <si>
    <t>Fields, James</t>
  </si>
  <si>
    <t>Finley, Angela</t>
  </si>
  <si>
    <t>Flores, Todd</t>
  </si>
  <si>
    <t>Francis, Chris</t>
  </si>
  <si>
    <t>Frazier, Brenda</t>
  </si>
  <si>
    <t>Fuller, Debra</t>
  </si>
  <si>
    <t>Gibbs, Eugene</t>
  </si>
  <si>
    <t>Glover, Christine</t>
  </si>
  <si>
    <t>Golden, Alexander</t>
  </si>
  <si>
    <t>Greene, Catherine</t>
  </si>
  <si>
    <t>Hampton, Brian</t>
  </si>
  <si>
    <t>Harris, Jonathan</t>
  </si>
  <si>
    <t>Harrison, Ernest</t>
  </si>
  <si>
    <t>Haynes, Deborah</t>
  </si>
  <si>
    <t>Heath, Henrietta</t>
  </si>
  <si>
    <t>Herman, Joanna</t>
  </si>
  <si>
    <t>Herring, Scott</t>
  </si>
  <si>
    <t>Hobbs, Paul</t>
  </si>
  <si>
    <t>House, Mark</t>
  </si>
  <si>
    <t>Houston, Ignacio</t>
  </si>
  <si>
    <t>Huffman, Andrew</t>
  </si>
  <si>
    <t>Humphrey, Thomas</t>
  </si>
  <si>
    <t>Hurst, Florianne</t>
  </si>
  <si>
    <t>Jacobs, Christopher</t>
  </si>
  <si>
    <t>Joseph, Holly</t>
  </si>
  <si>
    <t>Kemp, David</t>
  </si>
  <si>
    <t>Larson, Steve</t>
  </si>
  <si>
    <t>Little, Karen</t>
  </si>
  <si>
    <t>Logan, Brian</t>
  </si>
  <si>
    <t>Lyons, John</t>
  </si>
  <si>
    <t>Manning, Anita</t>
  </si>
  <si>
    <t>Marshall, Grazyna</t>
  </si>
  <si>
    <t>McBride, Keith</t>
  </si>
  <si>
    <t>McCall, Justin</t>
  </si>
  <si>
    <t>McConnell, Carol</t>
  </si>
  <si>
    <t>McGee, Rebecca</t>
  </si>
  <si>
    <t>McGuire, Michelle</t>
  </si>
  <si>
    <t>McKee, Chris</t>
  </si>
  <si>
    <t>McKinney, Edward</t>
  </si>
  <si>
    <t>McLaughlin, Scott</t>
  </si>
  <si>
    <t>Melton, Max</t>
  </si>
  <si>
    <t>Mendez, David</t>
  </si>
  <si>
    <t>Mercado, Kevin</t>
  </si>
  <si>
    <t>Merritt, Charles</t>
  </si>
  <si>
    <t>Meyer, David</t>
  </si>
  <si>
    <t>Meyers, Jessica</t>
  </si>
  <si>
    <t>Miller, Shannon</t>
  </si>
  <si>
    <t>Mitchell, Carol</t>
  </si>
  <si>
    <t>Moran, Chan</t>
  </si>
  <si>
    <t>Moss, Mark</t>
  </si>
  <si>
    <t>Nash, William</t>
  </si>
  <si>
    <t>Oneal, Bill</t>
  </si>
  <si>
    <t>Osborne, Carl</t>
  </si>
  <si>
    <t>Parker, Debra</t>
  </si>
  <si>
    <t>Parrish, Donald</t>
  </si>
  <si>
    <t>Patel, Wendy</t>
  </si>
  <si>
    <t>Patrick, Vicky</t>
  </si>
  <si>
    <t>Payne, Cassy</t>
  </si>
  <si>
    <t>Pearson, Erik</t>
  </si>
  <si>
    <t>Pena, Kim</t>
  </si>
  <si>
    <t>Perez, Robert</t>
  </si>
  <si>
    <t>Peters, Timothy</t>
  </si>
  <si>
    <t>Petersen, Karen</t>
  </si>
  <si>
    <t>Pierce, Bacardi</t>
  </si>
  <si>
    <t>Pittman, Juli</t>
  </si>
  <si>
    <t>Powell, Diana</t>
  </si>
  <si>
    <t>Price, Brenda</t>
  </si>
  <si>
    <t>Rhodes, Diane</t>
  </si>
  <si>
    <t>Rice, Karen</t>
  </si>
  <si>
    <t>Richard, Richard</t>
  </si>
  <si>
    <t>Richards, Fredrick</t>
  </si>
  <si>
    <t>Rios, John</t>
  </si>
  <si>
    <t>Robinson, Scott</t>
  </si>
  <si>
    <t>Rodriguez, Charles</t>
  </si>
  <si>
    <t>Rojas, Tony</t>
  </si>
  <si>
    <t>Roth, Ryan</t>
  </si>
  <si>
    <t>Ryan, Troy</t>
  </si>
  <si>
    <t>Sanders, Norman</t>
  </si>
  <si>
    <t>Schultz, John</t>
  </si>
  <si>
    <t>Sexton, Janine</t>
  </si>
  <si>
    <t>Sharp, Donna</t>
  </si>
  <si>
    <t>Shelton, Cindy</t>
  </si>
  <si>
    <t>Sloan, Athanasios</t>
  </si>
  <si>
    <t>Small, Koleen</t>
  </si>
  <si>
    <t>Smith, Desiree</t>
  </si>
  <si>
    <t>Snow, Rhonda</t>
  </si>
  <si>
    <t>Stafford, Elizabeth</t>
  </si>
  <si>
    <t>Stewart, Robert</t>
  </si>
  <si>
    <t>Sullivan, Harold</t>
  </si>
  <si>
    <t>Summers, Zachary</t>
  </si>
  <si>
    <t>Tate, Shawn</t>
  </si>
  <si>
    <t>Trujillo, Clint</t>
  </si>
  <si>
    <t>Velasquez, Guy</t>
  </si>
  <si>
    <t>Vincent, Mike</t>
  </si>
  <si>
    <t>Walker, Phillip</t>
  </si>
  <si>
    <t>Washington, Christian</t>
  </si>
  <si>
    <t>Watson, Eric</t>
  </si>
  <si>
    <t>Weaver, Jessica</t>
  </si>
  <si>
    <t>Whitaker, Gregory</t>
  </si>
  <si>
    <t>Wilkinson, Sumed</t>
  </si>
  <si>
    <t>Williamson, Brad</t>
  </si>
  <si>
    <t>Wright, Charles</t>
  </si>
  <si>
    <t>Alexander, Susan</t>
  </si>
  <si>
    <t>Carr, Dennis</t>
  </si>
  <si>
    <t>Hanson, Glenn</t>
  </si>
  <si>
    <t>Hernandez, Jackie</t>
  </si>
  <si>
    <t>Roberts, John</t>
  </si>
  <si>
    <t>Savage, Larry</t>
  </si>
  <si>
    <t>Wood, Jennifer</t>
  </si>
  <si>
    <t>Barr, Juan</t>
  </si>
  <si>
    <t>Bishop, Carey</t>
  </si>
  <si>
    <t>Blevins, Richard</t>
  </si>
  <si>
    <t>Brooks, Douglas</t>
  </si>
  <si>
    <t>Bryant, Patricia</t>
  </si>
  <si>
    <t>Buckel, Rena</t>
  </si>
  <si>
    <t>Bush, Pete</t>
  </si>
  <si>
    <t>Caldwell, Michael</t>
  </si>
  <si>
    <t>Campbell, Thomas</t>
  </si>
  <si>
    <t>Chavez, Dan</t>
  </si>
  <si>
    <t>Everett, David</t>
  </si>
  <si>
    <t>Fischer, Douglas</t>
  </si>
  <si>
    <t>Gill, David</t>
  </si>
  <si>
    <t>Gonzales, Debbi</t>
  </si>
  <si>
    <t>Griffin, Theo</t>
  </si>
  <si>
    <t>Hamilton, Daniel</t>
  </si>
  <si>
    <t>Hogan, Tito</t>
  </si>
  <si>
    <t>Holmes, Lisa</t>
  </si>
  <si>
    <t>Howard, Jeanne</t>
  </si>
  <si>
    <t>Hull, Matt</t>
  </si>
  <si>
    <t>Ingram, Kristina</t>
  </si>
  <si>
    <t>Jensen, Chad</t>
  </si>
  <si>
    <t>Johns, Daniel</t>
  </si>
  <si>
    <t>Johnston, John</t>
  </si>
  <si>
    <t>Jones, Lori</t>
  </si>
  <si>
    <t>Knox, Danielle</t>
  </si>
  <si>
    <t>Koch, Jody</t>
  </si>
  <si>
    <t>Lambert, Jingwen</t>
  </si>
  <si>
    <t>Leach, Danny</t>
  </si>
  <si>
    <t>Love, Charles</t>
  </si>
  <si>
    <t>Lowery, Thomas</t>
  </si>
  <si>
    <t>Marquez, Richard</t>
  </si>
  <si>
    <t>McLean, Robert</t>
  </si>
  <si>
    <t>Moore, Corey</t>
  </si>
  <si>
    <t>Patton, Robert</t>
  </si>
  <si>
    <t>Prince, Yvonne</t>
  </si>
  <si>
    <t>Randall, Larry</t>
  </si>
  <si>
    <t>Reed, Mary</t>
  </si>
  <si>
    <t>Reyes, Barbara</t>
  </si>
  <si>
    <t>Reynolds, Charles</t>
  </si>
  <si>
    <t>Robles, Janice</t>
  </si>
  <si>
    <t>Ross, William</t>
  </si>
  <si>
    <t>Sellers, Sheila</t>
  </si>
  <si>
    <t>Simon, Melanie</t>
  </si>
  <si>
    <t>Spears, Bonnie</t>
  </si>
  <si>
    <t>Stephens, Gary</t>
  </si>
  <si>
    <t>Trevino, James</t>
  </si>
  <si>
    <t>Tucker, Ann</t>
  </si>
  <si>
    <t>Valdez, Alfred</t>
  </si>
  <si>
    <t>Waters, Troy</t>
  </si>
  <si>
    <t>Weeks, David</t>
  </si>
  <si>
    <t>Adams, Justin</t>
  </si>
  <si>
    <t>Bass, Dac Vinh</t>
  </si>
  <si>
    <t>Calhoun, Jaime</t>
  </si>
  <si>
    <t>Chen, Dennis</t>
  </si>
  <si>
    <t>Clarke, Jose</t>
  </si>
  <si>
    <t>Cummings, Patrick</t>
  </si>
  <si>
    <t>Curtis, Joan</t>
  </si>
  <si>
    <t>Estrada, Rolin</t>
  </si>
  <si>
    <t>Evans, Rick</t>
  </si>
  <si>
    <t>Gallegos, Anne</t>
  </si>
  <si>
    <t>Gates, Davin</t>
  </si>
  <si>
    <t>Gross, Deon</t>
  </si>
  <si>
    <t>Hale, Svetlana</t>
  </si>
  <si>
    <t>Hardy, Mark</t>
  </si>
  <si>
    <t>Lara, Charles</t>
  </si>
  <si>
    <t>Lee, Michelle</t>
  </si>
  <si>
    <t>Lowe, Shari</t>
  </si>
  <si>
    <t>Mathis, Chris</t>
  </si>
  <si>
    <t>Montgomery, Michael</t>
  </si>
  <si>
    <t>Morse, Leigh</t>
  </si>
  <si>
    <t>Newton, Michael</t>
  </si>
  <si>
    <t>Noble, Benning</t>
  </si>
  <si>
    <t>Nunez, Francisco</t>
  </si>
  <si>
    <t>Oliver, Christopher</t>
  </si>
  <si>
    <t>Padilla, Marc</t>
  </si>
  <si>
    <t>Reese, Brent</t>
  </si>
  <si>
    <t>Rich, Nathan</t>
  </si>
  <si>
    <t>Robertson, Garret</t>
  </si>
  <si>
    <t>Santos, Nobuko</t>
  </si>
  <si>
    <t>Shaffer, Robert</t>
  </si>
  <si>
    <t>Shields, Jerry</t>
  </si>
  <si>
    <t>Townsend, Kenneth</t>
  </si>
  <si>
    <t>Vazquez, Lynne</t>
  </si>
  <si>
    <t>Wagner, Ted</t>
  </si>
  <si>
    <t>Wise, Tim</t>
  </si>
  <si>
    <t>Woodward, Benjamin</t>
  </si>
  <si>
    <t>Young, Julia</t>
  </si>
  <si>
    <t>Bartlett, Barry</t>
  </si>
  <si>
    <t>Barton, Dean</t>
  </si>
  <si>
    <t>Contreras, Marc</t>
  </si>
  <si>
    <t>Cross, David</t>
  </si>
  <si>
    <t>Dodson, Mary</t>
  </si>
  <si>
    <t>Estes, Anthony</t>
  </si>
  <si>
    <t>Garza, John</t>
  </si>
  <si>
    <t>Gentry, Michael</t>
  </si>
  <si>
    <t>Hartman, John</t>
  </si>
  <si>
    <t>Lamb, Robert</t>
  </si>
  <si>
    <t>Maldonado, Phillip</t>
  </si>
  <si>
    <t>Parsons, Denise</t>
  </si>
  <si>
    <t>Rodriquez, Curtis</t>
  </si>
  <si>
    <t>Watts, Jim</t>
  </si>
  <si>
    <t>Webb, Scott</t>
  </si>
  <si>
    <t>Williams, James</t>
  </si>
  <si>
    <t>Abbott, Robert</t>
  </si>
  <si>
    <t>Acosta, Michael</t>
  </si>
  <si>
    <t>Adkins, Kevin</t>
  </si>
  <si>
    <t>Aguilar, Steven</t>
  </si>
  <si>
    <t>Alvarez, Jody</t>
  </si>
  <si>
    <t>Avila, Ray</t>
  </si>
  <si>
    <t>Baldwin, Grant</t>
  </si>
  <si>
    <t>Barnes, Cliff</t>
  </si>
  <si>
    <t>Black, Roger</t>
  </si>
  <si>
    <t>Blankenship, Brady</t>
  </si>
  <si>
    <t>Branch, Kevin</t>
  </si>
  <si>
    <t>Bruce, Ronald</t>
  </si>
  <si>
    <t>Carpenter, Jeffrey</t>
  </si>
  <si>
    <t>Charles, William</t>
  </si>
  <si>
    <t>Clark, Dean</t>
  </si>
  <si>
    <t>Collier, Lisa</t>
  </si>
  <si>
    <t>Cooper, Gayla</t>
  </si>
  <si>
    <t>Dean, Paul</t>
  </si>
  <si>
    <t>Dennis, George</t>
  </si>
  <si>
    <t>Duncan, Carrie</t>
  </si>
  <si>
    <t>Dyer, John</t>
  </si>
  <si>
    <t>Ferguson, Maria</t>
  </si>
  <si>
    <t>Fisher, Blane</t>
  </si>
  <si>
    <t>Foster, Sheela</t>
  </si>
  <si>
    <t>Gaines, Christopher</t>
  </si>
  <si>
    <t>Glenn, Don</t>
  </si>
  <si>
    <t>Guzman, Cristin</t>
  </si>
  <si>
    <t>Harrell, Aron</t>
  </si>
  <si>
    <t>Harrington, Carl</t>
  </si>
  <si>
    <t>Hatfield, Craig</t>
  </si>
  <si>
    <t>Hodge, Brian D</t>
  </si>
  <si>
    <t>Hoffman, Robert</t>
  </si>
  <si>
    <t>Holt, Evangeline</t>
  </si>
  <si>
    <t>Hoover, Cleatis</t>
  </si>
  <si>
    <t>Horton, Kevin</t>
  </si>
  <si>
    <t>Hughes, Mary Jo</t>
  </si>
  <si>
    <t>Johnson, Taslim</t>
  </si>
  <si>
    <t>King, Chris</t>
  </si>
  <si>
    <t>Kirk, Brandyn</t>
  </si>
  <si>
    <t>Lane, LaReina</t>
  </si>
  <si>
    <t>Marks, Suzanne</t>
  </si>
  <si>
    <t>Mason, Mark</t>
  </si>
  <si>
    <t>Massey, Hsi</t>
  </si>
  <si>
    <t>McCormick, Tamara</t>
  </si>
  <si>
    <t>McDaniel, Jen</t>
  </si>
  <si>
    <t>Middleton, Kenneth</t>
  </si>
  <si>
    <t>Miles, Justin</t>
  </si>
  <si>
    <t>Monroe, Chris</t>
  </si>
  <si>
    <t>Moreno, Michael</t>
  </si>
  <si>
    <t>Munoz, Jeff</t>
  </si>
  <si>
    <t>Murphy, Madelyn</t>
  </si>
  <si>
    <t>Obrien, Dwight</t>
  </si>
  <si>
    <t>Owens, Michael</t>
  </si>
  <si>
    <t>Paul, Lawrence</t>
  </si>
  <si>
    <t>Pugh, Colleen</t>
  </si>
  <si>
    <t>Rogers, Randall</t>
  </si>
  <si>
    <t>Ruiz, Lateef</t>
  </si>
  <si>
    <t>Rush, Michael</t>
  </si>
  <si>
    <t>Santiago, Bennet</t>
  </si>
  <si>
    <t>Schroeder, Michael</t>
  </si>
  <si>
    <t>Solomon, Andrew</t>
  </si>
  <si>
    <t>Stevens, Lisa</t>
  </si>
  <si>
    <t>Strong, Bruce</t>
  </si>
  <si>
    <t>Torres, Ray</t>
  </si>
  <si>
    <t>Turner, Javier</t>
  </si>
  <si>
    <t>Tyler, Alexandra</t>
  </si>
  <si>
    <t>Vega, Letitia</t>
  </si>
  <si>
    <t>Velez, Michael</t>
  </si>
  <si>
    <t>Walter, Stephen</t>
  </si>
  <si>
    <t>Warner, Robert</t>
  </si>
  <si>
    <t>Wilcox, Marcus</t>
  </si>
  <si>
    <t>Woods, David</t>
  </si>
  <si>
    <t>Armstrong, John</t>
  </si>
  <si>
    <t>Barrett, Sandi</t>
  </si>
  <si>
    <t>Beard, Timothy</t>
  </si>
  <si>
    <t>Beasley, Brandon</t>
  </si>
  <si>
    <t>Blackwell, Thomas</t>
  </si>
  <si>
    <t>Blake, Kes</t>
  </si>
  <si>
    <t>Bowen, Donald</t>
  </si>
  <si>
    <t>Brown, Dennis</t>
  </si>
  <si>
    <t>Buchanan, Ronald</t>
  </si>
  <si>
    <t>Casey, Andrea</t>
  </si>
  <si>
    <t>Cochran, Mark</t>
  </si>
  <si>
    <t>Cook, Alan</t>
  </si>
  <si>
    <t>Craig, Ronald</t>
  </si>
  <si>
    <t>Crawford, Janene</t>
  </si>
  <si>
    <t>Cruz, Janet</t>
  </si>
  <si>
    <t>Daniels, Troy</t>
  </si>
  <si>
    <t>Davenport, Tonya</t>
  </si>
  <si>
    <t>Davis, Melyssa</t>
  </si>
  <si>
    <t>Ellison, Ricky</t>
  </si>
  <si>
    <t>Erickson, Karen</t>
  </si>
  <si>
    <t>Garcia, Chris</t>
  </si>
  <si>
    <t>Garrett, Jessica</t>
  </si>
  <si>
    <t>George, Janet</t>
  </si>
  <si>
    <t>Gibson, Kathleen</t>
  </si>
  <si>
    <t>Giles, David</t>
  </si>
  <si>
    <t>Gonzalez, April</t>
  </si>
  <si>
    <t>Goodwin, David</t>
  </si>
  <si>
    <t>Graham, Michael</t>
  </si>
  <si>
    <t>Graves, Mark</t>
  </si>
  <si>
    <t>Gray, Jeffrey</t>
  </si>
  <si>
    <t>Grimes, Jenny</t>
  </si>
  <si>
    <t>Hall, Andrew</t>
  </si>
  <si>
    <t>Hansen, Richard</t>
  </si>
  <si>
    <t>Hart, Michael</t>
  </si>
  <si>
    <t>Harvey, Anthony</t>
  </si>
  <si>
    <t>Henderson, William</t>
  </si>
  <si>
    <t>Hensley, Monica</t>
  </si>
  <si>
    <t>Hicks, Lisa</t>
  </si>
  <si>
    <t>Hopkins, Sandra</t>
  </si>
  <si>
    <t>Hubbard, Norman</t>
  </si>
  <si>
    <t>Hunt, Dominic</t>
  </si>
  <si>
    <t>Jimenez, Thomas</t>
  </si>
  <si>
    <t>Keith, Jason</t>
  </si>
  <si>
    <t>Keller, Nancy</t>
  </si>
  <si>
    <t>Kelley, Kimberly</t>
  </si>
  <si>
    <t>Kennedy, Robert</t>
  </si>
  <si>
    <t>Klein, Faye</t>
  </si>
  <si>
    <t>Kramer, Dana</t>
  </si>
  <si>
    <t>Lang, Lara</t>
  </si>
  <si>
    <t>Larsen, Paul</t>
  </si>
  <si>
    <t>Leonard, Sherri</t>
  </si>
  <si>
    <t>Lester, Frederick</t>
  </si>
  <si>
    <t>Lewis, Stephen</t>
  </si>
  <si>
    <t>Lopez, Cynthia</t>
  </si>
  <si>
    <t>Marsh, Terry</t>
  </si>
  <si>
    <t>Martin, Gary</t>
  </si>
  <si>
    <t>McClure, Jeremy</t>
  </si>
  <si>
    <t>McIntosh, Melissa</t>
  </si>
  <si>
    <t>Mills, Linda</t>
  </si>
  <si>
    <t>Morales, Julie</t>
  </si>
  <si>
    <t>Morrison, Philip</t>
  </si>
  <si>
    <t>Mueller, Marc</t>
  </si>
  <si>
    <t>Myers, Aria</t>
  </si>
  <si>
    <t>Newman, Jeffrey</t>
  </si>
  <si>
    <t>Ortega, Cynthia</t>
  </si>
  <si>
    <t>Ortiz, Terry</t>
  </si>
  <si>
    <t>Palmer, Christopher</t>
  </si>
  <si>
    <t>Parks, Gary</t>
  </si>
  <si>
    <t>Pennington, Cinnamon</t>
  </si>
  <si>
    <t>Quinn, Keith</t>
  </si>
  <si>
    <t>Ramirez, Timothy</t>
  </si>
  <si>
    <t>Rivera, Daniel</t>
  </si>
  <si>
    <t>Rodgers, Mark</t>
  </si>
  <si>
    <t>Rose, Margarita</t>
  </si>
  <si>
    <t>Roy, Ruben</t>
  </si>
  <si>
    <t>Salazar, Jon</t>
  </si>
  <si>
    <t>Salinas, Greg</t>
  </si>
  <si>
    <t>Sanchez, James</t>
  </si>
  <si>
    <t>Sandoval, Joseph</t>
  </si>
  <si>
    <t>Schwartz, Curtis</t>
  </si>
  <si>
    <t>Sheppard, Don</t>
  </si>
  <si>
    <t>Sims, David</t>
  </si>
  <si>
    <t>Singleton, Duane</t>
  </si>
  <si>
    <t>Snyder, Terri</t>
  </si>
  <si>
    <t>Sparks, Michael</t>
  </si>
  <si>
    <t>Stevenson, Barbara</t>
  </si>
  <si>
    <t>Sweeney, Shannon</t>
  </si>
  <si>
    <t>Thomas, David</t>
  </si>
  <si>
    <t>Webster, Michael</t>
  </si>
  <si>
    <t>Welch, Claudia</t>
  </si>
  <si>
    <t>Wilkerson, Ralph</t>
  </si>
  <si>
    <t>Willis, Julian</t>
  </si>
  <si>
    <t>Zimmerman, Victor</t>
  </si>
  <si>
    <t>Bailey, Carol</t>
  </si>
  <si>
    <t>Dalton, Jenny</t>
  </si>
  <si>
    <t>Leblanc, Lisa</t>
  </si>
  <si>
    <t>Montoya, Robert</t>
  </si>
  <si>
    <t>Patterson, Sheryl</t>
  </si>
  <si>
    <t>Bradshaw, Melissa</t>
  </si>
  <si>
    <t>Flynn, Kim</t>
  </si>
  <si>
    <t>Green, Ewan</t>
  </si>
  <si>
    <t>Olsen, David</t>
  </si>
  <si>
    <t>Riley, Cole</t>
  </si>
  <si>
    <t>Arnold, Kirk</t>
  </si>
  <si>
    <t>Ball, Tammy</t>
  </si>
  <si>
    <t>Bowers, Thomas</t>
  </si>
  <si>
    <t>Bryan, Michael</t>
  </si>
  <si>
    <t>Burke, Asa</t>
  </si>
  <si>
    <t>Byrd, Jill</t>
  </si>
  <si>
    <t>Christensen, Alicia</t>
  </si>
  <si>
    <t>Franklin, Icelita</t>
  </si>
  <si>
    <t>Kelly, Emily</t>
  </si>
  <si>
    <t>Leon, Lynette</t>
  </si>
  <si>
    <t>Livingston, John</t>
  </si>
  <si>
    <t>Lucas, Susan</t>
  </si>
  <si>
    <t>Maynard, Ryan</t>
  </si>
  <si>
    <t>McCarthy, Scott</t>
  </si>
  <si>
    <t>McCullough, Matthew</t>
  </si>
  <si>
    <t>Moody, Rita</t>
  </si>
  <si>
    <t>Norman, Robert</t>
  </si>
  <si>
    <t>Owen, Duane</t>
  </si>
  <si>
    <t>Pope, Timothy</t>
  </si>
  <si>
    <t>Short, Harlon</t>
  </si>
  <si>
    <t>Vaughn, Khurrum</t>
  </si>
  <si>
    <t>Brewer, Cam</t>
  </si>
  <si>
    <t>Burton, Troy</t>
  </si>
  <si>
    <t>Chase, Johnson</t>
  </si>
  <si>
    <t>Gallagher, Donald</t>
  </si>
  <si>
    <t>Holland, Kent</t>
  </si>
  <si>
    <t>Oconnor, Liesl</t>
  </si>
  <si>
    <t>Phillips, Erik</t>
  </si>
  <si>
    <t>Pratt, Ken</t>
  </si>
  <si>
    <t>Rowe, Boyd</t>
  </si>
  <si>
    <t>Spencer, Rajean</t>
  </si>
  <si>
    <t>Strickland, Timothy</t>
  </si>
  <si>
    <t>Tanner, Steven</t>
  </si>
  <si>
    <t>Todd, Daniel</t>
  </si>
  <si>
    <t>White, Frank</t>
  </si>
  <si>
    <t>Wiggins, Jesse</t>
  </si>
  <si>
    <t>Wilkins, Debbie</t>
  </si>
  <si>
    <t>Wolf, Terry</t>
  </si>
  <si>
    <r>
      <rPr>
        <b/>
        <u val="singleAccounting"/>
        <sz val="11"/>
        <color theme="1"/>
        <rFont val="Calibri"/>
        <family val="2"/>
        <scheme val="minor"/>
      </rPr>
      <t xml:space="preserve">$ </t>
    </r>
    <r>
      <rPr>
        <b/>
        <sz val="11"/>
        <color theme="1"/>
        <rFont val="Calibri"/>
        <family val="2"/>
        <scheme val="minor"/>
      </rPr>
      <t>Total Cost</t>
    </r>
  </si>
  <si>
    <t>(Thousands of Dollars)</t>
  </si>
  <si>
    <t>City</t>
  </si>
  <si>
    <t>Odessa</t>
  </si>
  <si>
    <t>Provo</t>
  </si>
  <si>
    <t>Torrington</t>
  </si>
  <si>
    <t>San Antonio</t>
  </si>
  <si>
    <t>Meriden</t>
  </si>
  <si>
    <t>Austin</t>
  </si>
  <si>
    <t>Ada</t>
  </si>
  <si>
    <t>Ventura</t>
  </si>
  <si>
    <t>Klamath Falls</t>
  </si>
  <si>
    <t>Layton</t>
  </si>
  <si>
    <t>La Cañada Flintridge</t>
  </si>
  <si>
    <t>Kennewick</t>
  </si>
  <si>
    <t>Miami Gardens</t>
  </si>
  <si>
    <t>Juneau</t>
  </si>
  <si>
    <t>Bessemer</t>
  </si>
  <si>
    <t>Beloit</t>
  </si>
  <si>
    <t>La Crosse</t>
  </si>
  <si>
    <t>Selma</t>
  </si>
  <si>
    <t>Gallup</t>
  </si>
  <si>
    <t>Santa Barbara</t>
  </si>
  <si>
    <t>Lawndale</t>
  </si>
  <si>
    <t>Monterey Park</t>
  </si>
  <si>
    <t>Des Moines</t>
  </si>
  <si>
    <t>Jacksonville</t>
  </si>
  <si>
    <t>Norman</t>
  </si>
  <si>
    <t>Providence</t>
  </si>
  <si>
    <t>Rolling Hills Estates</t>
  </si>
  <si>
    <t>Glen Cove</t>
  </si>
  <si>
    <t>Avalon</t>
  </si>
  <si>
    <t>El Segundo</t>
  </si>
  <si>
    <t>Yukon</t>
  </si>
  <si>
    <t>Carolina</t>
  </si>
  <si>
    <t>Richmond</t>
  </si>
  <si>
    <t>Longview</t>
  </si>
  <si>
    <t>Caguas</t>
  </si>
  <si>
    <t>Sandy</t>
  </si>
  <si>
    <t>Sandpoint</t>
  </si>
  <si>
    <t>LaGrange</t>
  </si>
  <si>
    <t>Gardner</t>
  </si>
  <si>
    <t>Scranton</t>
  </si>
  <si>
    <t>Clearwater</t>
  </si>
  <si>
    <t>Staunton</t>
  </si>
  <si>
    <t>Peabody</t>
  </si>
  <si>
    <t>San Marino</t>
  </si>
  <si>
    <t>Greensboro</t>
  </si>
  <si>
    <t>Saint Cloud</t>
  </si>
  <si>
    <t>Hartland</t>
  </si>
  <si>
    <t>Cohoes</t>
  </si>
  <si>
    <t>Farmer City</t>
  </si>
  <si>
    <t>North Tonawanda</t>
  </si>
  <si>
    <t>Wilson</t>
  </si>
  <si>
    <t>West Hollywood</t>
  </si>
  <si>
    <t>Muskogee</t>
  </si>
  <si>
    <t>West Lafayette</t>
  </si>
  <si>
    <t>Basin</t>
  </si>
  <si>
    <t>Plantation</t>
  </si>
  <si>
    <t>Auburn Hills</t>
  </si>
  <si>
    <t>Stockton</t>
  </si>
  <si>
    <t>Fernley</t>
  </si>
  <si>
    <t>Scottsdale</t>
  </si>
  <si>
    <t>Eau Claire</t>
  </si>
  <si>
    <t>Geneva</t>
  </si>
  <si>
    <t>Corona</t>
  </si>
  <si>
    <t>San Diego</t>
  </si>
  <si>
    <t>Anderson</t>
  </si>
  <si>
    <t>Rock Island</t>
  </si>
  <si>
    <t>Ruston</t>
  </si>
  <si>
    <t>West Jordan</t>
  </si>
  <si>
    <t>Superior</t>
  </si>
  <si>
    <t>Hackensack</t>
  </si>
  <si>
    <t>Cerritos</t>
  </si>
  <si>
    <t>Alexandria</t>
  </si>
  <si>
    <t>Kansas City</t>
  </si>
  <si>
    <t>The Dalles</t>
  </si>
  <si>
    <t>Two Rivers</t>
  </si>
  <si>
    <t>North Pole</t>
  </si>
  <si>
    <t>Durham</t>
  </si>
  <si>
    <t>Sugar Land</t>
  </si>
  <si>
    <t>Lodi</t>
  </si>
  <si>
    <t>Berlin</t>
  </si>
  <si>
    <t>Erie</t>
  </si>
  <si>
    <t>Garland</t>
  </si>
  <si>
    <t>Toledo</t>
  </si>
  <si>
    <t>Ogden</t>
  </si>
  <si>
    <t>La Verne</t>
  </si>
  <si>
    <t>Grand Rapids</t>
  </si>
  <si>
    <t>Saint Joseph</t>
  </si>
  <si>
    <t>Corry</t>
  </si>
  <si>
    <t>Burbank</t>
  </si>
  <si>
    <t>West Allis</t>
  </si>
  <si>
    <t>Columbus</t>
  </si>
  <si>
    <t>Maywood</t>
  </si>
  <si>
    <t>Altoona</t>
  </si>
  <si>
    <t>Binghamton</t>
  </si>
  <si>
    <t>Haverhill</t>
  </si>
  <si>
    <t>Port Huron</t>
  </si>
  <si>
    <t>Peoria</t>
  </si>
  <si>
    <t>Warner Robins</t>
  </si>
  <si>
    <t>Gatlinburg</t>
  </si>
  <si>
    <t>Carson</t>
  </si>
  <si>
    <t>Durant</t>
  </si>
  <si>
    <t>Christiansted</t>
  </si>
  <si>
    <t>Carbondale</t>
  </si>
  <si>
    <t>Fairbanks</t>
  </si>
  <si>
    <t>Casper</t>
  </si>
  <si>
    <t>Duarte</t>
  </si>
  <si>
    <t>Kemmerer</t>
  </si>
  <si>
    <t>Pascagoula</t>
  </si>
  <si>
    <t>Centennial</t>
  </si>
  <si>
    <t>Eureka</t>
  </si>
  <si>
    <t>Pico Rivera</t>
  </si>
  <si>
    <t>Brookfield</t>
  </si>
  <si>
    <t>Carrollton</t>
  </si>
  <si>
    <t>Lynn</t>
  </si>
  <si>
    <t>Greenfield</t>
  </si>
  <si>
    <t>Camden</t>
  </si>
  <si>
    <t>Thiensville</t>
  </si>
  <si>
    <t>Methuen</t>
  </si>
  <si>
    <t>San Clemente</t>
  </si>
  <si>
    <t>Oak Ridge</t>
  </si>
  <si>
    <t>Zanesville</t>
  </si>
  <si>
    <t>Anaconda</t>
  </si>
  <si>
    <t>Blacksburg</t>
  </si>
  <si>
    <t>San Mateo</t>
  </si>
  <si>
    <t>Yuma</t>
  </si>
  <si>
    <t>Las Cruces</t>
  </si>
  <si>
    <t>Springfield</t>
  </si>
  <si>
    <t>Bloomington</t>
  </si>
  <si>
    <t>San Gabriel</t>
  </si>
  <si>
    <t>Rocky Mount</t>
  </si>
  <si>
    <t>North Little Rock</t>
  </si>
  <si>
    <t>Moline</t>
  </si>
  <si>
    <t>Annapolis</t>
  </si>
  <si>
    <t>Springdale</t>
  </si>
  <si>
    <t>Portsmouth</t>
  </si>
  <si>
    <t>DeKalb</t>
  </si>
  <si>
    <t>Hattiesburg</t>
  </si>
  <si>
    <t>Oil City</t>
  </si>
  <si>
    <t>Modesto</t>
  </si>
  <si>
    <t>White Plains</t>
  </si>
  <si>
    <t>Woodruff</t>
  </si>
  <si>
    <t>Nevada City</t>
  </si>
  <si>
    <t>Tupelo</t>
  </si>
  <si>
    <t>La Palma</t>
  </si>
  <si>
    <t>Quincy</t>
  </si>
  <si>
    <t>Muskegon</t>
  </si>
  <si>
    <t>Marina Del Rey</t>
  </si>
  <si>
    <t>Vineland</t>
  </si>
  <si>
    <t>Schenectady</t>
  </si>
  <si>
    <t>Denver</t>
  </si>
  <si>
    <t>East Lansing</t>
  </si>
  <si>
    <t>Waterbury</t>
  </si>
  <si>
    <t>Reno</t>
  </si>
  <si>
    <t>Morgan City</t>
  </si>
  <si>
    <t>Gaithersburg</t>
  </si>
  <si>
    <t>Chino Hills</t>
  </si>
  <si>
    <t>Monroe</t>
  </si>
  <si>
    <t>Schaumburg</t>
  </si>
  <si>
    <t>Bozeman</t>
  </si>
  <si>
    <t>Dana Point</t>
  </si>
  <si>
    <t>Temple City</t>
  </si>
  <si>
    <t>Barrow</t>
  </si>
  <si>
    <t>Weymouth</t>
  </si>
  <si>
    <t>Woburn</t>
  </si>
  <si>
    <t>Worland</t>
  </si>
  <si>
    <t>Bellingham</t>
  </si>
  <si>
    <t>Hopkinsville</t>
  </si>
  <si>
    <t>Darlington</t>
  </si>
  <si>
    <t>Cumberland</t>
  </si>
  <si>
    <t>Bell Gardens</t>
  </si>
  <si>
    <t>Melrose</t>
  </si>
  <si>
    <t>Daly City</t>
  </si>
  <si>
    <t>Keene</t>
  </si>
  <si>
    <t>Greenville</t>
  </si>
  <si>
    <t>Huntington Beach</t>
  </si>
  <si>
    <t>Liberal</t>
  </si>
  <si>
    <t>Ardmore</t>
  </si>
  <si>
    <t>Elizabeth City</t>
  </si>
  <si>
    <t>State</t>
  </si>
  <si>
    <t>AR</t>
  </si>
  <si>
    <t>FL</t>
  </si>
  <si>
    <t>GA</t>
  </si>
  <si>
    <t>WA</t>
  </si>
  <si>
    <t>NC</t>
  </si>
  <si>
    <t>KY</t>
  </si>
  <si>
    <t>ID</t>
  </si>
  <si>
    <t>ND</t>
  </si>
  <si>
    <t>MO</t>
  </si>
  <si>
    <t>MT</t>
  </si>
  <si>
    <t>MN</t>
  </si>
  <si>
    <t>NJ</t>
  </si>
  <si>
    <t>MA</t>
  </si>
  <si>
    <t>MI</t>
  </si>
  <si>
    <t>ME</t>
  </si>
  <si>
    <t>CO</t>
  </si>
  <si>
    <t>TN</t>
  </si>
  <si>
    <t>MD</t>
  </si>
  <si>
    <t>PA</t>
  </si>
  <si>
    <t>WV</t>
  </si>
  <si>
    <t>SC</t>
  </si>
  <si>
    <t>OR</t>
  </si>
  <si>
    <t>HI</t>
  </si>
  <si>
    <t>RI</t>
  </si>
  <si>
    <t>MS</t>
  </si>
  <si>
    <t>AZ</t>
  </si>
  <si>
    <t>IN</t>
  </si>
  <si>
    <t>TX</t>
  </si>
  <si>
    <t>OH</t>
  </si>
  <si>
    <t>NV</t>
  </si>
  <si>
    <t>VA</t>
  </si>
  <si>
    <t>IA</t>
  </si>
  <si>
    <t>NY</t>
  </si>
  <si>
    <t>WI</t>
  </si>
  <si>
    <t>CT</t>
  </si>
  <si>
    <t>SD</t>
  </si>
  <si>
    <t>AL</t>
  </si>
  <si>
    <t>WY</t>
  </si>
  <si>
    <t>VT</t>
  </si>
  <si>
    <t>NM</t>
  </si>
  <si>
    <t>LA</t>
  </si>
  <si>
    <t>DC</t>
  </si>
  <si>
    <t>OK</t>
  </si>
  <si>
    <t>UT</t>
  </si>
  <si>
    <t>CA</t>
  </si>
  <si>
    <t>DE</t>
  </si>
  <si>
    <t>NH</t>
  </si>
  <si>
    <t>IL</t>
  </si>
  <si>
    <t>KS</t>
  </si>
  <si>
    <t>AK</t>
  </si>
  <si>
    <t>Zip</t>
  </si>
  <si>
    <t>Sales and Profits - First Half</t>
  </si>
  <si>
    <t>Average</t>
  </si>
  <si>
    <t xml:space="preserve">Practice </t>
  </si>
  <si>
    <t xml:space="preserve">Charts </t>
  </si>
  <si>
    <t>Sum of No.Items</t>
  </si>
  <si>
    <t>Inser -&gt; Pivot Table . And then Select Range from Table A2 to H911 (First cell to last cell)</t>
  </si>
  <si>
    <t>INSERT -&gt; SMART CHART</t>
  </si>
  <si>
    <t xml:space="preserve">Filters </t>
  </si>
  <si>
    <t>Simple filters</t>
  </si>
  <si>
    <t>Filter by colur</t>
  </si>
  <si>
    <t xml:space="preserve">Filter by Range or condition </t>
  </si>
  <si>
    <t>All possible options</t>
  </si>
  <si>
    <t>Inser -&gt; Chart</t>
  </si>
  <si>
    <t>Pivot Table</t>
  </si>
  <si>
    <t>INDEX/MATCH</t>
  </si>
  <si>
    <t>Statistical Methods</t>
  </si>
  <si>
    <t>Conditional Formatting</t>
  </si>
  <si>
    <t>VLOOKUP , HLOOKUP, XLOOKUP</t>
  </si>
  <si>
    <t>Numeric functions</t>
  </si>
  <si>
    <t>MIN</t>
  </si>
  <si>
    <t>MAX</t>
  </si>
  <si>
    <t>SUM</t>
  </si>
  <si>
    <t>MOD</t>
  </si>
  <si>
    <t>Hike</t>
  </si>
  <si>
    <t>TABLES</t>
  </si>
  <si>
    <t>Insert Hike column in Employees</t>
  </si>
</sst>
</file>

<file path=xl/styles.xml><?xml version="1.0" encoding="utf-8"?>
<styleSheet xmlns="http://schemas.openxmlformats.org/spreadsheetml/2006/main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m/d/yy;@"/>
    <numFmt numFmtId="167" formatCode="0.00%;\(0.00%\)"/>
    <numFmt numFmtId="168" formatCode="[&lt;=9999999]###\-####;\(###\)\ ###\-####"/>
    <numFmt numFmtId="169" formatCode="0.0%"/>
    <numFmt numFmtId="170" formatCode="_(* #,##0.0_);_(* \(#,##0.0\);_(* &quot;-&quot;??_);_(@_)"/>
    <numFmt numFmtId="171" formatCode="_(&quot;$&quot;* #,##0_);_(&quot;$&quot;* \(#,##0\);_(&quot;$&quot;* &quot;-&quot;??_);_(@_)"/>
    <numFmt numFmtId="172" formatCode="_(&quot;$&quot;* #,##0.0_);_(&quot;$&quot;* \(#,##0.0\);_(&quot;$&quot;* &quot;-&quot;??_);_(@_)"/>
    <numFmt numFmtId="173" formatCode="0.0%;[Red]\-0.0%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rebuchet MS"/>
      <family val="2"/>
    </font>
    <font>
      <sz val="16"/>
      <name val="Trebuchet MS"/>
      <family val="2"/>
    </font>
    <font>
      <sz val="11"/>
      <name val="Calibri"/>
      <family val="2"/>
      <scheme val="minor"/>
    </font>
    <font>
      <sz val="12"/>
      <name val="Trebuchet MS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20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name val="Calibri"/>
      <family val="2"/>
    </font>
    <font>
      <b/>
      <sz val="12"/>
      <name val="Calibri"/>
      <family val="2"/>
    </font>
    <font>
      <b/>
      <sz val="10"/>
      <color indexed="12"/>
      <name val="Calibri"/>
      <family val="2"/>
    </font>
    <font>
      <b/>
      <sz val="10"/>
      <color indexed="17"/>
      <name val="Calibri"/>
      <family val="2"/>
    </font>
    <font>
      <b/>
      <sz val="24"/>
      <name val="Berlin Sans FB Demi"/>
      <family val="2"/>
    </font>
    <font>
      <b/>
      <sz val="11"/>
      <name val="Calibri"/>
      <family val="2"/>
    </font>
    <font>
      <b/>
      <sz val="26"/>
      <name val="Candara"/>
      <family val="2"/>
    </font>
    <font>
      <b/>
      <u val="singleAccounting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FF"/>
        <bgColor indexed="64"/>
      </patternFill>
    </fill>
  </fills>
  <borders count="2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/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/>
      <bottom/>
      <diagonal/>
    </border>
    <border>
      <left/>
      <right/>
      <top/>
      <bottom style="thin">
        <color indexed="22"/>
      </bottom>
      <diagonal/>
    </border>
  </borders>
  <cellStyleXfs count="21">
    <xf numFmtId="0" fontId="0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/>
    <xf numFmtId="0" fontId="15" fillId="4" borderId="0" applyNumberFormat="0" applyBorder="0" applyAlignment="0" applyProtection="0"/>
    <xf numFmtId="44" fontId="4" fillId="0" borderId="0" applyFont="0" applyFill="0" applyBorder="0" applyAlignment="0" applyProtection="0"/>
    <xf numFmtId="0" fontId="16" fillId="2" borderId="1" applyNumberFormat="0" applyAlignment="0" applyProtection="0"/>
    <xf numFmtId="0" fontId="11" fillId="3" borderId="0" applyNumberFormat="0" applyBorder="0" applyAlignment="0" applyProtection="0"/>
    <xf numFmtId="0" fontId="1" fillId="3" borderId="0" applyNumberFormat="0" applyBorder="0" applyAlignment="0" applyProtection="0"/>
  </cellStyleXfs>
  <cellXfs count="162">
    <xf numFmtId="0" fontId="0" fillId="0" borderId="0" xfId="0"/>
    <xf numFmtId="0" fontId="23" fillId="11" borderId="21" xfId="8" applyFont="1" applyFill="1" applyBorder="1" applyAlignment="1">
      <alignment horizontal="center" vertical="top"/>
    </xf>
    <xf numFmtId="0" fontId="28" fillId="12" borderId="0" xfId="15" applyFont="1" applyFill="1" applyAlignment="1">
      <alignment horizontal="center"/>
    </xf>
    <xf numFmtId="0" fontId="24" fillId="17" borderId="21" xfId="8" applyFont="1" applyFill="1" applyBorder="1" applyAlignment="1">
      <alignment horizontal="center"/>
    </xf>
    <xf numFmtId="0" fontId="28" fillId="12" borderId="22" xfId="15" applyFont="1" applyFill="1" applyBorder="1" applyAlignment="1">
      <alignment horizontal="center"/>
    </xf>
    <xf numFmtId="0" fontId="29" fillId="16" borderId="21" xfId="8" applyFont="1" applyFill="1" applyBorder="1" applyAlignment="1">
      <alignment horizontal="center" vertical="center"/>
    </xf>
    <xf numFmtId="0" fontId="14" fillId="0" borderId="0" xfId="8" applyFont="1" applyAlignment="1">
      <alignment horizontal="center"/>
    </xf>
    <xf numFmtId="0" fontId="5" fillId="0" borderId="0" xfId="8" applyFont="1"/>
    <xf numFmtId="0" fontId="7" fillId="0" borderId="0" xfId="8" applyFont="1"/>
    <xf numFmtId="0" fontId="6" fillId="0" borderId="0" xfId="8" applyFont="1" applyAlignment="1">
      <alignment horizontal="center" vertical="center"/>
    </xf>
    <xf numFmtId="0" fontId="2" fillId="0" borderId="0" xfId="0" applyFont="1" applyAlignment="1">
      <alignment horizontal="left"/>
    </xf>
    <xf numFmtId="0" fontId="7" fillId="6" borderId="0" xfId="8" applyFont="1" applyFill="1"/>
    <xf numFmtId="44" fontId="3" fillId="0" borderId="0" xfId="7" applyFont="1" applyFill="1" applyBorder="1" applyAlignment="1">
      <alignment horizontal="right" vertical="center"/>
    </xf>
    <xf numFmtId="0" fontId="8" fillId="0" borderId="0" xfId="8" applyFont="1"/>
    <xf numFmtId="0" fontId="7" fillId="0" borderId="3" xfId="8" applyFont="1" applyBorder="1"/>
    <xf numFmtId="43" fontId="7" fillId="0" borderId="3" xfId="6" applyFont="1" applyBorder="1"/>
    <xf numFmtId="44" fontId="7" fillId="0" borderId="0" xfId="7" applyFont="1" applyBorder="1"/>
    <xf numFmtId="165" fontId="5" fillId="0" borderId="0" xfId="8" applyNumberFormat="1" applyFont="1"/>
    <xf numFmtId="3" fontId="0" fillId="0" borderId="0" xfId="0" applyNumberFormat="1"/>
    <xf numFmtId="0" fontId="3" fillId="5" borderId="2" xfId="0" applyFont="1" applyFill="1" applyBorder="1" applyAlignment="1">
      <alignment horizontal="left" wrapText="1"/>
    </xf>
    <xf numFmtId="0" fontId="9" fillId="6" borderId="0" xfId="8" applyFont="1" applyFill="1"/>
    <xf numFmtId="0" fontId="7" fillId="0" borderId="4" xfId="8" applyFont="1" applyBorder="1"/>
    <xf numFmtId="43" fontId="7" fillId="0" borderId="4" xfId="6" applyFont="1" applyBorder="1"/>
    <xf numFmtId="166" fontId="5" fillId="0" borderId="0" xfId="8" applyNumberFormat="1" applyFont="1"/>
    <xf numFmtId="43" fontId="5" fillId="0" borderId="0" xfId="6" applyFont="1"/>
    <xf numFmtId="44" fontId="5" fillId="0" borderId="0" xfId="7" applyFont="1"/>
    <xf numFmtId="15" fontId="5" fillId="0" borderId="0" xfId="8" applyNumberFormat="1" applyFont="1"/>
    <xf numFmtId="164" fontId="5" fillId="0" borderId="0" xfId="9" applyNumberFormat="1" applyFont="1"/>
    <xf numFmtId="0" fontId="10" fillId="0" borderId="0" xfId="10"/>
    <xf numFmtId="0" fontId="3" fillId="0" borderId="0" xfId="10" applyFont="1"/>
    <xf numFmtId="0" fontId="2" fillId="0" borderId="0" xfId="10" applyFont="1"/>
    <xf numFmtId="0" fontId="3" fillId="0" borderId="0" xfId="10" applyFont="1" applyAlignment="1">
      <alignment horizontal="right"/>
    </xf>
    <xf numFmtId="0" fontId="9" fillId="0" borderId="0" xfId="8" applyFont="1" applyAlignment="1">
      <alignment horizontal="right"/>
    </xf>
    <xf numFmtId="0" fontId="3" fillId="0" borderId="0" xfId="10" applyFont="1" applyAlignment="1">
      <alignment horizontal="left"/>
    </xf>
    <xf numFmtId="164" fontId="2" fillId="0" borderId="0" xfId="11" applyNumberFormat="1" applyFont="1"/>
    <xf numFmtId="164" fontId="7" fillId="0" borderId="0" xfId="11" applyNumberFormat="1" applyFont="1"/>
    <xf numFmtId="164" fontId="3" fillId="0" borderId="0" xfId="11" applyNumberFormat="1" applyFont="1"/>
    <xf numFmtId="0" fontId="7" fillId="0" borderId="0" xfId="12" applyFont="1" applyProtection="1">
      <protection locked="0"/>
    </xf>
    <xf numFmtId="0" fontId="7" fillId="0" borderId="0" xfId="12" applyFont="1" applyAlignment="1" applyProtection="1">
      <alignment horizontal="center"/>
      <protection locked="0"/>
    </xf>
    <xf numFmtId="0" fontId="7" fillId="0" borderId="0" xfId="12" applyFont="1"/>
    <xf numFmtId="164" fontId="7" fillId="0" borderId="0" xfId="9" applyNumberFormat="1" applyFont="1" applyAlignment="1" applyProtection="1">
      <protection locked="0"/>
    </xf>
    <xf numFmtId="164" fontId="7" fillId="0" borderId="0" xfId="13" applyNumberFormat="1" applyFont="1" applyProtection="1"/>
    <xf numFmtId="167" fontId="9" fillId="0" borderId="0" xfId="14" applyNumberFormat="1" applyFont="1" applyFill="1" applyBorder="1" applyAlignment="1" applyProtection="1">
      <alignment vertical="top" wrapText="1"/>
      <protection locked="0"/>
    </xf>
    <xf numFmtId="164" fontId="7" fillId="0" borderId="0" xfId="9" applyNumberFormat="1" applyFont="1" applyFill="1" applyProtection="1"/>
    <xf numFmtId="164" fontId="7" fillId="0" borderId="0" xfId="9" applyNumberFormat="1" applyFont="1" applyProtection="1">
      <protection locked="0"/>
    </xf>
    <xf numFmtId="164" fontId="7" fillId="0" borderId="0" xfId="9" applyNumberFormat="1" applyFont="1" applyFill="1" applyAlignment="1" applyProtection="1">
      <protection locked="0"/>
    </xf>
    <xf numFmtId="164" fontId="7" fillId="0" borderId="0" xfId="9" applyNumberFormat="1" applyFont="1" applyFill="1" applyBorder="1" applyProtection="1"/>
    <xf numFmtId="164" fontId="7" fillId="0" borderId="0" xfId="9" applyNumberFormat="1" applyFont="1" applyBorder="1" applyProtection="1">
      <protection locked="0"/>
    </xf>
    <xf numFmtId="0" fontId="9" fillId="7" borderId="8" xfId="12" applyFont="1" applyFill="1" applyBorder="1" applyAlignment="1" applyProtection="1">
      <alignment horizontal="left" vertical="top"/>
      <protection locked="0"/>
    </xf>
    <xf numFmtId="0" fontId="9" fillId="7" borderId="8" xfId="12" applyFont="1" applyFill="1" applyBorder="1" applyAlignment="1" applyProtection="1">
      <alignment horizontal="center" vertical="top"/>
      <protection locked="0"/>
    </xf>
    <xf numFmtId="0" fontId="9" fillId="7" borderId="8" xfId="12" applyFont="1" applyFill="1" applyBorder="1" applyAlignment="1" applyProtection="1">
      <alignment vertical="top"/>
      <protection locked="0"/>
    </xf>
    <xf numFmtId="0" fontId="9" fillId="7" borderId="8" xfId="12" applyFont="1" applyFill="1" applyBorder="1" applyAlignment="1">
      <alignment horizontal="right" vertical="top"/>
    </xf>
    <xf numFmtId="164" fontId="9" fillId="7" borderId="8" xfId="9" applyNumberFormat="1" applyFont="1" applyFill="1" applyBorder="1" applyAlignment="1" applyProtection="1">
      <alignment vertical="top"/>
      <protection locked="0"/>
    </xf>
    <xf numFmtId="164" fontId="9" fillId="7" borderId="8" xfId="13" applyNumberFormat="1" applyFont="1" applyFill="1" applyBorder="1" applyAlignment="1" applyProtection="1">
      <alignment horizontal="right" vertical="top"/>
    </xf>
    <xf numFmtId="0" fontId="2" fillId="0" borderId="0" xfId="15" applyFont="1"/>
    <xf numFmtId="0" fontId="12" fillId="0" borderId="0" xfId="8" applyFont="1"/>
    <xf numFmtId="0" fontId="14" fillId="0" borderId="0" xfId="8" applyFont="1"/>
    <xf numFmtId="169" fontId="14" fillId="0" borderId="0" xfId="19" applyNumberFormat="1" applyFont="1" applyFill="1"/>
    <xf numFmtId="170" fontId="14" fillId="0" borderId="0" xfId="9" applyNumberFormat="1" applyFont="1" applyFill="1" applyBorder="1"/>
    <xf numFmtId="44" fontId="19" fillId="0" borderId="9" xfId="17" applyFont="1" applyFill="1" applyBorder="1" applyAlignment="1">
      <alignment horizontal="right"/>
    </xf>
    <xf numFmtId="0" fontId="19" fillId="7" borderId="9" xfId="2" applyFont="1" applyFill="1" applyBorder="1" applyAlignment="1">
      <alignment horizontal="right"/>
    </xf>
    <xf numFmtId="0" fontId="21" fillId="0" borderId="0" xfId="17" applyNumberFormat="1" applyFont="1" applyFill="1" applyBorder="1" applyAlignment="1">
      <alignment horizontal="left"/>
    </xf>
    <xf numFmtId="169" fontId="12" fillId="0" borderId="0" xfId="8" applyNumberFormat="1" applyFont="1"/>
    <xf numFmtId="0" fontId="12" fillId="0" borderId="8" xfId="4" applyFont="1" applyFill="1" applyBorder="1" applyAlignment="1"/>
    <xf numFmtId="169" fontId="12" fillId="0" borderId="0" xfId="17" applyNumberFormat="1" applyFont="1" applyFill="1" applyBorder="1" applyAlignment="1"/>
    <xf numFmtId="0" fontId="19" fillId="0" borderId="11" xfId="2" applyFont="1" applyFill="1" applyBorder="1"/>
    <xf numFmtId="0" fontId="12" fillId="0" borderId="0" xfId="17" applyNumberFormat="1" applyFont="1" applyFill="1" applyBorder="1" applyAlignment="1">
      <alignment horizontal="left" indent="2"/>
    </xf>
    <xf numFmtId="171" fontId="12" fillId="0" borderId="0" xfId="17" applyNumberFormat="1" applyFont="1" applyFill="1" applyBorder="1" applyAlignment="1"/>
    <xf numFmtId="171" fontId="12" fillId="9" borderId="11" xfId="4" applyNumberFormat="1" applyFont="1" applyFill="1" applyBorder="1" applyAlignment="1"/>
    <xf numFmtId="171" fontId="19" fillId="10" borderId="11" xfId="2" applyNumberFormat="1" applyFont="1" applyFill="1" applyBorder="1" applyAlignment="1"/>
    <xf numFmtId="164" fontId="12" fillId="0" borderId="0" xfId="9" applyNumberFormat="1" applyFont="1" applyFill="1" applyBorder="1" applyAlignment="1"/>
    <xf numFmtId="164" fontId="12" fillId="9" borderId="12" xfId="4" applyNumberFormat="1" applyFont="1" applyFill="1" applyBorder="1" applyAlignment="1"/>
    <xf numFmtId="164" fontId="19" fillId="10" borderId="12" xfId="2" applyNumberFormat="1" applyFont="1" applyFill="1" applyBorder="1" applyAlignment="1"/>
    <xf numFmtId="0" fontId="19" fillId="0" borderId="0" xfId="5" applyNumberFormat="1" applyFont="1" applyFill="1" applyBorder="1" applyAlignment="1">
      <alignment horizontal="left" indent="1"/>
    </xf>
    <xf numFmtId="164" fontId="12" fillId="0" borderId="13" xfId="5" applyNumberFormat="1" applyFont="1" applyFill="1" applyBorder="1" applyAlignment="1"/>
    <xf numFmtId="164" fontId="12" fillId="9" borderId="10" xfId="4" applyNumberFormat="1" applyFont="1" applyFill="1" applyBorder="1" applyAlignment="1"/>
    <xf numFmtId="164" fontId="19" fillId="10" borderId="14" xfId="2" applyNumberFormat="1" applyFont="1" applyFill="1" applyBorder="1" applyAlignment="1"/>
    <xf numFmtId="0" fontId="12" fillId="0" borderId="0" xfId="8" applyFont="1" applyAlignment="1">
      <alignment horizontal="left" indent="1"/>
    </xf>
    <xf numFmtId="164" fontId="12" fillId="0" borderId="0" xfId="8" applyNumberFormat="1" applyFont="1"/>
    <xf numFmtId="164" fontId="12" fillId="0" borderId="15" xfId="4" applyNumberFormat="1" applyFont="1" applyFill="1" applyBorder="1" applyAlignment="1"/>
    <xf numFmtId="164" fontId="19" fillId="0" borderId="16" xfId="2" applyNumberFormat="1" applyFont="1" applyFill="1" applyBorder="1" applyAlignment="1"/>
    <xf numFmtId="171" fontId="12" fillId="0" borderId="11" xfId="4" applyNumberFormat="1" applyFont="1" applyFill="1" applyBorder="1" applyAlignment="1"/>
    <xf numFmtId="171" fontId="19" fillId="0" borderId="11" xfId="2" applyNumberFormat="1" applyFont="1" applyFill="1" applyBorder="1" applyAlignment="1"/>
    <xf numFmtId="3" fontId="12" fillId="0" borderId="0" xfId="9" applyNumberFormat="1" applyFont="1" applyFill="1" applyBorder="1" applyAlignment="1"/>
    <xf numFmtId="164" fontId="12" fillId="9" borderId="11" xfId="4" applyNumberFormat="1" applyFont="1" applyFill="1" applyBorder="1" applyAlignment="1"/>
    <xf numFmtId="164" fontId="19" fillId="10" borderId="11" xfId="2" applyNumberFormat="1" applyFont="1" applyFill="1" applyBorder="1" applyAlignment="1"/>
    <xf numFmtId="3" fontId="12" fillId="0" borderId="0" xfId="9" applyNumberFormat="1" applyFont="1" applyFill="1" applyBorder="1"/>
    <xf numFmtId="3" fontId="12" fillId="0" borderId="13" xfId="5" applyNumberFormat="1" applyFont="1" applyFill="1" applyBorder="1" applyAlignment="1"/>
    <xf numFmtId="3" fontId="12" fillId="0" borderId="17" xfId="3" applyNumberFormat="1" applyFont="1" applyFill="1" applyBorder="1" applyAlignment="1"/>
    <xf numFmtId="164" fontId="12" fillId="0" borderId="17" xfId="3" applyNumberFormat="1" applyFont="1" applyFill="1" applyBorder="1" applyAlignment="1"/>
    <xf numFmtId="164" fontId="12" fillId="9" borderId="18" xfId="3" applyNumberFormat="1" applyFont="1" applyFill="1" applyBorder="1" applyAlignment="1"/>
    <xf numFmtId="164" fontId="19" fillId="10" borderId="18" xfId="2" applyNumberFormat="1" applyFont="1" applyFill="1" applyBorder="1" applyAlignment="1"/>
    <xf numFmtId="0" fontId="19" fillId="0" borderId="0" xfId="8" applyFont="1"/>
    <xf numFmtId="171" fontId="12" fillId="0" borderId="8" xfId="4" applyNumberFormat="1" applyFont="1" applyFill="1" applyBorder="1" applyAlignment="1"/>
    <xf numFmtId="171" fontId="19" fillId="0" borderId="8" xfId="2" applyNumberFormat="1" applyFont="1" applyFill="1" applyBorder="1" applyAlignment="1"/>
    <xf numFmtId="0" fontId="12" fillId="0" borderId="0" xfId="17" applyNumberFormat="1" applyFont="1" applyFill="1" applyBorder="1" applyAlignment="1">
      <alignment horizontal="left"/>
    </xf>
    <xf numFmtId="171" fontId="12" fillId="0" borderId="0" xfId="17" applyNumberFormat="1" applyFont="1" applyFill="1" applyBorder="1"/>
    <xf numFmtId="164" fontId="12" fillId="0" borderId="0" xfId="9" applyNumberFormat="1" applyFont="1" applyFill="1" applyBorder="1"/>
    <xf numFmtId="0" fontId="19" fillId="0" borderId="0" xfId="3" applyNumberFormat="1" applyFont="1" applyFill="1" applyBorder="1" applyAlignment="1">
      <alignment horizontal="left" indent="1"/>
    </xf>
    <xf numFmtId="164" fontId="12" fillId="9" borderId="19" xfId="3" applyNumberFormat="1" applyFont="1" applyFill="1" applyBorder="1" applyAlignment="1"/>
    <xf numFmtId="164" fontId="19" fillId="10" borderId="19" xfId="2" applyNumberFormat="1" applyFont="1" applyFill="1" applyBorder="1" applyAlignment="1"/>
    <xf numFmtId="0" fontId="22" fillId="0" borderId="0" xfId="17" applyNumberFormat="1" applyFont="1" applyFill="1" applyBorder="1" applyAlignment="1">
      <alignment horizontal="left"/>
    </xf>
    <xf numFmtId="171" fontId="12" fillId="0" borderId="20" xfId="4" applyNumberFormat="1" applyFont="1" applyFill="1" applyBorder="1" applyAlignment="1"/>
    <xf numFmtId="171" fontId="19" fillId="0" borderId="20" xfId="2" applyNumberFormat="1" applyFont="1" applyFill="1" applyBorder="1" applyAlignment="1"/>
    <xf numFmtId="0" fontId="19" fillId="0" borderId="0" xfId="1" applyNumberFormat="1" applyFont="1" applyFill="1" applyBorder="1" applyAlignment="1">
      <alignment horizontal="left" indent="1"/>
    </xf>
    <xf numFmtId="171" fontId="19" fillId="0" borderId="7" xfId="1" applyNumberFormat="1" applyFont="1" applyFill="1" applyBorder="1" applyAlignment="1"/>
    <xf numFmtId="171" fontId="19" fillId="9" borderId="7" xfId="1" applyNumberFormat="1" applyFont="1" applyFill="1" applyBorder="1" applyAlignment="1"/>
    <xf numFmtId="171" fontId="19" fillId="10" borderId="7" xfId="1" applyNumberFormat="1" applyFont="1" applyFill="1" applyBorder="1" applyAlignment="1"/>
    <xf numFmtId="172" fontId="14" fillId="0" borderId="0" xfId="16" applyNumberFormat="1" applyFont="1" applyFill="1" applyBorder="1"/>
    <xf numFmtId="172" fontId="14" fillId="0" borderId="0" xfId="17" applyNumberFormat="1" applyFont="1" applyFill="1" applyBorder="1"/>
    <xf numFmtId="172" fontId="14" fillId="0" borderId="0" xfId="9" applyNumberFormat="1" applyFont="1" applyFill="1" applyBorder="1"/>
    <xf numFmtId="172" fontId="14" fillId="0" borderId="0" xfId="18" applyNumberFormat="1" applyFont="1" applyFill="1" applyBorder="1"/>
    <xf numFmtId="170" fontId="14" fillId="0" borderId="0" xfId="6" applyNumberFormat="1" applyFont="1" applyFill="1" applyBorder="1"/>
    <xf numFmtId="14" fontId="7" fillId="0" borderId="0" xfId="12" applyNumberFormat="1" applyFont="1" applyProtection="1">
      <protection locked="0"/>
    </xf>
    <xf numFmtId="164" fontId="3" fillId="0" borderId="0" xfId="6" applyNumberFormat="1" applyFont="1"/>
    <xf numFmtId="164" fontId="2" fillId="0" borderId="0" xfId="6" applyNumberFormat="1" applyFont="1"/>
    <xf numFmtId="164" fontId="10" fillId="0" borderId="0" xfId="6" applyNumberFormat="1" applyFont="1"/>
    <xf numFmtId="0" fontId="0" fillId="0" borderId="0" xfId="0" pivotButton="1"/>
    <xf numFmtId="14" fontId="9" fillId="7" borderId="8" xfId="12" applyNumberFormat="1" applyFont="1" applyFill="1" applyBorder="1" applyAlignment="1" applyProtection="1">
      <alignment vertical="top"/>
      <protection locked="0"/>
    </xf>
    <xf numFmtId="164" fontId="10" fillId="0" borderId="0" xfId="10" applyNumberFormat="1"/>
    <xf numFmtId="164" fontId="2" fillId="0" borderId="0" xfId="10" applyNumberFormat="1" applyFont="1"/>
    <xf numFmtId="171" fontId="20" fillId="8" borderId="4" xfId="17" applyNumberFormat="1" applyFont="1" applyFill="1" applyBorder="1" applyAlignment="1">
      <alignment horizontal="right"/>
    </xf>
    <xf numFmtId="0" fontId="12" fillId="9" borderId="14" xfId="4" applyFont="1" applyFill="1" applyBorder="1" applyAlignment="1">
      <alignment horizontal="right"/>
    </xf>
    <xf numFmtId="4" fontId="7" fillId="0" borderId="3" xfId="7" applyNumberFormat="1" applyFont="1" applyBorder="1"/>
    <xf numFmtId="4" fontId="7" fillId="0" borderId="4" xfId="7" applyNumberFormat="1" applyFont="1" applyBorder="1"/>
    <xf numFmtId="0" fontId="2" fillId="12" borderId="3" xfId="8" applyFont="1" applyFill="1" applyBorder="1"/>
    <xf numFmtId="0" fontId="2" fillId="12" borderId="4" xfId="8" applyFont="1" applyFill="1" applyBorder="1"/>
    <xf numFmtId="0" fontId="7" fillId="12" borderId="3" xfId="8" applyFont="1" applyFill="1" applyBorder="1"/>
    <xf numFmtId="0" fontId="7" fillId="12" borderId="4" xfId="8" applyFont="1" applyFill="1" applyBorder="1"/>
    <xf numFmtId="14" fontId="0" fillId="12" borderId="0" xfId="0" applyNumberFormat="1" applyFill="1"/>
    <xf numFmtId="164" fontId="7" fillId="12" borderId="3" xfId="9" applyNumberFormat="1" applyFont="1" applyFill="1" applyBorder="1"/>
    <xf numFmtId="164" fontId="7" fillId="12" borderId="4" xfId="9" applyNumberFormat="1" applyFont="1" applyFill="1" applyBorder="1"/>
    <xf numFmtId="0" fontId="3" fillId="12" borderId="4" xfId="8" applyFont="1" applyFill="1" applyBorder="1" applyAlignment="1">
      <alignment horizontal="left" vertical="center"/>
    </xf>
    <xf numFmtId="0" fontId="3" fillId="0" borderId="4" xfId="8" applyFont="1" applyBorder="1" applyAlignment="1">
      <alignment horizontal="left" vertical="center"/>
    </xf>
    <xf numFmtId="0" fontId="3" fillId="12" borderId="4" xfId="8" applyFont="1" applyFill="1" applyBorder="1" applyAlignment="1">
      <alignment horizontal="center" vertical="center"/>
    </xf>
    <xf numFmtId="43" fontId="3" fillId="0" borderId="4" xfId="6" applyFont="1" applyFill="1" applyBorder="1" applyAlignment="1">
      <alignment horizontal="center" vertical="center"/>
    </xf>
    <xf numFmtId="164" fontId="3" fillId="12" borderId="4" xfId="9" applyNumberFormat="1" applyFont="1" applyFill="1" applyBorder="1" applyAlignment="1">
      <alignment horizontal="right" vertical="center"/>
    </xf>
    <xf numFmtId="44" fontId="3" fillId="0" borderId="4" xfId="7" applyFont="1" applyFill="1" applyBorder="1" applyAlignment="1">
      <alignment horizontal="right" vertical="center"/>
    </xf>
    <xf numFmtId="0" fontId="12" fillId="12" borderId="0" xfId="8" applyFont="1" applyFill="1"/>
    <xf numFmtId="0" fontId="24" fillId="0" borderId="0" xfId="8" applyFont="1"/>
    <xf numFmtId="0" fontId="2" fillId="13" borderId="21" xfId="15" applyFont="1" applyFill="1" applyBorder="1"/>
    <xf numFmtId="0" fontId="2" fillId="15" borderId="21" xfId="15" applyFont="1" applyFill="1" applyBorder="1"/>
    <xf numFmtId="0" fontId="2" fillId="13" borderId="21" xfId="15" applyFont="1" applyFill="1" applyBorder="1" applyAlignment="1">
      <alignment wrapText="1"/>
    </xf>
    <xf numFmtId="168" fontId="2" fillId="15" borderId="21" xfId="15" applyNumberFormat="1" applyFont="1" applyFill="1" applyBorder="1" applyAlignment="1">
      <alignment horizontal="center" wrapText="1"/>
    </xf>
    <xf numFmtId="0" fontId="2" fillId="15" borderId="21" xfId="15" applyFont="1" applyFill="1" applyBorder="1" applyAlignment="1">
      <alignment wrapText="1"/>
    </xf>
    <xf numFmtId="168" fontId="2" fillId="0" borderId="0" xfId="15" applyNumberFormat="1" applyFont="1" applyAlignment="1">
      <alignment horizontal="center"/>
    </xf>
    <xf numFmtId="0" fontId="3" fillId="13" borderId="21" xfId="15" applyFont="1" applyFill="1" applyBorder="1"/>
    <xf numFmtId="168" fontId="3" fillId="15" borderId="21" xfId="15" applyNumberFormat="1" applyFont="1" applyFill="1" applyBorder="1" applyAlignment="1">
      <alignment horizontal="center"/>
    </xf>
    <xf numFmtId="0" fontId="3" fillId="15" borderId="21" xfId="15" applyFont="1" applyFill="1" applyBorder="1"/>
    <xf numFmtId="0" fontId="3" fillId="15" borderId="21" xfId="15" applyFont="1" applyFill="1" applyBorder="1" applyAlignment="1">
      <alignment horizontal="center"/>
    </xf>
    <xf numFmtId="43" fontId="14" fillId="0" borderId="0" xfId="9" applyFont="1" applyFill="1" applyBorder="1"/>
    <xf numFmtId="169" fontId="14" fillId="0" borderId="0" xfId="20" applyNumberFormat="1" applyFont="1" applyFill="1"/>
    <xf numFmtId="173" fontId="14" fillId="0" borderId="0" xfId="20" applyNumberFormat="1" applyFont="1" applyFill="1"/>
    <xf numFmtId="0" fontId="3" fillId="0" borderId="5" xfId="10" applyFont="1" applyBorder="1" applyAlignment="1">
      <alignment horizontal="left"/>
    </xf>
    <xf numFmtId="0" fontId="3" fillId="0" borderId="6" xfId="10" applyFont="1" applyBorder="1" applyAlignment="1">
      <alignment horizontal="left"/>
    </xf>
    <xf numFmtId="0" fontId="3" fillId="0" borderId="0" xfId="10" applyFont="1" applyAlignment="1">
      <alignment horizontal="left"/>
    </xf>
    <xf numFmtId="0" fontId="25" fillId="13" borderId="21" xfId="8" applyFont="1" applyFill="1" applyBorder="1" applyAlignment="1">
      <alignment horizontal="center" vertical="center"/>
    </xf>
    <xf numFmtId="0" fontId="13" fillId="12" borderId="0" xfId="8" applyFont="1" applyFill="1" applyAlignment="1">
      <alignment horizontal="center" vertical="center"/>
    </xf>
    <xf numFmtId="0" fontId="24" fillId="14" borderId="21" xfId="8" applyFont="1" applyFill="1" applyBorder="1" applyAlignment="1">
      <alignment horizontal="center"/>
    </xf>
    <xf numFmtId="0" fontId="0" fillId="0" borderId="0" xfId="0" applyNumberFormat="1"/>
    <xf numFmtId="0" fontId="6" fillId="0" borderId="0" xfId="8" applyFont="1" applyAlignment="1">
      <alignment horizontal="left" vertical="center"/>
    </xf>
    <xf numFmtId="0" fontId="7" fillId="0" borderId="23" xfId="12" applyFont="1" applyBorder="1" applyProtection="1">
      <protection locked="0"/>
    </xf>
  </cellXfs>
  <cellStyles count="21">
    <cellStyle name="40% - Accent1 2" xfId="19"/>
    <cellStyle name="40% - Accent1 2 2" xfId="20"/>
    <cellStyle name="60% - Accent4 2" xfId="16"/>
    <cellStyle name="Check Cell 2" xfId="18"/>
    <cellStyle name="ColLevel_1" xfId="2" builtinId="2" iLevel="0"/>
    <cellStyle name="ColLevel_2" xfId="4" builtinId="2" iLevel="1"/>
    <cellStyle name="Comma" xfId="6" builtinId="3"/>
    <cellStyle name="Comma 2" xfId="9"/>
    <cellStyle name="Comma 3" xfId="11"/>
    <cellStyle name="Comma 4" xfId="13"/>
    <cellStyle name="Currency" xfId="7" builtinId="4"/>
    <cellStyle name="Currency 2" xfId="17"/>
    <cellStyle name="Normal" xfId="0" builtinId="0"/>
    <cellStyle name="Normal 2" xfId="8"/>
    <cellStyle name="Normal 2 2" xfId="12"/>
    <cellStyle name="Normal 2 3" xfId="15"/>
    <cellStyle name="Normal 3" xfId="10"/>
    <cellStyle name="Percent 2" xfId="14"/>
    <cellStyle name="RowLevel_1" xfId="1" builtinId="1" iLevel="0"/>
    <cellStyle name="RowLevel_2" xfId="3" builtinId="1" iLevel="1"/>
    <cellStyle name="RowLevel_3" xfId="5" builtinId="1" iLevel="2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relativeIndent="255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m/d/yyyy"/>
      <fill>
        <patternFill patternType="solid">
          <fgColor theme="7" tint="0.59999389629810485"/>
          <bgColor theme="7" tint="0.59999389629810485"/>
        </patternFill>
      </fill>
      <alignment horizontal="general" vertical="bottom" textRotation="0" wrapText="0" indent="0" relativeIndent="255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protection locked="0" hidden="0"/>
    </dxf>
    <dxf>
      <border outline="0">
        <top style="thin">
          <color indexed="22"/>
        </top>
      </border>
    </dxf>
    <dxf>
      <border outline="0">
        <bottom style="thin">
          <color indexed="22"/>
        </bottom>
      </border>
    </dxf>
  </dxfs>
  <tableStyles count="1" defaultTableStyle="TableStyleMedium2" defaultPivotStyle="PivotStyleLight16">
    <tableStyle name="Invisible" pivot="0" table="0" count="0"/>
  </tableStyles>
  <colors>
    <mruColors>
      <color rgb="FFCCFFFF"/>
      <color rgb="FFFFFFCC"/>
      <color rgb="FFCCFFCC"/>
      <color rgb="FF99FF99"/>
      <color rgb="FFFF66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Chart!$D$1</c:f>
          <c:strCache>
            <c:ptCount val="1"/>
            <c:pt idx="0">
              <c:v>Furniture Sales by Region</c:v>
            </c:pt>
          </c:strCache>
        </c:strRef>
      </c:tx>
      <c:layout>
        <c:manualLayout>
          <c:xMode val="edge"/>
          <c:yMode val="edge"/>
          <c:x val="0.26233333333333331"/>
          <c:y val="5.4761896864541422E-2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barChart>
        <c:barDir val="col"/>
        <c:grouping val="clustered"/>
        <c:ser>
          <c:idx val="0"/>
          <c:order val="0"/>
          <c:tx>
            <c:strRef>
              <c:f>Chart!$E$2</c:f>
              <c:strCache>
                <c:ptCount val="1"/>
                <c:pt idx="0">
                  <c:v>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100000"/>
                    <a:satMod val="130000"/>
                  </a:schemeClr>
                </a:gs>
                <a:gs pos="100000">
                  <a:schemeClr val="accent1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strRef>
              <c:f>Chart!$D$3:$D$7</c:f>
              <c:strCache>
                <c:ptCount val="5"/>
                <c:pt idx="0">
                  <c:v>Bamboo Coffee Table</c:v>
                </c:pt>
                <c:pt idx="1">
                  <c:v>Bamboo End Table</c:v>
                </c:pt>
                <c:pt idx="2">
                  <c:v>Captain Recliner</c:v>
                </c:pt>
                <c:pt idx="3">
                  <c:v>Chameleon Couch</c:v>
                </c:pt>
                <c:pt idx="4">
                  <c:v>Media Armoire</c:v>
                </c:pt>
              </c:strCache>
            </c:strRef>
          </c:cat>
          <c:val>
            <c:numRef>
              <c:f>Chart!$E$3:$E$7</c:f>
              <c:numCache>
                <c:formatCode>_(* #,##0_);_(* \(#,##0\);_(* "-"??_);_(@_)</c:formatCode>
                <c:ptCount val="5"/>
                <c:pt idx="0">
                  <c:v>627</c:v>
                </c:pt>
                <c:pt idx="1">
                  <c:v>580</c:v>
                </c:pt>
                <c:pt idx="2">
                  <c:v>420</c:v>
                </c:pt>
                <c:pt idx="3">
                  <c:v>552</c:v>
                </c:pt>
                <c:pt idx="4">
                  <c:v>671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A06-48A1-92FE-42E1267FE086}"/>
            </c:ext>
          </c:extLst>
        </c:ser>
        <c:ser>
          <c:idx val="1"/>
          <c:order val="1"/>
          <c:tx>
            <c:strRef>
              <c:f>Chart!$F$2</c:f>
              <c:strCache>
                <c:ptCount val="1"/>
                <c:pt idx="0">
                  <c:v>NW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strRef>
              <c:f>Chart!$D$3:$D$7</c:f>
              <c:strCache>
                <c:ptCount val="5"/>
                <c:pt idx="0">
                  <c:v>Bamboo Coffee Table</c:v>
                </c:pt>
                <c:pt idx="1">
                  <c:v>Bamboo End Table</c:v>
                </c:pt>
                <c:pt idx="2">
                  <c:v>Captain Recliner</c:v>
                </c:pt>
                <c:pt idx="3">
                  <c:v>Chameleon Couch</c:v>
                </c:pt>
                <c:pt idx="4">
                  <c:v>Media Armoire</c:v>
                </c:pt>
              </c:strCache>
            </c:strRef>
          </c:cat>
          <c:val>
            <c:numRef>
              <c:f>Chart!$F$3:$F$7</c:f>
              <c:numCache>
                <c:formatCode>_(* #,##0_);_(* \(#,##0\);_(* "-"??_);_(@_)</c:formatCode>
                <c:ptCount val="5"/>
                <c:pt idx="0">
                  <c:v>307</c:v>
                </c:pt>
                <c:pt idx="1">
                  <c:v>191</c:v>
                </c:pt>
                <c:pt idx="2">
                  <c:v>371</c:v>
                </c:pt>
                <c:pt idx="3">
                  <c:v>214</c:v>
                </c:pt>
                <c:pt idx="4">
                  <c:v>313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A06-48A1-92FE-42E1267FE086}"/>
            </c:ext>
          </c:extLst>
        </c:ser>
        <c:ser>
          <c:idx val="2"/>
          <c:order val="2"/>
          <c:tx>
            <c:strRef>
              <c:f>Chart!$G$2</c:f>
              <c:strCache>
                <c:ptCount val="1"/>
                <c:pt idx="0">
                  <c:v>SE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100000"/>
                    <a:shade val="100000"/>
                    <a:satMod val="130000"/>
                  </a:schemeClr>
                </a:gs>
                <a:gs pos="100000">
                  <a:schemeClr val="accent3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strRef>
              <c:f>Chart!$D$3:$D$7</c:f>
              <c:strCache>
                <c:ptCount val="5"/>
                <c:pt idx="0">
                  <c:v>Bamboo Coffee Table</c:v>
                </c:pt>
                <c:pt idx="1">
                  <c:v>Bamboo End Table</c:v>
                </c:pt>
                <c:pt idx="2">
                  <c:v>Captain Recliner</c:v>
                </c:pt>
                <c:pt idx="3">
                  <c:v>Chameleon Couch</c:v>
                </c:pt>
                <c:pt idx="4">
                  <c:v>Media Armoire</c:v>
                </c:pt>
              </c:strCache>
            </c:strRef>
          </c:cat>
          <c:val>
            <c:numRef>
              <c:f>Chart!$G$3:$G$7</c:f>
              <c:numCache>
                <c:formatCode>_(* #,##0_);_(* \(#,##0\);_(* "-"??_);_(@_)</c:formatCode>
                <c:ptCount val="5"/>
                <c:pt idx="0">
                  <c:v>292</c:v>
                </c:pt>
                <c:pt idx="1">
                  <c:v>222</c:v>
                </c:pt>
                <c:pt idx="2">
                  <c:v>243</c:v>
                </c:pt>
                <c:pt idx="3">
                  <c:v>239</c:v>
                </c:pt>
                <c:pt idx="4">
                  <c:v>287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A06-48A1-92FE-42E1267FE086}"/>
            </c:ext>
          </c:extLst>
        </c:ser>
        <c:ser>
          <c:idx val="3"/>
          <c:order val="3"/>
          <c:tx>
            <c:strRef>
              <c:f>Chart!$H$2</c:f>
              <c:strCache>
                <c:ptCount val="1"/>
                <c:pt idx="0">
                  <c:v>SW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100000"/>
                    <a:shade val="100000"/>
                    <a:satMod val="130000"/>
                  </a:schemeClr>
                </a:gs>
                <a:gs pos="100000">
                  <a:schemeClr val="accent4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strRef>
              <c:f>Chart!$D$3:$D$7</c:f>
              <c:strCache>
                <c:ptCount val="5"/>
                <c:pt idx="0">
                  <c:v>Bamboo Coffee Table</c:v>
                </c:pt>
                <c:pt idx="1">
                  <c:v>Bamboo End Table</c:v>
                </c:pt>
                <c:pt idx="2">
                  <c:v>Captain Recliner</c:v>
                </c:pt>
                <c:pt idx="3">
                  <c:v>Chameleon Couch</c:v>
                </c:pt>
                <c:pt idx="4">
                  <c:v>Media Armoire</c:v>
                </c:pt>
              </c:strCache>
            </c:strRef>
          </c:cat>
          <c:val>
            <c:numRef>
              <c:f>Chart!$H$3:$H$7</c:f>
              <c:numCache>
                <c:formatCode>_(* #,##0_);_(* \(#,##0\);_(* "-"??_);_(@_)</c:formatCode>
                <c:ptCount val="5"/>
                <c:pt idx="0">
                  <c:v>416</c:v>
                </c:pt>
                <c:pt idx="1">
                  <c:v>532</c:v>
                </c:pt>
                <c:pt idx="2">
                  <c:v>404</c:v>
                </c:pt>
                <c:pt idx="3">
                  <c:v>710</c:v>
                </c:pt>
                <c:pt idx="4">
                  <c:v>575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A06-48A1-92FE-42E1267FE086}"/>
            </c:ext>
          </c:extLst>
        </c:ser>
        <c:dLbls/>
        <c:gapWidth val="100"/>
        <c:overlap val="-24"/>
        <c:axId val="127337600"/>
        <c:axId val="127339136"/>
      </c:barChart>
      <c:catAx>
        <c:axId val="12733760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39136"/>
        <c:crosses val="autoZero"/>
        <c:auto val="1"/>
        <c:lblAlgn val="ctr"/>
        <c:lblOffset val="100"/>
      </c:catAx>
      <c:valAx>
        <c:axId val="12733913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37600"/>
        <c:crosses val="autoZero"/>
        <c:crossBetween val="between"/>
      </c:valAx>
      <c:spPr>
        <a:noFill/>
        <a:ln>
          <a:noFill/>
        </a:ln>
        <a:effectLst>
          <a:outerShdw blurRad="50800" dist="50800" dir="5400000" algn="ctr" rotWithShape="0">
            <a:srgbClr val="000000">
              <a:alpha val="99000"/>
            </a:srgbClr>
          </a:outerShdw>
        </a:effectLst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#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90FB612-A57C-4C20-9456-D1A3E2D76190}" type="doc">
      <dgm:prSet loTypeId="urn:microsoft.com/office/officeart/2005/8/layout/orgChart1" loCatId="hierarchy" qsTypeId="urn:microsoft.com/office/officeart/2005/8/quickstyle/3d3" qsCatId="3D" csTypeId="urn:microsoft.com/office/officeart/2005/8/colors/colorful1#1" csCatId="colorful" phldr="1"/>
      <dgm:spPr/>
      <dgm:t>
        <a:bodyPr/>
        <a:lstStyle/>
        <a:p>
          <a:endParaRPr lang="en-US"/>
        </a:p>
      </dgm:t>
    </dgm:pt>
    <dgm:pt modelId="{A1EF1E3B-EED6-45FD-AEBF-06771E4C9C81}">
      <dgm:prSet phldrT="[Text]"/>
      <dgm:spPr/>
      <dgm:t>
        <a:bodyPr/>
        <a:lstStyle/>
        <a:p>
          <a:r>
            <a:rPr lang="en-US"/>
            <a:t>CEO</a:t>
          </a:r>
        </a:p>
      </dgm:t>
    </dgm:pt>
    <dgm:pt modelId="{15104517-10FB-49F4-85FA-526AE2EEBD9C}" type="parTrans" cxnId="{319262F1-8BFC-4D94-B0D8-447606D1DB70}">
      <dgm:prSet/>
      <dgm:spPr/>
      <dgm:t>
        <a:bodyPr/>
        <a:lstStyle/>
        <a:p>
          <a:endParaRPr lang="en-US"/>
        </a:p>
      </dgm:t>
    </dgm:pt>
    <dgm:pt modelId="{5E561C64-9426-433A-8E3F-76A408F547FB}" type="sibTrans" cxnId="{319262F1-8BFC-4D94-B0D8-447606D1DB70}">
      <dgm:prSet/>
      <dgm:spPr/>
      <dgm:t>
        <a:bodyPr/>
        <a:lstStyle/>
        <a:p>
          <a:endParaRPr lang="en-US"/>
        </a:p>
      </dgm:t>
    </dgm:pt>
    <dgm:pt modelId="{D9681988-DE5C-408A-8C62-F185E9CFFC6C}" type="asst">
      <dgm:prSet phldrT="[Text]"/>
      <dgm:spPr/>
      <dgm:t>
        <a:bodyPr/>
        <a:lstStyle/>
        <a:p>
          <a:r>
            <a:rPr lang="en-US"/>
            <a:t>General Counsel</a:t>
          </a:r>
        </a:p>
      </dgm:t>
    </dgm:pt>
    <dgm:pt modelId="{BDA57251-7E23-421A-BB2A-FED3601616A0}" type="parTrans" cxnId="{28BC96CB-5A7C-4B55-B268-1E777A3188D7}">
      <dgm:prSet/>
      <dgm:spPr/>
      <dgm:t>
        <a:bodyPr/>
        <a:lstStyle/>
        <a:p>
          <a:endParaRPr lang="en-US"/>
        </a:p>
      </dgm:t>
    </dgm:pt>
    <dgm:pt modelId="{34FC5B24-2CA9-44FA-A4CC-0505D50EEBA8}" type="sibTrans" cxnId="{28BC96CB-5A7C-4B55-B268-1E777A3188D7}">
      <dgm:prSet/>
      <dgm:spPr/>
      <dgm:t>
        <a:bodyPr/>
        <a:lstStyle/>
        <a:p>
          <a:endParaRPr lang="en-US"/>
        </a:p>
      </dgm:t>
    </dgm:pt>
    <dgm:pt modelId="{F11D161F-2DB3-4DD0-AEC1-4B80D639181B}">
      <dgm:prSet phldrT="[Text]"/>
      <dgm:spPr/>
      <dgm:t>
        <a:bodyPr/>
        <a:lstStyle/>
        <a:p>
          <a:r>
            <a:rPr lang="en-US"/>
            <a:t>Sales Mgr.</a:t>
          </a:r>
        </a:p>
      </dgm:t>
    </dgm:pt>
    <dgm:pt modelId="{B99966C2-9F10-42A2-86B8-2DE98E535002}" type="parTrans" cxnId="{4A0B5809-0295-40DA-91E5-F63815340DEA}">
      <dgm:prSet/>
      <dgm:spPr/>
      <dgm:t>
        <a:bodyPr/>
        <a:lstStyle/>
        <a:p>
          <a:endParaRPr lang="en-US"/>
        </a:p>
      </dgm:t>
    </dgm:pt>
    <dgm:pt modelId="{BF7F930C-CA7F-481C-8805-0AA8301628A8}" type="sibTrans" cxnId="{4A0B5809-0295-40DA-91E5-F63815340DEA}">
      <dgm:prSet/>
      <dgm:spPr/>
      <dgm:t>
        <a:bodyPr/>
        <a:lstStyle/>
        <a:p>
          <a:endParaRPr lang="en-US"/>
        </a:p>
      </dgm:t>
    </dgm:pt>
    <dgm:pt modelId="{39230053-8117-4D92-9231-B8DFFFD1D5DC}">
      <dgm:prSet phldrT="[Text]"/>
      <dgm:spPr/>
      <dgm:t>
        <a:bodyPr/>
        <a:lstStyle/>
        <a:p>
          <a:r>
            <a:rPr lang="en-US"/>
            <a:t>Marketing Mgr.</a:t>
          </a:r>
        </a:p>
      </dgm:t>
    </dgm:pt>
    <dgm:pt modelId="{291D6AF3-AC55-451A-BEA8-216C56340EB5}" type="parTrans" cxnId="{08D962BC-9A8D-4FFF-B500-7F9D790F93E7}">
      <dgm:prSet/>
      <dgm:spPr/>
      <dgm:t>
        <a:bodyPr/>
        <a:lstStyle/>
        <a:p>
          <a:endParaRPr lang="en-US"/>
        </a:p>
      </dgm:t>
    </dgm:pt>
    <dgm:pt modelId="{72F04C63-75A8-4E86-B076-ABC0355CFB75}" type="sibTrans" cxnId="{08D962BC-9A8D-4FFF-B500-7F9D790F93E7}">
      <dgm:prSet/>
      <dgm:spPr/>
      <dgm:t>
        <a:bodyPr/>
        <a:lstStyle/>
        <a:p>
          <a:endParaRPr lang="en-US"/>
        </a:p>
      </dgm:t>
    </dgm:pt>
    <dgm:pt modelId="{E64CEE6B-AA9E-4C5E-AE23-DAC6140DCFCC}">
      <dgm:prSet phldrT="[Text]"/>
      <dgm:spPr/>
      <dgm:t>
        <a:bodyPr/>
        <a:lstStyle/>
        <a:p>
          <a:r>
            <a:rPr lang="en-US"/>
            <a:t>HR Mgr.</a:t>
          </a:r>
        </a:p>
      </dgm:t>
    </dgm:pt>
    <dgm:pt modelId="{F0035443-8067-4F7B-B6E8-6709A28A6F13}" type="parTrans" cxnId="{FB86ED45-A4BE-455D-8213-98122FE56714}">
      <dgm:prSet/>
      <dgm:spPr/>
      <dgm:t>
        <a:bodyPr/>
        <a:lstStyle/>
        <a:p>
          <a:endParaRPr lang="en-US"/>
        </a:p>
      </dgm:t>
    </dgm:pt>
    <dgm:pt modelId="{3476BA48-1030-40F8-90C3-5ED48CC412C4}" type="sibTrans" cxnId="{FB86ED45-A4BE-455D-8213-98122FE56714}">
      <dgm:prSet/>
      <dgm:spPr/>
      <dgm:t>
        <a:bodyPr/>
        <a:lstStyle/>
        <a:p>
          <a:endParaRPr lang="en-US"/>
        </a:p>
      </dgm:t>
    </dgm:pt>
    <dgm:pt modelId="{5FCF86A6-ED3A-4905-B34C-AF808AE200EF}">
      <dgm:prSet/>
      <dgm:spPr/>
      <dgm:t>
        <a:bodyPr/>
        <a:lstStyle/>
        <a:p>
          <a:endParaRPr lang="en-US"/>
        </a:p>
      </dgm:t>
    </dgm:pt>
    <dgm:pt modelId="{3BFF77B3-6A8A-410E-8137-139F29C18E9C}" type="parTrans" cxnId="{AF383B29-D2F3-46DB-8B9E-6DB9B050DC80}">
      <dgm:prSet/>
      <dgm:spPr/>
      <dgm:t>
        <a:bodyPr/>
        <a:lstStyle/>
        <a:p>
          <a:endParaRPr lang="en-US"/>
        </a:p>
      </dgm:t>
    </dgm:pt>
    <dgm:pt modelId="{35427394-7CD9-4DCF-A026-B56D39401249}" type="sibTrans" cxnId="{AF383B29-D2F3-46DB-8B9E-6DB9B050DC80}">
      <dgm:prSet/>
      <dgm:spPr/>
      <dgm:t>
        <a:bodyPr/>
        <a:lstStyle/>
        <a:p>
          <a:endParaRPr lang="en-US"/>
        </a:p>
      </dgm:t>
    </dgm:pt>
    <dgm:pt modelId="{7DC3B7CE-BA7F-4B77-AA3B-8A1268A50C63}">
      <dgm:prSet/>
      <dgm:spPr/>
      <dgm:t>
        <a:bodyPr/>
        <a:lstStyle/>
        <a:p>
          <a:endParaRPr lang="en-US"/>
        </a:p>
      </dgm:t>
    </dgm:pt>
    <dgm:pt modelId="{851946DB-E290-45CB-91CD-1685F0E5EED6}" type="parTrans" cxnId="{55FC44D8-6E7E-4244-B2C0-F9904C4F716E}">
      <dgm:prSet/>
      <dgm:spPr/>
      <dgm:t>
        <a:bodyPr/>
        <a:lstStyle/>
        <a:p>
          <a:endParaRPr lang="en-US"/>
        </a:p>
      </dgm:t>
    </dgm:pt>
    <dgm:pt modelId="{A424A18F-0D86-4F3D-B0FF-CA8C71120A84}" type="sibTrans" cxnId="{55FC44D8-6E7E-4244-B2C0-F9904C4F716E}">
      <dgm:prSet/>
      <dgm:spPr/>
      <dgm:t>
        <a:bodyPr/>
        <a:lstStyle/>
        <a:p>
          <a:endParaRPr lang="en-US"/>
        </a:p>
      </dgm:t>
    </dgm:pt>
    <dgm:pt modelId="{42EA4977-950D-413C-9E56-6DF86AAC4D7D}" type="pres">
      <dgm:prSet presAssocID="{190FB612-A57C-4C20-9456-D1A3E2D76190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2FE2ADAB-0A24-477D-9744-E52E4F485623}" type="pres">
      <dgm:prSet presAssocID="{A1EF1E3B-EED6-45FD-AEBF-06771E4C9C81}" presName="hierRoot1" presStyleCnt="0">
        <dgm:presLayoutVars>
          <dgm:hierBranch val="init"/>
        </dgm:presLayoutVars>
      </dgm:prSet>
      <dgm:spPr/>
    </dgm:pt>
    <dgm:pt modelId="{5E13441F-1AC1-447C-AAF6-D92F8AEFDF61}" type="pres">
      <dgm:prSet presAssocID="{A1EF1E3B-EED6-45FD-AEBF-06771E4C9C81}" presName="rootComposite1" presStyleCnt="0"/>
      <dgm:spPr/>
    </dgm:pt>
    <dgm:pt modelId="{03D17E88-C51F-42F1-8619-EBE87FF4FF2F}" type="pres">
      <dgm:prSet presAssocID="{A1EF1E3B-EED6-45FD-AEBF-06771E4C9C81}" presName="rootText1" presStyleLbl="node0" presStyleIdx="0" presStyleCnt="1" custLinFactNeighborX="6196" custLinFactNeighborY="495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E30C15E-A7A8-47D2-8B5A-11F7876358B2}" type="pres">
      <dgm:prSet presAssocID="{A1EF1E3B-EED6-45FD-AEBF-06771E4C9C81}" presName="rootConnector1" presStyleLbl="node1" presStyleIdx="0" presStyleCnt="0"/>
      <dgm:spPr/>
      <dgm:t>
        <a:bodyPr/>
        <a:lstStyle/>
        <a:p>
          <a:endParaRPr lang="en-US"/>
        </a:p>
      </dgm:t>
    </dgm:pt>
    <dgm:pt modelId="{851D1400-50F4-47D2-9A8A-B3186E0AF19D}" type="pres">
      <dgm:prSet presAssocID="{A1EF1E3B-EED6-45FD-AEBF-06771E4C9C81}" presName="hierChild2" presStyleCnt="0"/>
      <dgm:spPr/>
    </dgm:pt>
    <dgm:pt modelId="{11A42FCC-A33B-422E-A7C3-5006B97F5243}" type="pres">
      <dgm:prSet presAssocID="{B99966C2-9F10-42A2-86B8-2DE98E535002}" presName="Name37" presStyleLbl="parChTrans1D2" presStyleIdx="0" presStyleCnt="4"/>
      <dgm:spPr/>
      <dgm:t>
        <a:bodyPr/>
        <a:lstStyle/>
        <a:p>
          <a:endParaRPr lang="en-US"/>
        </a:p>
      </dgm:t>
    </dgm:pt>
    <dgm:pt modelId="{C667EBB4-9688-41A4-9BBF-E0F4A9EF97BB}" type="pres">
      <dgm:prSet presAssocID="{F11D161F-2DB3-4DD0-AEC1-4B80D639181B}" presName="hierRoot2" presStyleCnt="0">
        <dgm:presLayoutVars>
          <dgm:hierBranch val="init"/>
        </dgm:presLayoutVars>
      </dgm:prSet>
      <dgm:spPr/>
    </dgm:pt>
    <dgm:pt modelId="{9FB40B38-67F5-4E45-8555-56A96062E2E1}" type="pres">
      <dgm:prSet presAssocID="{F11D161F-2DB3-4DD0-AEC1-4B80D639181B}" presName="rootComposite" presStyleCnt="0"/>
      <dgm:spPr/>
    </dgm:pt>
    <dgm:pt modelId="{906D6233-2962-4F8D-8CCA-3EFBDE10B3D0}" type="pres">
      <dgm:prSet presAssocID="{F11D161F-2DB3-4DD0-AEC1-4B80D639181B}" presName="rootText" presStyleLbl="node2" presStyleIdx="0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62116F5-3684-49C6-929C-5D963A2EC02E}" type="pres">
      <dgm:prSet presAssocID="{F11D161F-2DB3-4DD0-AEC1-4B80D639181B}" presName="rootConnector" presStyleLbl="node2" presStyleIdx="0" presStyleCnt="3"/>
      <dgm:spPr/>
      <dgm:t>
        <a:bodyPr/>
        <a:lstStyle/>
        <a:p>
          <a:endParaRPr lang="en-US"/>
        </a:p>
      </dgm:t>
    </dgm:pt>
    <dgm:pt modelId="{BA4B01AE-513D-496B-B3C9-89F612762102}" type="pres">
      <dgm:prSet presAssocID="{F11D161F-2DB3-4DD0-AEC1-4B80D639181B}" presName="hierChild4" presStyleCnt="0"/>
      <dgm:spPr/>
    </dgm:pt>
    <dgm:pt modelId="{3B00AF96-1B86-4D33-8697-382FC45992B0}" type="pres">
      <dgm:prSet presAssocID="{F11D161F-2DB3-4DD0-AEC1-4B80D639181B}" presName="hierChild5" presStyleCnt="0"/>
      <dgm:spPr/>
    </dgm:pt>
    <dgm:pt modelId="{0873557A-3C5F-4AB2-8C62-55DEF82ADCA5}" type="pres">
      <dgm:prSet presAssocID="{291D6AF3-AC55-451A-BEA8-216C56340EB5}" presName="Name37" presStyleLbl="parChTrans1D2" presStyleIdx="1" presStyleCnt="4"/>
      <dgm:spPr/>
      <dgm:t>
        <a:bodyPr/>
        <a:lstStyle/>
        <a:p>
          <a:endParaRPr lang="en-US"/>
        </a:p>
      </dgm:t>
    </dgm:pt>
    <dgm:pt modelId="{A577D37B-8858-4F22-8BEE-942E670C7C5F}" type="pres">
      <dgm:prSet presAssocID="{39230053-8117-4D92-9231-B8DFFFD1D5DC}" presName="hierRoot2" presStyleCnt="0">
        <dgm:presLayoutVars>
          <dgm:hierBranch val="init"/>
        </dgm:presLayoutVars>
      </dgm:prSet>
      <dgm:spPr/>
    </dgm:pt>
    <dgm:pt modelId="{C3DD9D81-645B-487D-BC88-89690022B111}" type="pres">
      <dgm:prSet presAssocID="{39230053-8117-4D92-9231-B8DFFFD1D5DC}" presName="rootComposite" presStyleCnt="0"/>
      <dgm:spPr/>
    </dgm:pt>
    <dgm:pt modelId="{694134DB-1A54-4716-B294-B928D1623931}" type="pres">
      <dgm:prSet presAssocID="{39230053-8117-4D92-9231-B8DFFFD1D5DC}" presName="rootText" presStyleLbl="node2" presStyleIdx="1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8FDA4CD-7B8F-4C74-86A7-2B1D9A9B5994}" type="pres">
      <dgm:prSet presAssocID="{39230053-8117-4D92-9231-B8DFFFD1D5DC}" presName="rootConnector" presStyleLbl="node2" presStyleIdx="1" presStyleCnt="3"/>
      <dgm:spPr/>
      <dgm:t>
        <a:bodyPr/>
        <a:lstStyle/>
        <a:p>
          <a:endParaRPr lang="en-US"/>
        </a:p>
      </dgm:t>
    </dgm:pt>
    <dgm:pt modelId="{D76C635E-6778-4AD2-8518-A09CC8622862}" type="pres">
      <dgm:prSet presAssocID="{39230053-8117-4D92-9231-B8DFFFD1D5DC}" presName="hierChild4" presStyleCnt="0"/>
      <dgm:spPr/>
    </dgm:pt>
    <dgm:pt modelId="{3FBECE11-8EEE-4641-A485-C15AC1CD9949}" type="pres">
      <dgm:prSet presAssocID="{3BFF77B3-6A8A-410E-8137-139F29C18E9C}" presName="Name37" presStyleLbl="parChTrans1D3" presStyleIdx="0" presStyleCnt="2"/>
      <dgm:spPr/>
      <dgm:t>
        <a:bodyPr/>
        <a:lstStyle/>
        <a:p>
          <a:endParaRPr lang="en-US"/>
        </a:p>
      </dgm:t>
    </dgm:pt>
    <dgm:pt modelId="{B5A8DECD-A49A-4B1E-AE9C-B198256F99D7}" type="pres">
      <dgm:prSet presAssocID="{5FCF86A6-ED3A-4905-B34C-AF808AE200EF}" presName="hierRoot2" presStyleCnt="0">
        <dgm:presLayoutVars>
          <dgm:hierBranch val="init"/>
        </dgm:presLayoutVars>
      </dgm:prSet>
      <dgm:spPr/>
    </dgm:pt>
    <dgm:pt modelId="{85A5232C-683C-406C-9256-6BAFC234FB39}" type="pres">
      <dgm:prSet presAssocID="{5FCF86A6-ED3A-4905-B34C-AF808AE200EF}" presName="rootComposite" presStyleCnt="0"/>
      <dgm:spPr/>
    </dgm:pt>
    <dgm:pt modelId="{0A676C38-5165-43D6-BAC5-EA6847645262}" type="pres">
      <dgm:prSet presAssocID="{5FCF86A6-ED3A-4905-B34C-AF808AE200EF}" presName="rootText" presStyleLbl="node3" presStyleIdx="0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E12E43D-6D32-4367-92C1-423C73E17002}" type="pres">
      <dgm:prSet presAssocID="{5FCF86A6-ED3A-4905-B34C-AF808AE200EF}" presName="rootConnector" presStyleLbl="node3" presStyleIdx="0" presStyleCnt="2"/>
      <dgm:spPr/>
      <dgm:t>
        <a:bodyPr/>
        <a:lstStyle/>
        <a:p>
          <a:endParaRPr lang="en-US"/>
        </a:p>
      </dgm:t>
    </dgm:pt>
    <dgm:pt modelId="{4539AAF3-4BAF-4C96-BD1E-B88D5B1ADB14}" type="pres">
      <dgm:prSet presAssocID="{5FCF86A6-ED3A-4905-B34C-AF808AE200EF}" presName="hierChild4" presStyleCnt="0"/>
      <dgm:spPr/>
    </dgm:pt>
    <dgm:pt modelId="{AB223AEE-A413-4C7F-ACA4-F7786C134543}" type="pres">
      <dgm:prSet presAssocID="{5FCF86A6-ED3A-4905-B34C-AF808AE200EF}" presName="hierChild5" presStyleCnt="0"/>
      <dgm:spPr/>
    </dgm:pt>
    <dgm:pt modelId="{1D0D226B-1877-475E-9EF6-0BA629FCCC15}" type="pres">
      <dgm:prSet presAssocID="{851946DB-E290-45CB-91CD-1685F0E5EED6}" presName="Name37" presStyleLbl="parChTrans1D3" presStyleIdx="1" presStyleCnt="2"/>
      <dgm:spPr/>
      <dgm:t>
        <a:bodyPr/>
        <a:lstStyle/>
        <a:p>
          <a:endParaRPr lang="en-US"/>
        </a:p>
      </dgm:t>
    </dgm:pt>
    <dgm:pt modelId="{282B2675-54F8-474C-B63F-2DFCB402CB86}" type="pres">
      <dgm:prSet presAssocID="{7DC3B7CE-BA7F-4B77-AA3B-8A1268A50C63}" presName="hierRoot2" presStyleCnt="0">
        <dgm:presLayoutVars>
          <dgm:hierBranch val="init"/>
        </dgm:presLayoutVars>
      </dgm:prSet>
      <dgm:spPr/>
    </dgm:pt>
    <dgm:pt modelId="{48182AD1-E1AF-4920-8962-D88348A5DC57}" type="pres">
      <dgm:prSet presAssocID="{7DC3B7CE-BA7F-4B77-AA3B-8A1268A50C63}" presName="rootComposite" presStyleCnt="0"/>
      <dgm:spPr/>
    </dgm:pt>
    <dgm:pt modelId="{ED350E4C-BC78-424C-8A7A-ED3F96EB806C}" type="pres">
      <dgm:prSet presAssocID="{7DC3B7CE-BA7F-4B77-AA3B-8A1268A50C63}" presName="rootText" presStyleLbl="node3" presStyleIdx="1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87E2B07-BC51-4162-BBA9-AF49446870FE}" type="pres">
      <dgm:prSet presAssocID="{7DC3B7CE-BA7F-4B77-AA3B-8A1268A50C63}" presName="rootConnector" presStyleLbl="node3" presStyleIdx="1" presStyleCnt="2"/>
      <dgm:spPr/>
      <dgm:t>
        <a:bodyPr/>
        <a:lstStyle/>
        <a:p>
          <a:endParaRPr lang="en-US"/>
        </a:p>
      </dgm:t>
    </dgm:pt>
    <dgm:pt modelId="{8CC3BA0D-C900-4104-BBD8-AE733A0436F4}" type="pres">
      <dgm:prSet presAssocID="{7DC3B7CE-BA7F-4B77-AA3B-8A1268A50C63}" presName="hierChild4" presStyleCnt="0"/>
      <dgm:spPr/>
    </dgm:pt>
    <dgm:pt modelId="{DB55C677-D1E0-4BB0-BA80-C63FD70BD903}" type="pres">
      <dgm:prSet presAssocID="{7DC3B7CE-BA7F-4B77-AA3B-8A1268A50C63}" presName="hierChild5" presStyleCnt="0"/>
      <dgm:spPr/>
    </dgm:pt>
    <dgm:pt modelId="{AA3D9CAE-10B2-4224-9242-FF9A928395E3}" type="pres">
      <dgm:prSet presAssocID="{39230053-8117-4D92-9231-B8DFFFD1D5DC}" presName="hierChild5" presStyleCnt="0"/>
      <dgm:spPr/>
    </dgm:pt>
    <dgm:pt modelId="{A86A594E-1016-48DC-A401-1837F7E96E3C}" type="pres">
      <dgm:prSet presAssocID="{F0035443-8067-4F7B-B6E8-6709A28A6F13}" presName="Name37" presStyleLbl="parChTrans1D2" presStyleIdx="2" presStyleCnt="4"/>
      <dgm:spPr/>
      <dgm:t>
        <a:bodyPr/>
        <a:lstStyle/>
        <a:p>
          <a:endParaRPr lang="en-US"/>
        </a:p>
      </dgm:t>
    </dgm:pt>
    <dgm:pt modelId="{64B79CD3-8C21-40C7-A764-97E32A2108CA}" type="pres">
      <dgm:prSet presAssocID="{E64CEE6B-AA9E-4C5E-AE23-DAC6140DCFCC}" presName="hierRoot2" presStyleCnt="0">
        <dgm:presLayoutVars>
          <dgm:hierBranch val="init"/>
        </dgm:presLayoutVars>
      </dgm:prSet>
      <dgm:spPr/>
    </dgm:pt>
    <dgm:pt modelId="{C6551096-4649-4190-AC39-292659B68C59}" type="pres">
      <dgm:prSet presAssocID="{E64CEE6B-AA9E-4C5E-AE23-DAC6140DCFCC}" presName="rootComposite" presStyleCnt="0"/>
      <dgm:spPr/>
    </dgm:pt>
    <dgm:pt modelId="{90368CC1-7F86-4C01-8F72-9DD786C50D5A}" type="pres">
      <dgm:prSet presAssocID="{E64CEE6B-AA9E-4C5E-AE23-DAC6140DCFCC}" presName="rootText" presStyleLbl="node2" presStyleIdx="2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896D080-366C-4611-AD30-D19B1AE1BC95}" type="pres">
      <dgm:prSet presAssocID="{E64CEE6B-AA9E-4C5E-AE23-DAC6140DCFCC}" presName="rootConnector" presStyleLbl="node2" presStyleIdx="2" presStyleCnt="3"/>
      <dgm:spPr/>
      <dgm:t>
        <a:bodyPr/>
        <a:lstStyle/>
        <a:p>
          <a:endParaRPr lang="en-US"/>
        </a:p>
      </dgm:t>
    </dgm:pt>
    <dgm:pt modelId="{80CFD48E-EE05-4741-A89C-1E76E34ACF99}" type="pres">
      <dgm:prSet presAssocID="{E64CEE6B-AA9E-4C5E-AE23-DAC6140DCFCC}" presName="hierChild4" presStyleCnt="0"/>
      <dgm:spPr/>
    </dgm:pt>
    <dgm:pt modelId="{381F504E-BAD7-4F18-AA81-C6BFB42DBC1C}" type="pres">
      <dgm:prSet presAssocID="{E64CEE6B-AA9E-4C5E-AE23-DAC6140DCFCC}" presName="hierChild5" presStyleCnt="0"/>
      <dgm:spPr/>
    </dgm:pt>
    <dgm:pt modelId="{78CE3466-AAFD-4B58-9711-09688B0FC0DA}" type="pres">
      <dgm:prSet presAssocID="{A1EF1E3B-EED6-45FD-AEBF-06771E4C9C81}" presName="hierChild3" presStyleCnt="0"/>
      <dgm:spPr/>
    </dgm:pt>
    <dgm:pt modelId="{AE139C4D-DBD4-4FD9-8427-CA6003A3CF07}" type="pres">
      <dgm:prSet presAssocID="{BDA57251-7E23-421A-BB2A-FED3601616A0}" presName="Name111" presStyleLbl="parChTrans1D2" presStyleIdx="3" presStyleCnt="4"/>
      <dgm:spPr/>
      <dgm:t>
        <a:bodyPr/>
        <a:lstStyle/>
        <a:p>
          <a:endParaRPr lang="en-US"/>
        </a:p>
      </dgm:t>
    </dgm:pt>
    <dgm:pt modelId="{7704D06F-180C-4DC3-A043-94CF6A4E99A9}" type="pres">
      <dgm:prSet presAssocID="{D9681988-DE5C-408A-8C62-F185E9CFFC6C}" presName="hierRoot3" presStyleCnt="0">
        <dgm:presLayoutVars>
          <dgm:hierBranch val="init"/>
        </dgm:presLayoutVars>
      </dgm:prSet>
      <dgm:spPr/>
    </dgm:pt>
    <dgm:pt modelId="{5AE7041C-099C-4C31-A2F2-23E5A65308D2}" type="pres">
      <dgm:prSet presAssocID="{D9681988-DE5C-408A-8C62-F185E9CFFC6C}" presName="rootComposite3" presStyleCnt="0"/>
      <dgm:spPr/>
    </dgm:pt>
    <dgm:pt modelId="{72239865-3FA8-459E-B4F7-78AEE5191F8D}" type="pres">
      <dgm:prSet presAssocID="{D9681988-DE5C-408A-8C62-F185E9CFFC6C}" presName="rootText3" presStyleLbl="asst1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C67BB68-00BF-4B19-A94B-F96C92AA9650}" type="pres">
      <dgm:prSet presAssocID="{D9681988-DE5C-408A-8C62-F185E9CFFC6C}" presName="rootConnector3" presStyleLbl="asst1" presStyleIdx="0" presStyleCnt="1"/>
      <dgm:spPr/>
      <dgm:t>
        <a:bodyPr/>
        <a:lstStyle/>
        <a:p>
          <a:endParaRPr lang="en-US"/>
        </a:p>
      </dgm:t>
    </dgm:pt>
    <dgm:pt modelId="{6D2F7374-83B8-4C62-9721-E4653DB8E7FB}" type="pres">
      <dgm:prSet presAssocID="{D9681988-DE5C-408A-8C62-F185E9CFFC6C}" presName="hierChild6" presStyleCnt="0"/>
      <dgm:spPr/>
    </dgm:pt>
    <dgm:pt modelId="{1F587AAB-8CE5-4FAF-BC75-4A8B60984329}" type="pres">
      <dgm:prSet presAssocID="{D9681988-DE5C-408A-8C62-F185E9CFFC6C}" presName="hierChild7" presStyleCnt="0"/>
      <dgm:spPr/>
    </dgm:pt>
  </dgm:ptLst>
  <dgm:cxnLst>
    <dgm:cxn modelId="{25A80C4D-2451-4163-9CBF-BB0B9DEF8139}" type="presOf" srcId="{B99966C2-9F10-42A2-86B8-2DE98E535002}" destId="{11A42FCC-A33B-422E-A7C3-5006B97F5243}" srcOrd="0" destOrd="0" presId="urn:microsoft.com/office/officeart/2005/8/layout/orgChart1"/>
    <dgm:cxn modelId="{BF9892FD-9EB4-492A-AF2E-CBF8EAA157DC}" type="presOf" srcId="{F11D161F-2DB3-4DD0-AEC1-4B80D639181B}" destId="{906D6233-2962-4F8D-8CCA-3EFBDE10B3D0}" srcOrd="0" destOrd="0" presId="urn:microsoft.com/office/officeart/2005/8/layout/orgChart1"/>
    <dgm:cxn modelId="{319262F1-8BFC-4D94-B0D8-447606D1DB70}" srcId="{190FB612-A57C-4C20-9456-D1A3E2D76190}" destId="{A1EF1E3B-EED6-45FD-AEBF-06771E4C9C81}" srcOrd="0" destOrd="0" parTransId="{15104517-10FB-49F4-85FA-526AE2EEBD9C}" sibTransId="{5E561C64-9426-433A-8E3F-76A408F547FB}"/>
    <dgm:cxn modelId="{8FFCE3B6-9C74-446F-94AA-D22C64313EB7}" type="presOf" srcId="{F0035443-8067-4F7B-B6E8-6709A28A6F13}" destId="{A86A594E-1016-48DC-A401-1837F7E96E3C}" srcOrd="0" destOrd="0" presId="urn:microsoft.com/office/officeart/2005/8/layout/orgChart1"/>
    <dgm:cxn modelId="{5953020B-3517-407D-9352-BE64BA9FF8CB}" type="presOf" srcId="{5FCF86A6-ED3A-4905-B34C-AF808AE200EF}" destId="{0A676C38-5165-43D6-BAC5-EA6847645262}" srcOrd="0" destOrd="0" presId="urn:microsoft.com/office/officeart/2005/8/layout/orgChart1"/>
    <dgm:cxn modelId="{08D962BC-9A8D-4FFF-B500-7F9D790F93E7}" srcId="{A1EF1E3B-EED6-45FD-AEBF-06771E4C9C81}" destId="{39230053-8117-4D92-9231-B8DFFFD1D5DC}" srcOrd="2" destOrd="0" parTransId="{291D6AF3-AC55-451A-BEA8-216C56340EB5}" sibTransId="{72F04C63-75A8-4E86-B076-ABC0355CFB75}"/>
    <dgm:cxn modelId="{F5C2128D-D2D5-44F6-B526-E7929508DCFC}" type="presOf" srcId="{BDA57251-7E23-421A-BB2A-FED3601616A0}" destId="{AE139C4D-DBD4-4FD9-8427-CA6003A3CF07}" srcOrd="0" destOrd="0" presId="urn:microsoft.com/office/officeart/2005/8/layout/orgChart1"/>
    <dgm:cxn modelId="{48D19D5B-6511-4D2B-80BD-E8DF2B783244}" type="presOf" srcId="{D9681988-DE5C-408A-8C62-F185E9CFFC6C}" destId="{72239865-3FA8-459E-B4F7-78AEE5191F8D}" srcOrd="0" destOrd="0" presId="urn:microsoft.com/office/officeart/2005/8/layout/orgChart1"/>
    <dgm:cxn modelId="{BBE1028A-629A-4FBA-8A8D-2148F69DDAD6}" type="presOf" srcId="{A1EF1E3B-EED6-45FD-AEBF-06771E4C9C81}" destId="{DE30C15E-A7A8-47D2-8B5A-11F7876358B2}" srcOrd="1" destOrd="0" presId="urn:microsoft.com/office/officeart/2005/8/layout/orgChart1"/>
    <dgm:cxn modelId="{B4A4319C-44DA-4504-9855-BFF5158B2605}" type="presOf" srcId="{E64CEE6B-AA9E-4C5E-AE23-DAC6140DCFCC}" destId="{90368CC1-7F86-4C01-8F72-9DD786C50D5A}" srcOrd="0" destOrd="0" presId="urn:microsoft.com/office/officeart/2005/8/layout/orgChart1"/>
    <dgm:cxn modelId="{2D543363-A935-4B50-AD1C-3E9A85BAF46E}" type="presOf" srcId="{190FB612-A57C-4C20-9456-D1A3E2D76190}" destId="{42EA4977-950D-413C-9E56-6DF86AAC4D7D}" srcOrd="0" destOrd="0" presId="urn:microsoft.com/office/officeart/2005/8/layout/orgChart1"/>
    <dgm:cxn modelId="{4A0B5809-0295-40DA-91E5-F63815340DEA}" srcId="{A1EF1E3B-EED6-45FD-AEBF-06771E4C9C81}" destId="{F11D161F-2DB3-4DD0-AEC1-4B80D639181B}" srcOrd="1" destOrd="0" parTransId="{B99966C2-9F10-42A2-86B8-2DE98E535002}" sibTransId="{BF7F930C-CA7F-481C-8805-0AA8301628A8}"/>
    <dgm:cxn modelId="{DDB73850-490E-41FF-AA31-121553FBAAAA}" type="presOf" srcId="{7DC3B7CE-BA7F-4B77-AA3B-8A1268A50C63}" destId="{ED350E4C-BC78-424C-8A7A-ED3F96EB806C}" srcOrd="0" destOrd="0" presId="urn:microsoft.com/office/officeart/2005/8/layout/orgChart1"/>
    <dgm:cxn modelId="{55FC44D8-6E7E-4244-B2C0-F9904C4F716E}" srcId="{39230053-8117-4D92-9231-B8DFFFD1D5DC}" destId="{7DC3B7CE-BA7F-4B77-AA3B-8A1268A50C63}" srcOrd="1" destOrd="0" parTransId="{851946DB-E290-45CB-91CD-1685F0E5EED6}" sibTransId="{A424A18F-0D86-4F3D-B0FF-CA8C71120A84}"/>
    <dgm:cxn modelId="{AF383B29-D2F3-46DB-8B9E-6DB9B050DC80}" srcId="{39230053-8117-4D92-9231-B8DFFFD1D5DC}" destId="{5FCF86A6-ED3A-4905-B34C-AF808AE200EF}" srcOrd="0" destOrd="0" parTransId="{3BFF77B3-6A8A-410E-8137-139F29C18E9C}" sibTransId="{35427394-7CD9-4DCF-A026-B56D39401249}"/>
    <dgm:cxn modelId="{DA1D884F-DC39-43E4-A4CF-AD93E93F70B5}" type="presOf" srcId="{39230053-8117-4D92-9231-B8DFFFD1D5DC}" destId="{694134DB-1A54-4716-B294-B928D1623931}" srcOrd="0" destOrd="0" presId="urn:microsoft.com/office/officeart/2005/8/layout/orgChart1"/>
    <dgm:cxn modelId="{62330677-2546-42DD-B881-AFA35516A3F3}" type="presOf" srcId="{E64CEE6B-AA9E-4C5E-AE23-DAC6140DCFCC}" destId="{4896D080-366C-4611-AD30-D19B1AE1BC95}" srcOrd="1" destOrd="0" presId="urn:microsoft.com/office/officeart/2005/8/layout/orgChart1"/>
    <dgm:cxn modelId="{28BC96CB-5A7C-4B55-B268-1E777A3188D7}" srcId="{A1EF1E3B-EED6-45FD-AEBF-06771E4C9C81}" destId="{D9681988-DE5C-408A-8C62-F185E9CFFC6C}" srcOrd="0" destOrd="0" parTransId="{BDA57251-7E23-421A-BB2A-FED3601616A0}" sibTransId="{34FC5B24-2CA9-44FA-A4CC-0505D50EEBA8}"/>
    <dgm:cxn modelId="{FB86ED45-A4BE-455D-8213-98122FE56714}" srcId="{A1EF1E3B-EED6-45FD-AEBF-06771E4C9C81}" destId="{E64CEE6B-AA9E-4C5E-AE23-DAC6140DCFCC}" srcOrd="3" destOrd="0" parTransId="{F0035443-8067-4F7B-B6E8-6709A28A6F13}" sibTransId="{3476BA48-1030-40F8-90C3-5ED48CC412C4}"/>
    <dgm:cxn modelId="{8F9D2363-2A29-48EF-B2F6-D670E4848A0E}" type="presOf" srcId="{5FCF86A6-ED3A-4905-B34C-AF808AE200EF}" destId="{9E12E43D-6D32-4367-92C1-423C73E17002}" srcOrd="1" destOrd="0" presId="urn:microsoft.com/office/officeart/2005/8/layout/orgChart1"/>
    <dgm:cxn modelId="{AF5F472F-167A-47B1-A045-42285F4B1290}" type="presOf" srcId="{291D6AF3-AC55-451A-BEA8-216C56340EB5}" destId="{0873557A-3C5F-4AB2-8C62-55DEF82ADCA5}" srcOrd="0" destOrd="0" presId="urn:microsoft.com/office/officeart/2005/8/layout/orgChart1"/>
    <dgm:cxn modelId="{6BC9115D-FB1D-49BE-858F-26A618547F17}" type="presOf" srcId="{D9681988-DE5C-408A-8C62-F185E9CFFC6C}" destId="{3C67BB68-00BF-4B19-A94B-F96C92AA9650}" srcOrd="1" destOrd="0" presId="urn:microsoft.com/office/officeart/2005/8/layout/orgChart1"/>
    <dgm:cxn modelId="{76EC9F09-42C0-4363-8590-65D11B7ACE23}" type="presOf" srcId="{7DC3B7CE-BA7F-4B77-AA3B-8A1268A50C63}" destId="{B87E2B07-BC51-4162-BBA9-AF49446870FE}" srcOrd="1" destOrd="0" presId="urn:microsoft.com/office/officeart/2005/8/layout/orgChart1"/>
    <dgm:cxn modelId="{F5795F78-EB74-45AE-9BA4-08107802EA17}" type="presOf" srcId="{F11D161F-2DB3-4DD0-AEC1-4B80D639181B}" destId="{F62116F5-3684-49C6-929C-5D963A2EC02E}" srcOrd="1" destOrd="0" presId="urn:microsoft.com/office/officeart/2005/8/layout/orgChart1"/>
    <dgm:cxn modelId="{F5D4E2AD-781D-41AD-81E1-73CC95AE54F9}" type="presOf" srcId="{851946DB-E290-45CB-91CD-1685F0E5EED6}" destId="{1D0D226B-1877-475E-9EF6-0BA629FCCC15}" srcOrd="0" destOrd="0" presId="urn:microsoft.com/office/officeart/2005/8/layout/orgChart1"/>
    <dgm:cxn modelId="{F8B89AED-601A-489E-996A-FA92B3E92762}" type="presOf" srcId="{A1EF1E3B-EED6-45FD-AEBF-06771E4C9C81}" destId="{03D17E88-C51F-42F1-8619-EBE87FF4FF2F}" srcOrd="0" destOrd="0" presId="urn:microsoft.com/office/officeart/2005/8/layout/orgChart1"/>
    <dgm:cxn modelId="{86CE1918-16B4-4F1E-82EC-F1C66318A2A8}" type="presOf" srcId="{39230053-8117-4D92-9231-B8DFFFD1D5DC}" destId="{28FDA4CD-7B8F-4C74-86A7-2B1D9A9B5994}" srcOrd="1" destOrd="0" presId="urn:microsoft.com/office/officeart/2005/8/layout/orgChart1"/>
    <dgm:cxn modelId="{3904770E-AC47-489B-9F83-ECE6FE0B0794}" type="presOf" srcId="{3BFF77B3-6A8A-410E-8137-139F29C18E9C}" destId="{3FBECE11-8EEE-4641-A485-C15AC1CD9949}" srcOrd="0" destOrd="0" presId="urn:microsoft.com/office/officeart/2005/8/layout/orgChart1"/>
    <dgm:cxn modelId="{19674236-4AFB-4FD6-B25A-48D9B8D7E6BA}" type="presParOf" srcId="{42EA4977-950D-413C-9E56-6DF86AAC4D7D}" destId="{2FE2ADAB-0A24-477D-9744-E52E4F485623}" srcOrd="0" destOrd="0" presId="urn:microsoft.com/office/officeart/2005/8/layout/orgChart1"/>
    <dgm:cxn modelId="{59CF467C-83B6-43B3-A494-6BDD1194CF6D}" type="presParOf" srcId="{2FE2ADAB-0A24-477D-9744-E52E4F485623}" destId="{5E13441F-1AC1-447C-AAF6-D92F8AEFDF61}" srcOrd="0" destOrd="0" presId="urn:microsoft.com/office/officeart/2005/8/layout/orgChart1"/>
    <dgm:cxn modelId="{27BF19D3-A4AA-42B7-AA44-84ABE5130570}" type="presParOf" srcId="{5E13441F-1AC1-447C-AAF6-D92F8AEFDF61}" destId="{03D17E88-C51F-42F1-8619-EBE87FF4FF2F}" srcOrd="0" destOrd="0" presId="urn:microsoft.com/office/officeart/2005/8/layout/orgChart1"/>
    <dgm:cxn modelId="{9C830C0C-65A5-436C-90B4-A540C671956B}" type="presParOf" srcId="{5E13441F-1AC1-447C-AAF6-D92F8AEFDF61}" destId="{DE30C15E-A7A8-47D2-8B5A-11F7876358B2}" srcOrd="1" destOrd="0" presId="urn:microsoft.com/office/officeart/2005/8/layout/orgChart1"/>
    <dgm:cxn modelId="{0FC9F485-92B1-41B4-80E6-EDBDDA731235}" type="presParOf" srcId="{2FE2ADAB-0A24-477D-9744-E52E4F485623}" destId="{851D1400-50F4-47D2-9A8A-B3186E0AF19D}" srcOrd="1" destOrd="0" presId="urn:microsoft.com/office/officeart/2005/8/layout/orgChart1"/>
    <dgm:cxn modelId="{8174831A-ADE5-46FD-9B00-AD3E6F1649BF}" type="presParOf" srcId="{851D1400-50F4-47D2-9A8A-B3186E0AF19D}" destId="{11A42FCC-A33B-422E-A7C3-5006B97F5243}" srcOrd="0" destOrd="0" presId="urn:microsoft.com/office/officeart/2005/8/layout/orgChart1"/>
    <dgm:cxn modelId="{F64452CD-95B9-4A5B-8D19-9B5FD62070BC}" type="presParOf" srcId="{851D1400-50F4-47D2-9A8A-B3186E0AF19D}" destId="{C667EBB4-9688-41A4-9BBF-E0F4A9EF97BB}" srcOrd="1" destOrd="0" presId="urn:microsoft.com/office/officeart/2005/8/layout/orgChart1"/>
    <dgm:cxn modelId="{FC339B82-1BEE-4FD0-B5F6-1853BB6699C1}" type="presParOf" srcId="{C667EBB4-9688-41A4-9BBF-E0F4A9EF97BB}" destId="{9FB40B38-67F5-4E45-8555-56A96062E2E1}" srcOrd="0" destOrd="0" presId="urn:microsoft.com/office/officeart/2005/8/layout/orgChart1"/>
    <dgm:cxn modelId="{42A00604-7F22-428D-B3DE-DD7C333A02A2}" type="presParOf" srcId="{9FB40B38-67F5-4E45-8555-56A96062E2E1}" destId="{906D6233-2962-4F8D-8CCA-3EFBDE10B3D0}" srcOrd="0" destOrd="0" presId="urn:microsoft.com/office/officeart/2005/8/layout/orgChart1"/>
    <dgm:cxn modelId="{3430F72B-C492-418F-84AD-2E56B418616D}" type="presParOf" srcId="{9FB40B38-67F5-4E45-8555-56A96062E2E1}" destId="{F62116F5-3684-49C6-929C-5D963A2EC02E}" srcOrd="1" destOrd="0" presId="urn:microsoft.com/office/officeart/2005/8/layout/orgChart1"/>
    <dgm:cxn modelId="{57B71BA3-6878-40AA-A464-8EED38368BE0}" type="presParOf" srcId="{C667EBB4-9688-41A4-9BBF-E0F4A9EF97BB}" destId="{BA4B01AE-513D-496B-B3C9-89F612762102}" srcOrd="1" destOrd="0" presId="urn:microsoft.com/office/officeart/2005/8/layout/orgChart1"/>
    <dgm:cxn modelId="{7B706197-C963-449A-B087-8B11713656EB}" type="presParOf" srcId="{C667EBB4-9688-41A4-9BBF-E0F4A9EF97BB}" destId="{3B00AF96-1B86-4D33-8697-382FC45992B0}" srcOrd="2" destOrd="0" presId="urn:microsoft.com/office/officeart/2005/8/layout/orgChart1"/>
    <dgm:cxn modelId="{1C235E09-46AF-467F-BD80-96DF6C0AEBDD}" type="presParOf" srcId="{851D1400-50F4-47D2-9A8A-B3186E0AF19D}" destId="{0873557A-3C5F-4AB2-8C62-55DEF82ADCA5}" srcOrd="2" destOrd="0" presId="urn:microsoft.com/office/officeart/2005/8/layout/orgChart1"/>
    <dgm:cxn modelId="{AC52859C-FA26-437A-9417-F1449AF5EA6D}" type="presParOf" srcId="{851D1400-50F4-47D2-9A8A-B3186E0AF19D}" destId="{A577D37B-8858-4F22-8BEE-942E670C7C5F}" srcOrd="3" destOrd="0" presId="urn:microsoft.com/office/officeart/2005/8/layout/orgChart1"/>
    <dgm:cxn modelId="{94C4271C-97AE-4015-B7FD-9E98AC26E36D}" type="presParOf" srcId="{A577D37B-8858-4F22-8BEE-942E670C7C5F}" destId="{C3DD9D81-645B-487D-BC88-89690022B111}" srcOrd="0" destOrd="0" presId="urn:microsoft.com/office/officeart/2005/8/layout/orgChart1"/>
    <dgm:cxn modelId="{49F60F17-D730-4E6F-95AF-E9458D7B093F}" type="presParOf" srcId="{C3DD9D81-645B-487D-BC88-89690022B111}" destId="{694134DB-1A54-4716-B294-B928D1623931}" srcOrd="0" destOrd="0" presId="urn:microsoft.com/office/officeart/2005/8/layout/orgChart1"/>
    <dgm:cxn modelId="{5ABD39D9-DB66-42B3-B05E-6601CACE4B3F}" type="presParOf" srcId="{C3DD9D81-645B-487D-BC88-89690022B111}" destId="{28FDA4CD-7B8F-4C74-86A7-2B1D9A9B5994}" srcOrd="1" destOrd="0" presId="urn:microsoft.com/office/officeart/2005/8/layout/orgChart1"/>
    <dgm:cxn modelId="{94E957F3-067B-4E59-A23B-111E604B34E5}" type="presParOf" srcId="{A577D37B-8858-4F22-8BEE-942E670C7C5F}" destId="{D76C635E-6778-4AD2-8518-A09CC8622862}" srcOrd="1" destOrd="0" presId="urn:microsoft.com/office/officeart/2005/8/layout/orgChart1"/>
    <dgm:cxn modelId="{047A9629-E4F1-4AF0-8398-03829A0BF0CD}" type="presParOf" srcId="{D76C635E-6778-4AD2-8518-A09CC8622862}" destId="{3FBECE11-8EEE-4641-A485-C15AC1CD9949}" srcOrd="0" destOrd="0" presId="urn:microsoft.com/office/officeart/2005/8/layout/orgChart1"/>
    <dgm:cxn modelId="{F0EDDC52-B605-4325-A116-7193AF13EE9D}" type="presParOf" srcId="{D76C635E-6778-4AD2-8518-A09CC8622862}" destId="{B5A8DECD-A49A-4B1E-AE9C-B198256F99D7}" srcOrd="1" destOrd="0" presId="urn:microsoft.com/office/officeart/2005/8/layout/orgChart1"/>
    <dgm:cxn modelId="{B10B56EA-8DA9-4617-BF8C-270DC94380E2}" type="presParOf" srcId="{B5A8DECD-A49A-4B1E-AE9C-B198256F99D7}" destId="{85A5232C-683C-406C-9256-6BAFC234FB39}" srcOrd="0" destOrd="0" presId="urn:microsoft.com/office/officeart/2005/8/layout/orgChart1"/>
    <dgm:cxn modelId="{91009981-E9FF-4D49-AE06-ABBCEC23B317}" type="presParOf" srcId="{85A5232C-683C-406C-9256-6BAFC234FB39}" destId="{0A676C38-5165-43D6-BAC5-EA6847645262}" srcOrd="0" destOrd="0" presId="urn:microsoft.com/office/officeart/2005/8/layout/orgChart1"/>
    <dgm:cxn modelId="{F61B0B58-30C9-4380-9047-52EE4A11FDA2}" type="presParOf" srcId="{85A5232C-683C-406C-9256-6BAFC234FB39}" destId="{9E12E43D-6D32-4367-92C1-423C73E17002}" srcOrd="1" destOrd="0" presId="urn:microsoft.com/office/officeart/2005/8/layout/orgChart1"/>
    <dgm:cxn modelId="{B68D0440-A105-4820-A589-AB6E4800E636}" type="presParOf" srcId="{B5A8DECD-A49A-4B1E-AE9C-B198256F99D7}" destId="{4539AAF3-4BAF-4C96-BD1E-B88D5B1ADB14}" srcOrd="1" destOrd="0" presId="urn:microsoft.com/office/officeart/2005/8/layout/orgChart1"/>
    <dgm:cxn modelId="{4F4C7B06-1B12-44A8-93FA-A2EB660D32B2}" type="presParOf" srcId="{B5A8DECD-A49A-4B1E-AE9C-B198256F99D7}" destId="{AB223AEE-A413-4C7F-ACA4-F7786C134543}" srcOrd="2" destOrd="0" presId="urn:microsoft.com/office/officeart/2005/8/layout/orgChart1"/>
    <dgm:cxn modelId="{15E25E96-DC4F-4B00-AEA5-EE74068BEA6D}" type="presParOf" srcId="{D76C635E-6778-4AD2-8518-A09CC8622862}" destId="{1D0D226B-1877-475E-9EF6-0BA629FCCC15}" srcOrd="2" destOrd="0" presId="urn:microsoft.com/office/officeart/2005/8/layout/orgChart1"/>
    <dgm:cxn modelId="{EBCC86FF-FA2C-4B92-8A74-C9D4FE103F3C}" type="presParOf" srcId="{D76C635E-6778-4AD2-8518-A09CC8622862}" destId="{282B2675-54F8-474C-B63F-2DFCB402CB86}" srcOrd="3" destOrd="0" presId="urn:microsoft.com/office/officeart/2005/8/layout/orgChart1"/>
    <dgm:cxn modelId="{DEB7FE08-401B-4F3B-B23F-BB34CEAE8559}" type="presParOf" srcId="{282B2675-54F8-474C-B63F-2DFCB402CB86}" destId="{48182AD1-E1AF-4920-8962-D88348A5DC57}" srcOrd="0" destOrd="0" presId="urn:microsoft.com/office/officeart/2005/8/layout/orgChart1"/>
    <dgm:cxn modelId="{3C746FB2-0C57-4FB6-A685-E1693290146D}" type="presParOf" srcId="{48182AD1-E1AF-4920-8962-D88348A5DC57}" destId="{ED350E4C-BC78-424C-8A7A-ED3F96EB806C}" srcOrd="0" destOrd="0" presId="urn:microsoft.com/office/officeart/2005/8/layout/orgChart1"/>
    <dgm:cxn modelId="{94BE38C6-9D37-4651-8E91-DF3A11B508AF}" type="presParOf" srcId="{48182AD1-E1AF-4920-8962-D88348A5DC57}" destId="{B87E2B07-BC51-4162-BBA9-AF49446870FE}" srcOrd="1" destOrd="0" presId="urn:microsoft.com/office/officeart/2005/8/layout/orgChart1"/>
    <dgm:cxn modelId="{BFE64EAD-ED79-4296-8CC3-2823079E06F8}" type="presParOf" srcId="{282B2675-54F8-474C-B63F-2DFCB402CB86}" destId="{8CC3BA0D-C900-4104-BBD8-AE733A0436F4}" srcOrd="1" destOrd="0" presId="urn:microsoft.com/office/officeart/2005/8/layout/orgChart1"/>
    <dgm:cxn modelId="{28C02701-D973-43F0-A76E-5F516F6A854E}" type="presParOf" srcId="{282B2675-54F8-474C-B63F-2DFCB402CB86}" destId="{DB55C677-D1E0-4BB0-BA80-C63FD70BD903}" srcOrd="2" destOrd="0" presId="urn:microsoft.com/office/officeart/2005/8/layout/orgChart1"/>
    <dgm:cxn modelId="{50981AAF-ACE4-4B9D-8C6C-7564BF01F3AE}" type="presParOf" srcId="{A577D37B-8858-4F22-8BEE-942E670C7C5F}" destId="{AA3D9CAE-10B2-4224-9242-FF9A928395E3}" srcOrd="2" destOrd="0" presId="urn:microsoft.com/office/officeart/2005/8/layout/orgChart1"/>
    <dgm:cxn modelId="{9FA262BA-EDB9-40AF-B1BD-62C863CF04C6}" type="presParOf" srcId="{851D1400-50F4-47D2-9A8A-B3186E0AF19D}" destId="{A86A594E-1016-48DC-A401-1837F7E96E3C}" srcOrd="4" destOrd="0" presId="urn:microsoft.com/office/officeart/2005/8/layout/orgChart1"/>
    <dgm:cxn modelId="{49A5420B-3620-4433-ACFF-ADBECA166BA0}" type="presParOf" srcId="{851D1400-50F4-47D2-9A8A-B3186E0AF19D}" destId="{64B79CD3-8C21-40C7-A764-97E32A2108CA}" srcOrd="5" destOrd="0" presId="urn:microsoft.com/office/officeart/2005/8/layout/orgChart1"/>
    <dgm:cxn modelId="{8114A7C2-644F-45F4-B3AE-DD5850E17887}" type="presParOf" srcId="{64B79CD3-8C21-40C7-A764-97E32A2108CA}" destId="{C6551096-4649-4190-AC39-292659B68C59}" srcOrd="0" destOrd="0" presId="urn:microsoft.com/office/officeart/2005/8/layout/orgChart1"/>
    <dgm:cxn modelId="{FB97D142-4083-49DF-B1A8-B010ACE2E3C7}" type="presParOf" srcId="{C6551096-4649-4190-AC39-292659B68C59}" destId="{90368CC1-7F86-4C01-8F72-9DD786C50D5A}" srcOrd="0" destOrd="0" presId="urn:microsoft.com/office/officeart/2005/8/layout/orgChart1"/>
    <dgm:cxn modelId="{8341D0F8-DE5C-4C98-AF6F-9B03E6E53566}" type="presParOf" srcId="{C6551096-4649-4190-AC39-292659B68C59}" destId="{4896D080-366C-4611-AD30-D19B1AE1BC95}" srcOrd="1" destOrd="0" presId="urn:microsoft.com/office/officeart/2005/8/layout/orgChart1"/>
    <dgm:cxn modelId="{B6B53F7D-6BA8-4253-82DF-D9778F91409A}" type="presParOf" srcId="{64B79CD3-8C21-40C7-A764-97E32A2108CA}" destId="{80CFD48E-EE05-4741-A89C-1E76E34ACF99}" srcOrd="1" destOrd="0" presId="urn:microsoft.com/office/officeart/2005/8/layout/orgChart1"/>
    <dgm:cxn modelId="{C2EB9EBE-85D9-42D3-9E9D-78492210E76B}" type="presParOf" srcId="{64B79CD3-8C21-40C7-A764-97E32A2108CA}" destId="{381F504E-BAD7-4F18-AA81-C6BFB42DBC1C}" srcOrd="2" destOrd="0" presId="urn:microsoft.com/office/officeart/2005/8/layout/orgChart1"/>
    <dgm:cxn modelId="{938053A4-4939-443D-AC69-F349032295A7}" type="presParOf" srcId="{2FE2ADAB-0A24-477D-9744-E52E4F485623}" destId="{78CE3466-AAFD-4B58-9711-09688B0FC0DA}" srcOrd="2" destOrd="0" presId="urn:microsoft.com/office/officeart/2005/8/layout/orgChart1"/>
    <dgm:cxn modelId="{E7E68188-E626-4C58-80EB-DDB9A377B110}" type="presParOf" srcId="{78CE3466-AAFD-4B58-9711-09688B0FC0DA}" destId="{AE139C4D-DBD4-4FD9-8427-CA6003A3CF07}" srcOrd="0" destOrd="0" presId="urn:microsoft.com/office/officeart/2005/8/layout/orgChart1"/>
    <dgm:cxn modelId="{D50812C4-2E6B-489B-BA90-D1A6EB872E57}" type="presParOf" srcId="{78CE3466-AAFD-4B58-9711-09688B0FC0DA}" destId="{7704D06F-180C-4DC3-A043-94CF6A4E99A9}" srcOrd="1" destOrd="0" presId="urn:microsoft.com/office/officeart/2005/8/layout/orgChart1"/>
    <dgm:cxn modelId="{95A82EAC-951F-476C-A2EC-0C46CF5651E0}" type="presParOf" srcId="{7704D06F-180C-4DC3-A043-94CF6A4E99A9}" destId="{5AE7041C-099C-4C31-A2F2-23E5A65308D2}" srcOrd="0" destOrd="0" presId="urn:microsoft.com/office/officeart/2005/8/layout/orgChart1"/>
    <dgm:cxn modelId="{709974A4-0897-4F65-8D85-7C1616912E62}" type="presParOf" srcId="{5AE7041C-099C-4C31-A2F2-23E5A65308D2}" destId="{72239865-3FA8-459E-B4F7-78AEE5191F8D}" srcOrd="0" destOrd="0" presId="urn:microsoft.com/office/officeart/2005/8/layout/orgChart1"/>
    <dgm:cxn modelId="{F1AB286A-4D92-4256-9AE6-0F6E8FAE5268}" type="presParOf" srcId="{5AE7041C-099C-4C31-A2F2-23E5A65308D2}" destId="{3C67BB68-00BF-4B19-A94B-F96C92AA9650}" srcOrd="1" destOrd="0" presId="urn:microsoft.com/office/officeart/2005/8/layout/orgChart1"/>
    <dgm:cxn modelId="{FA5E38DF-2539-4915-B7EE-B9BA4779F815}" type="presParOf" srcId="{7704D06F-180C-4DC3-A043-94CF6A4E99A9}" destId="{6D2F7374-83B8-4C62-9721-E4653DB8E7FB}" srcOrd="1" destOrd="0" presId="urn:microsoft.com/office/officeart/2005/8/layout/orgChart1"/>
    <dgm:cxn modelId="{E8F400B8-4837-4536-9F4E-EF096489A4BB}" type="presParOf" srcId="{7704D06F-180C-4DC3-A043-94CF6A4E99A9}" destId="{1F587AAB-8CE5-4FAF-BC75-4A8B6098432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3">
  <dgm:title val=""/>
  <dgm:desc val=""/>
  <dgm:catLst>
    <dgm:cat type="3D" pri="11300"/>
  </dgm:catLst>
  <dgm:scene3d>
    <a:camera prst="orthographicFront"/>
    <a:lightRig rig="threePt" dir="t"/>
  </dgm:scene3d>
  <dgm:styleLbl name="node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clear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182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>
        <a:rot lat="0" lon="0" rev="0"/>
      </a:camera>
      <a:lightRig rig="contrasting" dir="t">
        <a:rot lat="0" lon="0" rev="1200000"/>
      </a:lightRig>
    </dgm:scene3d>
    <dgm:sp3d z="10000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>
        <a:rot lat="0" lon="0" rev="0"/>
      </a:camera>
      <a:lightRig rig="contrasting" dir="t">
        <a:rot lat="0" lon="0" rev="1200000"/>
      </a:lightRig>
    </dgm:scene3d>
    <dgm:sp3d z="-300000" prstMaterial="plastic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00800" h="1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>
        <a:rot lat="0" lon="0" rev="0"/>
      </a:camera>
      <a:lightRig rig="contrasting" dir="t">
        <a:rot lat="0" lon="0" rev="1200000"/>
      </a:lightRig>
    </dgm:scene3d>
    <dgm:sp3d z="-1524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openxmlformats.org/officeDocument/2006/relationships/image" Target="../media/image3.png"/><Relationship Id="rId4" Type="http://schemas.openxmlformats.org/officeDocument/2006/relationships/diagramColors" Target="../diagrams/colors1.xml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41413</xdr:colOff>
      <xdr:row>0</xdr:row>
      <xdr:rowOff>0</xdr:rowOff>
    </xdr:from>
    <xdr:to>
      <xdr:col>14</xdr:col>
      <xdr:colOff>430695</xdr:colOff>
      <xdr:row>14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85964</xdr:colOff>
      <xdr:row>0</xdr:row>
      <xdr:rowOff>19833</xdr:rowOff>
    </xdr:from>
    <xdr:to>
      <xdr:col>7</xdr:col>
      <xdr:colOff>590550</xdr:colOff>
      <xdr:row>0</xdr:row>
      <xdr:rowOff>403732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SpPr/>
      </xdr:nvSpPr>
      <xdr:spPr>
        <a:xfrm>
          <a:off x="85964" y="19833"/>
          <a:ext cx="4990861" cy="383899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First Half Sales &amp; Expenses Report</a:t>
          </a:r>
        </a:p>
      </xdr:txBody>
    </xdr:sp>
    <xdr:clientData/>
  </xdr:twoCellAnchor>
  <xdr:twoCellAnchor>
    <xdr:from>
      <xdr:col>7</xdr:col>
      <xdr:colOff>214313</xdr:colOff>
      <xdr:row>0</xdr:row>
      <xdr:rowOff>270689</xdr:rowOff>
    </xdr:from>
    <xdr:to>
      <xdr:col>14</xdr:col>
      <xdr:colOff>571500</xdr:colOff>
      <xdr:row>20</xdr:row>
      <xdr:rowOff>176214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oneCell">
    <xdr:from>
      <xdr:col>14</xdr:col>
      <xdr:colOff>217199</xdr:colOff>
      <xdr:row>0</xdr:row>
      <xdr:rowOff>162485</xdr:rowOff>
    </xdr:from>
    <xdr:to>
      <xdr:col>23</xdr:col>
      <xdr:colOff>507522</xdr:colOff>
      <xdr:row>16</xdr:row>
      <xdr:rowOff>5291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75DEA5CF-C49D-6D96-A9A3-8C95B39FD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37374" y="162485"/>
          <a:ext cx="6119623" cy="3014631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nnis taylor" refreshedDate="43310.89237465278" createdVersion="6" refreshedVersion="6" minRefreshableVersion="3" recordCount="909">
  <cacheSource type="worksheet">
    <worksheetSource ref="A2:H911" sheet="PivotTable"/>
  </cacheSource>
  <cacheFields count="8">
    <cacheField name="Salesperson" numFmtId="0">
      <sharedItems count="12">
        <s v="Christensen, Jill"/>
        <s v="Livingston, Lynette"/>
        <s v="Leon, Emily"/>
        <s v="Vaughn, Harlon"/>
        <s v="Norman, Rita"/>
        <s v="Owen, Robert"/>
        <s v="Lucas, John"/>
        <s v="McCullough, Scott"/>
        <s v="Arnold, Cole"/>
        <s v="Maynard, Susan"/>
        <s v="Kelly, Icelita"/>
        <s v="Byrd, Asa"/>
      </sharedItems>
    </cacheField>
    <cacheField name="Product" numFmtId="0">
      <sharedItems count="5">
        <s v="Media Armoire"/>
        <s v="Bamboo Coffee Table"/>
        <s v="Chameleon Couch"/>
        <s v="Bamboo End Table"/>
        <s v="Captain Recliner"/>
      </sharedItems>
    </cacheField>
    <cacheField name="Region" numFmtId="0">
      <sharedItems count="4">
        <s v="NW"/>
        <s v="NE"/>
        <s v="SW"/>
        <s v="SE"/>
      </sharedItems>
    </cacheField>
    <cacheField name="Customer" numFmtId="0">
      <sharedItems count="5">
        <s v="B&amp;B Spaces"/>
        <s v="Home USA"/>
        <s v="Fabulous Homes"/>
        <s v="Ellington Designs"/>
        <s v="Home Emporium"/>
      </sharedItems>
    </cacheField>
    <cacheField name="Date" numFmtId="14">
      <sharedItems containsSemiMixedTypes="0" containsNonDate="0" containsDate="1" containsString="0" minDate="2014-01-06T00:00:00" maxDate="2015-12-31T00:00:00" count="449">
        <d v="2014-12-03T00:00:00"/>
        <d v="2014-08-12T00:00:00"/>
        <d v="2014-06-28T00:00:00"/>
        <d v="2015-08-15T00:00:00"/>
        <d v="2015-01-30T00:00:00"/>
        <d v="2014-12-30T00:00:00"/>
        <d v="2014-07-05T00:00:00"/>
        <d v="2014-05-17T00:00:00"/>
        <d v="2014-03-13T00:00:00"/>
        <d v="2015-08-26T00:00:00"/>
        <d v="2015-08-19T00:00:00"/>
        <d v="2015-05-26T00:00:00"/>
        <d v="2014-12-25T00:00:00"/>
        <d v="2014-01-10T00:00:00"/>
        <d v="2014-07-13T00:00:00"/>
        <d v="2015-06-10T00:00:00"/>
        <d v="2014-09-14T00:00:00"/>
        <d v="2014-04-09T00:00:00"/>
        <d v="2015-05-27T00:00:00"/>
        <d v="2014-11-02T00:00:00"/>
        <d v="2015-07-07T00:00:00"/>
        <d v="2014-01-15T00:00:00"/>
        <d v="2014-06-10T00:00:00"/>
        <d v="2015-05-15T00:00:00"/>
        <d v="2015-06-03T00:00:00"/>
        <d v="2014-12-19T00:00:00"/>
        <d v="2015-02-06T00:00:00"/>
        <d v="2015-05-03T00:00:00"/>
        <d v="2014-07-23T00:00:00"/>
        <d v="2014-04-29T00:00:00"/>
        <d v="2014-06-18T00:00:00"/>
        <d v="2014-03-12T00:00:00"/>
        <d v="2015-12-13T00:00:00"/>
        <d v="2015-05-10T00:00:00"/>
        <d v="2014-04-05T00:00:00"/>
        <d v="2015-12-30T00:00:00"/>
        <d v="2014-11-22T00:00:00"/>
        <d v="2015-12-04T00:00:00"/>
        <d v="2014-03-14T00:00:00"/>
        <d v="2014-12-24T00:00:00"/>
        <d v="2014-10-22T00:00:00"/>
        <d v="2014-12-28T00:00:00"/>
        <d v="2014-11-28T00:00:00"/>
        <d v="2015-08-05T00:00:00"/>
        <d v="2015-11-01T00:00:00"/>
        <d v="2014-08-06T00:00:00"/>
        <d v="2014-07-29T00:00:00"/>
        <d v="2015-04-10T00:00:00"/>
        <d v="2014-04-13T00:00:00"/>
        <d v="2014-03-07T00:00:00"/>
        <d v="2015-11-24T00:00:00"/>
        <d v="2015-12-01T00:00:00"/>
        <d v="2014-05-27T00:00:00"/>
        <d v="2014-08-23T00:00:00"/>
        <d v="2015-12-23T00:00:00"/>
        <d v="2015-01-18T00:00:00"/>
        <d v="2014-10-08T00:00:00"/>
        <d v="2014-02-12T00:00:00"/>
        <d v="2015-01-28T00:00:00"/>
        <d v="2014-09-06T00:00:00"/>
        <d v="2015-11-05T00:00:00"/>
        <d v="2014-04-15T00:00:00"/>
        <d v="2015-04-07T00:00:00"/>
        <d v="2014-04-04T00:00:00"/>
        <d v="2015-01-01T00:00:00"/>
        <d v="2015-03-14T00:00:00"/>
        <d v="2014-03-18T00:00:00"/>
        <d v="2014-10-03T00:00:00"/>
        <d v="2014-10-04T00:00:00"/>
        <d v="2015-09-23T00:00:00"/>
        <d v="2015-06-09T00:00:00"/>
        <d v="2014-09-20T00:00:00"/>
        <d v="2015-10-24T00:00:00"/>
        <d v="2015-05-06T00:00:00"/>
        <d v="2015-09-09T00:00:00"/>
        <d v="2014-02-27T00:00:00"/>
        <d v="2015-02-03T00:00:00"/>
        <d v="2014-03-16T00:00:00"/>
        <d v="2014-01-29T00:00:00"/>
        <d v="2014-11-20T00:00:00"/>
        <d v="2015-01-17T00:00:00"/>
        <d v="2014-08-13T00:00:00"/>
        <d v="2014-06-12T00:00:00"/>
        <d v="2014-10-15T00:00:00"/>
        <d v="2014-02-11T00:00:00"/>
        <d v="2014-02-01T00:00:00"/>
        <d v="2015-12-11T00:00:00"/>
        <d v="2014-10-16T00:00:00"/>
        <d v="2014-12-11T00:00:00"/>
        <d v="2014-09-09T00:00:00"/>
        <d v="2014-09-26T00:00:00"/>
        <d v="2015-04-16T00:00:00"/>
        <d v="2015-12-10T00:00:00"/>
        <d v="2015-09-06T00:00:00"/>
        <d v="2014-01-31T00:00:00"/>
        <d v="2014-05-28T00:00:00"/>
        <d v="2015-09-15T00:00:00"/>
        <d v="2015-10-07T00:00:00"/>
        <d v="2014-06-19T00:00:00"/>
        <d v="2015-03-04T00:00:00"/>
        <d v="2015-01-10T00:00:00"/>
        <d v="2014-09-12T00:00:00"/>
        <d v="2014-11-29T00:00:00"/>
        <d v="2014-01-16T00:00:00"/>
        <d v="2015-11-07T00:00:00"/>
        <d v="2015-06-06T00:00:00"/>
        <d v="2015-01-21T00:00:00"/>
        <d v="2014-09-10T00:00:00"/>
        <d v="2014-10-01T00:00:00"/>
        <d v="2014-06-27T00:00:00"/>
        <d v="2015-08-16T00:00:00"/>
        <d v="2014-11-15T00:00:00"/>
        <d v="2014-08-19T00:00:00"/>
        <d v="2014-08-09T00:00:00"/>
        <d v="2014-11-16T00:00:00"/>
        <d v="2015-05-13T00:00:00"/>
        <d v="2014-06-14T00:00:00"/>
        <d v="2014-11-25T00:00:00"/>
        <d v="2015-10-03T00:00:00"/>
        <d v="2014-01-14T00:00:00"/>
        <d v="2015-04-23T00:00:00"/>
        <d v="2014-06-04T00:00:00"/>
        <d v="2015-07-29T00:00:00"/>
        <d v="2014-12-23T00:00:00"/>
        <d v="2015-12-15T00:00:00"/>
        <d v="2015-09-18T00:00:00"/>
        <d v="2014-09-03T00:00:00"/>
        <d v="2015-05-20T00:00:00"/>
        <d v="2015-09-30T00:00:00"/>
        <d v="2014-08-29T00:00:00"/>
        <d v="2014-02-21T00:00:00"/>
        <d v="2014-07-26T00:00:00"/>
        <d v="2015-08-13T00:00:00"/>
        <d v="2015-07-10T00:00:00"/>
        <d v="2014-10-29T00:00:00"/>
        <d v="2014-05-20T00:00:00"/>
        <d v="2014-10-28T00:00:00"/>
        <d v="2014-06-26T00:00:00"/>
        <d v="2014-09-27T00:00:00"/>
        <d v="2015-06-30T00:00:00"/>
        <d v="2015-10-01T00:00:00"/>
        <d v="2015-04-01T00:00:00"/>
        <d v="2015-04-15T00:00:00"/>
        <d v="2015-10-08T00:00:00"/>
        <d v="2015-11-06T00:00:00"/>
        <d v="2015-08-20T00:00:00"/>
        <d v="2015-05-30T00:00:00"/>
        <d v="2015-07-16T00:00:00"/>
        <d v="2015-11-08T00:00:00"/>
        <d v="2014-01-11T00:00:00"/>
        <d v="2015-11-26T00:00:00"/>
        <d v="2015-03-11T00:00:00"/>
        <d v="2014-07-24T00:00:00"/>
        <d v="2015-11-13T00:00:00"/>
        <d v="2015-01-29T00:00:00"/>
        <d v="2014-05-14T00:00:00"/>
        <d v="2015-08-22T00:00:00"/>
        <d v="2015-07-01T00:00:00"/>
        <d v="2015-07-08T00:00:00"/>
        <d v="2015-05-05T00:00:00"/>
        <d v="2015-12-06T00:00:00"/>
        <d v="2014-07-18T00:00:00"/>
        <d v="2014-10-25T00:00:00"/>
        <d v="2014-08-27T00:00:00"/>
        <d v="2015-08-12T00:00:00"/>
        <d v="2015-11-25T00:00:00"/>
        <d v="2015-07-17T00:00:00"/>
        <d v="2014-06-07T00:00:00"/>
        <d v="2014-11-19T00:00:00"/>
        <d v="2015-01-24T00:00:00"/>
        <d v="2014-05-21T00:00:00"/>
        <d v="2015-07-15T00:00:00"/>
        <d v="2015-09-04T00:00:00"/>
        <d v="2014-08-21T00:00:00"/>
        <d v="2015-01-11T00:00:00"/>
        <d v="2014-05-08T00:00:00"/>
        <d v="2014-11-30T00:00:00"/>
        <d v="2015-10-02T00:00:00"/>
        <d v="2015-10-25T00:00:00"/>
        <d v="2014-11-04T00:00:00"/>
        <d v="2015-12-22T00:00:00"/>
        <d v="2015-08-07T00:00:00"/>
        <d v="2014-05-18T00:00:00"/>
        <d v="2014-06-22T00:00:00"/>
        <d v="2014-02-22T00:00:00"/>
        <d v="2015-06-27T00:00:00"/>
        <d v="2015-10-28T00:00:00"/>
        <d v="2015-01-14T00:00:00"/>
        <d v="2014-04-18T00:00:00"/>
        <d v="2015-06-17T00:00:00"/>
        <d v="2014-02-15T00:00:00"/>
        <d v="2015-02-22T00:00:00"/>
        <d v="2014-02-16T00:00:00"/>
        <d v="2015-09-29T00:00:00"/>
        <d v="2014-07-31T00:00:00"/>
        <d v="2015-07-28T00:00:00"/>
        <d v="2014-05-07T00:00:00"/>
        <d v="2014-02-20T00:00:00"/>
        <d v="2015-12-09T00:00:00"/>
        <d v="2015-04-08T00:00:00"/>
        <d v="2014-11-08T00:00:00"/>
        <d v="2015-03-18T00:00:00"/>
        <d v="2015-08-25T00:00:00"/>
        <d v="2015-09-26T00:00:00"/>
        <d v="2014-12-04T00:00:00"/>
        <d v="2015-02-04T00:00:00"/>
        <d v="2015-05-23T00:00:00"/>
        <d v="2015-01-09T00:00:00"/>
        <d v="2015-02-11T00:00:00"/>
        <d v="2015-04-02T00:00:00"/>
        <d v="2014-01-08T00:00:00"/>
        <d v="2015-12-16T00:00:00"/>
        <d v="2014-02-19T00:00:00"/>
        <d v="2015-11-22T00:00:00"/>
        <d v="2014-12-13T00:00:00"/>
        <d v="2014-04-10T00:00:00"/>
        <d v="2014-10-26T00:00:00"/>
        <d v="2014-02-02T00:00:00"/>
        <d v="2014-02-09T00:00:00"/>
        <d v="2015-03-19T00:00:00"/>
        <d v="2015-04-04T00:00:00"/>
        <d v="2015-07-02T00:00:00"/>
        <d v="2014-12-10T00:00:00"/>
        <d v="2015-04-25T00:00:00"/>
        <d v="2014-04-02T00:00:00"/>
        <d v="2015-12-24T00:00:00"/>
        <d v="2015-06-13T00:00:00"/>
        <d v="2014-04-08T00:00:00"/>
        <d v="2015-04-30T00:00:00"/>
        <d v="2015-05-12T00:00:00"/>
        <d v="2014-03-08T00:00:00"/>
        <d v="2015-07-05T00:00:00"/>
        <d v="2014-01-23T00:00:00"/>
        <d v="2015-05-31T00:00:00"/>
        <d v="2015-07-11T00:00:00"/>
        <d v="2014-01-07T00:00:00"/>
        <d v="2014-04-23T00:00:00"/>
        <d v="2014-01-24T00:00:00"/>
        <d v="2015-12-05T00:00:00"/>
        <d v="2014-09-17T00:00:00"/>
        <d v="2014-12-17T00:00:00"/>
        <d v="2014-06-25T00:00:00"/>
        <d v="2014-05-25T00:00:00"/>
        <d v="2014-01-06T00:00:00"/>
        <d v="2014-10-21T00:00:00"/>
        <d v="2015-03-27T00:00:00"/>
        <d v="2015-09-24T00:00:00"/>
        <d v="2015-02-05T00:00:00"/>
        <d v="2014-06-15T00:00:00"/>
        <d v="2014-04-06T00:00:00"/>
        <d v="2014-03-29T00:00:00"/>
        <d v="2015-08-09T00:00:00"/>
        <d v="2014-05-01T00:00:00"/>
        <d v="2015-04-12T00:00:00"/>
        <d v="2015-02-24T00:00:00"/>
        <d v="2014-06-21T00:00:00"/>
        <d v="2014-11-05T00:00:00"/>
        <d v="2014-04-16T00:00:00"/>
        <d v="2015-08-02T00:00:00"/>
        <d v="2014-01-28T00:00:00"/>
        <d v="2015-10-14T00:00:00"/>
        <d v="2015-06-12T00:00:00"/>
        <d v="2015-04-18T00:00:00"/>
        <d v="2015-08-28T00:00:00"/>
        <d v="2014-04-25T00:00:00"/>
        <d v="2015-11-04T00:00:00"/>
        <d v="2015-02-27T00:00:00"/>
        <d v="2015-05-02T00:00:00"/>
        <d v="2014-08-26T00:00:00"/>
        <d v="2015-02-20T00:00:00"/>
        <d v="2015-08-01T00:00:00"/>
        <d v="2014-06-03T00:00:00"/>
        <d v="2014-03-26T00:00:00"/>
        <d v="2014-11-01T00:00:00"/>
        <d v="2014-06-13T00:00:00"/>
        <d v="2014-07-12T00:00:00"/>
        <d v="2015-06-25T00:00:00"/>
        <d v="2015-01-02T00:00:00"/>
        <d v="2015-11-11T00:00:00"/>
        <d v="2015-09-02T00:00:00"/>
        <d v="2015-02-19T00:00:00"/>
        <d v="2014-07-25T00:00:00"/>
        <d v="2014-04-30T00:00:00"/>
        <d v="2015-02-18T00:00:00"/>
        <d v="2015-01-07T00:00:00"/>
        <d v="2014-05-23T00:00:00"/>
        <d v="2015-03-07T00:00:00"/>
        <d v="2015-11-19T00:00:00"/>
        <d v="2014-07-11T00:00:00"/>
        <d v="2014-02-08T00:00:00"/>
        <d v="2014-10-02T00:00:00"/>
        <d v="2015-01-31T00:00:00"/>
        <d v="2014-11-23T00:00:00"/>
        <d v="2015-07-23T00:00:00"/>
        <d v="2015-08-23T00:00:00"/>
        <d v="2014-11-12T00:00:00"/>
        <d v="2014-07-09T00:00:00"/>
        <d v="2014-12-14T00:00:00"/>
        <d v="2014-12-20T00:00:00"/>
        <d v="2014-03-04T00:00:00"/>
        <d v="2015-11-18T00:00:00"/>
        <d v="2014-04-24T00:00:00"/>
        <d v="2014-08-20T00:00:00"/>
        <d v="2014-05-24T00:00:00"/>
        <d v="2014-02-06T00:00:00"/>
        <d v="2015-06-21T00:00:00"/>
        <d v="2015-08-29T00:00:00"/>
        <d v="2014-09-24T00:00:00"/>
        <d v="2015-11-12T00:00:00"/>
        <d v="2014-06-06T00:00:00"/>
        <d v="2014-05-13T00:00:00"/>
        <d v="2015-06-19T00:00:00"/>
        <d v="2015-09-05T00:00:00"/>
        <d v="2014-08-14T00:00:00"/>
        <d v="2015-05-19T00:00:00"/>
        <d v="2015-07-26T00:00:00"/>
        <d v="2015-01-08T00:00:00"/>
        <d v="2014-05-02T00:00:00"/>
        <d v="2015-01-13T00:00:00"/>
        <d v="2014-12-02T00:00:00"/>
        <d v="2014-08-05T00:00:00"/>
        <d v="2015-12-12T00:00:00"/>
        <d v="2015-04-28T00:00:00"/>
        <d v="2015-07-25T00:00:00"/>
        <d v="2015-11-14T00:00:00"/>
        <d v="2015-12-02T00:00:00"/>
        <d v="2015-03-29T00:00:00"/>
        <d v="2014-01-22T00:00:00"/>
        <d v="2015-04-09T00:00:00"/>
        <d v="2014-07-16T00:00:00"/>
        <d v="2014-05-11T00:00:00"/>
        <d v="2015-10-13T00:00:00"/>
        <d v="2015-02-01T00:00:00"/>
        <d v="2015-07-24T00:00:00"/>
        <d v="2015-08-27T00:00:00"/>
        <d v="2014-07-27T00:00:00"/>
        <d v="2014-10-11T00:00:00"/>
        <d v="2014-04-26T00:00:00"/>
        <d v="2015-01-25T00:00:00"/>
        <d v="2014-09-19T00:00:00"/>
        <d v="2014-11-26T00:00:00"/>
        <d v="2014-12-27T00:00:00"/>
        <d v="2014-04-20T00:00:00"/>
        <d v="2015-11-27T00:00:00"/>
        <d v="2015-01-16T00:00:00"/>
        <d v="2014-10-14T00:00:00"/>
        <d v="2014-04-19T00:00:00"/>
        <d v="2015-04-22T00:00:00"/>
        <d v="2015-05-21T00:00:00"/>
        <d v="2015-04-03T00:00:00"/>
        <d v="2015-12-17T00:00:00"/>
        <d v="2014-10-31T00:00:00"/>
        <d v="2014-09-04T00:00:00"/>
        <d v="2014-10-30T00:00:00"/>
        <d v="2015-05-07T00:00:00"/>
        <d v="2014-10-23T00:00:00"/>
        <d v="2015-10-10T00:00:00"/>
        <d v="2015-12-25T00:00:00"/>
        <d v="2014-07-19T00:00:00"/>
        <d v="2015-02-07T00:00:00"/>
        <d v="2015-06-26T00:00:00"/>
        <d v="2014-02-28T00:00:00"/>
        <d v="2015-03-31T00:00:00"/>
        <d v="2015-09-25T00:00:00"/>
        <d v="2014-03-27T00:00:00"/>
        <d v="2014-03-30T00:00:00"/>
        <d v="2014-01-17T00:00:00"/>
        <d v="2015-04-24T00:00:00"/>
        <d v="2014-07-30T00:00:00"/>
        <d v="2015-09-17T00:00:00"/>
        <d v="2015-03-28T00:00:00"/>
        <d v="2015-10-18T00:00:00"/>
        <d v="2014-07-04T00:00:00"/>
        <d v="2014-10-07T00:00:00"/>
        <d v="2014-09-30T00:00:00"/>
        <d v="2015-04-29T00:00:00"/>
        <d v="2015-06-28T00:00:00"/>
        <d v="2014-03-19T00:00:00"/>
        <d v="2015-07-09T00:00:00"/>
        <d v="2014-04-22T00:00:00"/>
        <d v="2014-03-09T00:00:00"/>
        <d v="2015-10-27T00:00:00"/>
        <d v="2014-02-05T00:00:00"/>
        <d v="2015-03-15T00:00:00"/>
        <d v="2014-12-09T00:00:00"/>
        <d v="2014-02-23T00:00:00"/>
        <d v="2015-07-18T00:00:00"/>
        <d v="2014-08-22T00:00:00"/>
        <d v="2015-05-17T00:00:00"/>
        <d v="2014-12-06T00:00:00"/>
        <d v="2015-10-06T00:00:00"/>
        <d v="2015-11-15T00:00:00"/>
        <d v="2015-02-17T00:00:00"/>
        <d v="2015-10-11T00:00:00"/>
        <d v="2015-05-29T00:00:00"/>
        <d v="2015-07-19T00:00:00"/>
        <d v="2014-03-21T00:00:00"/>
        <d v="2014-05-15T00:00:00"/>
        <d v="2014-12-21T00:00:00"/>
        <d v="2015-01-27T00:00:00"/>
        <d v="2015-07-03T00:00:00"/>
        <d v="2015-08-04T00:00:00"/>
        <d v="2015-11-20T00:00:00"/>
        <d v="2015-05-01T00:00:00"/>
        <d v="2014-07-20T00:00:00"/>
        <d v="2014-09-05T00:00:00"/>
        <d v="2014-08-16T00:00:00"/>
        <d v="2014-01-30T00:00:00"/>
        <d v="2015-03-01T00:00:00"/>
        <d v="2014-09-21T00:00:00"/>
        <d v="2014-05-10T00:00:00"/>
        <d v="2014-06-11T00:00:00"/>
        <d v="2015-03-03T00:00:00"/>
        <d v="2014-12-18T00:00:00"/>
        <d v="2015-01-22T00:00:00"/>
        <d v="2015-10-09T00:00:00"/>
        <d v="2015-10-31T00:00:00"/>
        <d v="2014-12-16T00:00:00"/>
        <d v="2014-03-20T00:00:00"/>
        <d v="2014-05-16T00:00:00"/>
        <d v="2015-08-08T00:00:00"/>
        <d v="2014-08-17T00:00:00"/>
        <d v="2014-07-17T00:00:00"/>
        <d v="2015-11-21T00:00:00"/>
        <d v="2015-11-03T00:00:00"/>
        <d v="2015-05-24T00:00:00"/>
        <d v="2015-04-26T00:00:00"/>
        <d v="2015-06-02T00:00:00"/>
        <d v="2015-02-25T00:00:00"/>
        <d v="2014-08-07T00:00:00"/>
        <d v="2014-01-26T00:00:00"/>
        <d v="2015-03-25T00:00:00"/>
        <d v="2015-06-24T00:00:00"/>
        <d v="2015-07-12T00:00:00"/>
        <d v="2015-03-22T00:00:00"/>
        <d v="2015-07-31T00:00:00"/>
        <d v="2014-05-31T00:00:00"/>
        <d v="2014-12-05T00:00:00"/>
        <d v="2015-08-30T00:00:00"/>
        <d v="2015-09-03T00:00:00"/>
        <d v="2014-08-01T00:00:00"/>
        <d v="2014-09-28T00:00:00"/>
        <d v="2014-04-11T00:00:00"/>
        <d v="2014-08-02T00:00:00"/>
        <d v="2014-03-05T00:00:00"/>
        <d v="2014-03-23T00:00:00"/>
        <d v="2015-10-20T00:00:00"/>
        <d v="2014-08-24T00:00:00"/>
        <d v="2014-08-30T00:00:00"/>
      </sharedItems>
    </cacheField>
    <cacheField name="Item Cost" numFmtId="43">
      <sharedItems containsSemiMixedTypes="0" containsString="0" containsNumber="1" minValue="79.989999999999995" maxValue="799.95"/>
    </cacheField>
    <cacheField name="No.Items" numFmtId="164">
      <sharedItems containsSemiMixedTypes="0" containsString="0" containsNumber="1" containsInteger="1" minValue="1" maxValue="20"/>
    </cacheField>
    <cacheField name="Total Cost" numFmtId="44">
      <sharedItems containsSemiMixedTypes="0" containsString="0" containsNumber="1" minValue="79.989999999999995" maxValue="15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9">
  <r>
    <x v="0"/>
    <x v="0"/>
    <x v="0"/>
    <x v="0"/>
    <x v="0"/>
    <n v="340.95"/>
    <n v="13"/>
    <n v="4432.3499999999995"/>
  </r>
  <r>
    <x v="1"/>
    <x v="1"/>
    <x v="1"/>
    <x v="1"/>
    <x v="1"/>
    <n v="168.95"/>
    <n v="13"/>
    <n v="2196.35"/>
  </r>
  <r>
    <x v="2"/>
    <x v="2"/>
    <x v="2"/>
    <x v="2"/>
    <x v="2"/>
    <n v="799.95"/>
    <n v="15"/>
    <n v="11999.25"/>
  </r>
  <r>
    <x v="3"/>
    <x v="3"/>
    <x v="1"/>
    <x v="2"/>
    <x v="3"/>
    <n v="79.989999999999995"/>
    <n v="8"/>
    <n v="639.91999999999996"/>
  </r>
  <r>
    <x v="4"/>
    <x v="1"/>
    <x v="3"/>
    <x v="3"/>
    <x v="4"/>
    <n v="168.95"/>
    <n v="9"/>
    <n v="1520.55"/>
  </r>
  <r>
    <x v="2"/>
    <x v="3"/>
    <x v="2"/>
    <x v="2"/>
    <x v="5"/>
    <n v="79.989999999999995"/>
    <n v="5"/>
    <n v="399.95"/>
  </r>
  <r>
    <x v="5"/>
    <x v="4"/>
    <x v="2"/>
    <x v="1"/>
    <x v="6"/>
    <n v="340.95"/>
    <n v="13"/>
    <n v="4432.3499999999995"/>
  </r>
  <r>
    <x v="2"/>
    <x v="4"/>
    <x v="2"/>
    <x v="0"/>
    <x v="7"/>
    <n v="340.95"/>
    <n v="6"/>
    <n v="2045.6999999999998"/>
  </r>
  <r>
    <x v="2"/>
    <x v="4"/>
    <x v="2"/>
    <x v="4"/>
    <x v="8"/>
    <n v="340.95"/>
    <n v="9"/>
    <n v="3068.5499999999997"/>
  </r>
  <r>
    <x v="6"/>
    <x v="2"/>
    <x v="2"/>
    <x v="4"/>
    <x v="9"/>
    <n v="799.95"/>
    <n v="10"/>
    <n v="7999.5"/>
  </r>
  <r>
    <x v="7"/>
    <x v="3"/>
    <x v="0"/>
    <x v="1"/>
    <x v="10"/>
    <n v="79.989999999999995"/>
    <n v="7"/>
    <n v="559.92999999999995"/>
  </r>
  <r>
    <x v="8"/>
    <x v="1"/>
    <x v="1"/>
    <x v="3"/>
    <x v="11"/>
    <n v="168.95"/>
    <n v="14"/>
    <n v="2365.2999999999997"/>
  </r>
  <r>
    <x v="8"/>
    <x v="1"/>
    <x v="1"/>
    <x v="4"/>
    <x v="12"/>
    <n v="168.95"/>
    <n v="12"/>
    <n v="2027.3999999999999"/>
  </r>
  <r>
    <x v="5"/>
    <x v="2"/>
    <x v="2"/>
    <x v="3"/>
    <x v="13"/>
    <n v="799.95"/>
    <n v="13"/>
    <n v="10399.35"/>
  </r>
  <r>
    <x v="4"/>
    <x v="0"/>
    <x v="3"/>
    <x v="4"/>
    <x v="14"/>
    <n v="340.95"/>
    <n v="14"/>
    <n v="4773.3"/>
  </r>
  <r>
    <x v="9"/>
    <x v="2"/>
    <x v="1"/>
    <x v="1"/>
    <x v="15"/>
    <n v="799.95"/>
    <n v="3"/>
    <n v="2399.8500000000004"/>
  </r>
  <r>
    <x v="1"/>
    <x v="2"/>
    <x v="1"/>
    <x v="1"/>
    <x v="16"/>
    <n v="799.95"/>
    <n v="10"/>
    <n v="7999.5"/>
  </r>
  <r>
    <x v="2"/>
    <x v="3"/>
    <x v="2"/>
    <x v="1"/>
    <x v="17"/>
    <n v="79.989999999999995"/>
    <n v="13"/>
    <n v="1039.8699999999999"/>
  </r>
  <r>
    <x v="8"/>
    <x v="2"/>
    <x v="1"/>
    <x v="1"/>
    <x v="18"/>
    <n v="799.95"/>
    <n v="4"/>
    <n v="3199.8"/>
  </r>
  <r>
    <x v="10"/>
    <x v="0"/>
    <x v="2"/>
    <x v="1"/>
    <x v="19"/>
    <n v="340.95"/>
    <n v="2"/>
    <n v="681.9"/>
  </r>
  <r>
    <x v="8"/>
    <x v="3"/>
    <x v="1"/>
    <x v="1"/>
    <x v="20"/>
    <n v="79.989999999999995"/>
    <n v="10"/>
    <n v="799.9"/>
  </r>
  <r>
    <x v="11"/>
    <x v="1"/>
    <x v="3"/>
    <x v="0"/>
    <x v="21"/>
    <n v="168.95"/>
    <n v="11"/>
    <n v="1858.4499999999998"/>
  </r>
  <r>
    <x v="2"/>
    <x v="1"/>
    <x v="2"/>
    <x v="0"/>
    <x v="22"/>
    <n v="168.95"/>
    <n v="18"/>
    <n v="3041.1"/>
  </r>
  <r>
    <x v="5"/>
    <x v="1"/>
    <x v="2"/>
    <x v="2"/>
    <x v="23"/>
    <n v="168.95"/>
    <n v="2"/>
    <n v="337.9"/>
  </r>
  <r>
    <x v="9"/>
    <x v="1"/>
    <x v="1"/>
    <x v="4"/>
    <x v="24"/>
    <n v="168.95"/>
    <n v="4"/>
    <n v="675.8"/>
  </r>
  <r>
    <x v="7"/>
    <x v="2"/>
    <x v="0"/>
    <x v="2"/>
    <x v="25"/>
    <n v="799.95"/>
    <n v="14"/>
    <n v="11199.300000000001"/>
  </r>
  <r>
    <x v="11"/>
    <x v="4"/>
    <x v="3"/>
    <x v="1"/>
    <x v="26"/>
    <n v="340.95"/>
    <n v="14"/>
    <n v="4773.3"/>
  </r>
  <r>
    <x v="7"/>
    <x v="2"/>
    <x v="0"/>
    <x v="0"/>
    <x v="27"/>
    <n v="799.95"/>
    <n v="20"/>
    <n v="15999"/>
  </r>
  <r>
    <x v="1"/>
    <x v="2"/>
    <x v="1"/>
    <x v="3"/>
    <x v="28"/>
    <n v="799.95"/>
    <n v="2"/>
    <n v="1599.9"/>
  </r>
  <r>
    <x v="5"/>
    <x v="2"/>
    <x v="2"/>
    <x v="2"/>
    <x v="29"/>
    <n v="799.95"/>
    <n v="8"/>
    <n v="6399.6"/>
  </r>
  <r>
    <x v="1"/>
    <x v="1"/>
    <x v="1"/>
    <x v="3"/>
    <x v="30"/>
    <n v="168.95"/>
    <n v="9"/>
    <n v="1520.55"/>
  </r>
  <r>
    <x v="10"/>
    <x v="2"/>
    <x v="2"/>
    <x v="3"/>
    <x v="31"/>
    <n v="799.95"/>
    <n v="8"/>
    <n v="6399.6"/>
  </r>
  <r>
    <x v="2"/>
    <x v="4"/>
    <x v="2"/>
    <x v="0"/>
    <x v="32"/>
    <n v="340.95"/>
    <n v="11"/>
    <n v="3750.45"/>
  </r>
  <r>
    <x v="10"/>
    <x v="0"/>
    <x v="2"/>
    <x v="4"/>
    <x v="33"/>
    <n v="340.95"/>
    <n v="8"/>
    <n v="2727.6"/>
  </r>
  <r>
    <x v="11"/>
    <x v="1"/>
    <x v="3"/>
    <x v="3"/>
    <x v="34"/>
    <n v="168.95"/>
    <n v="14"/>
    <n v="2365.2999999999997"/>
  </r>
  <r>
    <x v="3"/>
    <x v="4"/>
    <x v="1"/>
    <x v="1"/>
    <x v="35"/>
    <n v="340.95"/>
    <n v="14"/>
    <n v="4773.3"/>
  </r>
  <r>
    <x v="1"/>
    <x v="3"/>
    <x v="1"/>
    <x v="1"/>
    <x v="36"/>
    <n v="79.989999999999995"/>
    <n v="11"/>
    <n v="879.89"/>
  </r>
  <r>
    <x v="11"/>
    <x v="0"/>
    <x v="3"/>
    <x v="4"/>
    <x v="37"/>
    <n v="340.95"/>
    <n v="13"/>
    <n v="4432.3499999999995"/>
  </r>
  <r>
    <x v="3"/>
    <x v="0"/>
    <x v="1"/>
    <x v="3"/>
    <x v="38"/>
    <n v="340.95"/>
    <n v="5"/>
    <n v="1704.75"/>
  </r>
  <r>
    <x v="8"/>
    <x v="1"/>
    <x v="1"/>
    <x v="3"/>
    <x v="39"/>
    <n v="168.95"/>
    <n v="9"/>
    <n v="1520.55"/>
  </r>
  <r>
    <x v="9"/>
    <x v="1"/>
    <x v="1"/>
    <x v="1"/>
    <x v="40"/>
    <n v="168.95"/>
    <n v="2"/>
    <n v="337.9"/>
  </r>
  <r>
    <x v="2"/>
    <x v="0"/>
    <x v="2"/>
    <x v="2"/>
    <x v="17"/>
    <n v="340.95"/>
    <n v="2"/>
    <n v="681.9"/>
  </r>
  <r>
    <x v="7"/>
    <x v="3"/>
    <x v="0"/>
    <x v="1"/>
    <x v="4"/>
    <n v="79.989999999999995"/>
    <n v="2"/>
    <n v="159.97999999999999"/>
  </r>
  <r>
    <x v="3"/>
    <x v="1"/>
    <x v="1"/>
    <x v="0"/>
    <x v="41"/>
    <n v="168.95"/>
    <n v="20"/>
    <n v="3379"/>
  </r>
  <r>
    <x v="7"/>
    <x v="3"/>
    <x v="0"/>
    <x v="2"/>
    <x v="42"/>
    <n v="79.989999999999995"/>
    <n v="5"/>
    <n v="399.95"/>
  </r>
  <r>
    <x v="0"/>
    <x v="1"/>
    <x v="0"/>
    <x v="2"/>
    <x v="43"/>
    <n v="168.95"/>
    <n v="5"/>
    <n v="844.75"/>
  </r>
  <r>
    <x v="8"/>
    <x v="1"/>
    <x v="1"/>
    <x v="1"/>
    <x v="44"/>
    <n v="168.95"/>
    <n v="13"/>
    <n v="2196.35"/>
  </r>
  <r>
    <x v="1"/>
    <x v="0"/>
    <x v="1"/>
    <x v="0"/>
    <x v="45"/>
    <n v="340.95"/>
    <n v="7"/>
    <n v="2386.65"/>
  </r>
  <r>
    <x v="9"/>
    <x v="0"/>
    <x v="1"/>
    <x v="3"/>
    <x v="46"/>
    <n v="340.95"/>
    <n v="3"/>
    <n v="1022.8499999999999"/>
  </r>
  <r>
    <x v="3"/>
    <x v="0"/>
    <x v="1"/>
    <x v="1"/>
    <x v="47"/>
    <n v="340.95"/>
    <n v="6"/>
    <n v="2045.6999999999998"/>
  </r>
  <r>
    <x v="1"/>
    <x v="1"/>
    <x v="1"/>
    <x v="4"/>
    <x v="48"/>
    <n v="168.95"/>
    <n v="10"/>
    <n v="1689.5"/>
  </r>
  <r>
    <x v="10"/>
    <x v="0"/>
    <x v="2"/>
    <x v="1"/>
    <x v="43"/>
    <n v="340.95"/>
    <n v="10"/>
    <n v="3409.5"/>
  </r>
  <r>
    <x v="5"/>
    <x v="3"/>
    <x v="2"/>
    <x v="3"/>
    <x v="49"/>
    <n v="79.989999999999995"/>
    <n v="12"/>
    <n v="959.87999999999988"/>
  </r>
  <r>
    <x v="2"/>
    <x v="2"/>
    <x v="2"/>
    <x v="1"/>
    <x v="50"/>
    <n v="799.95"/>
    <n v="1"/>
    <n v="799.95"/>
  </r>
  <r>
    <x v="3"/>
    <x v="0"/>
    <x v="1"/>
    <x v="2"/>
    <x v="51"/>
    <n v="340.95"/>
    <n v="2"/>
    <n v="681.9"/>
  </r>
  <r>
    <x v="3"/>
    <x v="2"/>
    <x v="1"/>
    <x v="4"/>
    <x v="52"/>
    <n v="799.95"/>
    <n v="10"/>
    <n v="7999.5"/>
  </r>
  <r>
    <x v="8"/>
    <x v="3"/>
    <x v="1"/>
    <x v="4"/>
    <x v="53"/>
    <n v="79.989999999999995"/>
    <n v="9"/>
    <n v="719.91"/>
  </r>
  <r>
    <x v="5"/>
    <x v="3"/>
    <x v="2"/>
    <x v="3"/>
    <x v="54"/>
    <n v="79.989999999999995"/>
    <n v="7"/>
    <n v="559.92999999999995"/>
  </r>
  <r>
    <x v="4"/>
    <x v="0"/>
    <x v="3"/>
    <x v="4"/>
    <x v="55"/>
    <n v="340.95"/>
    <n v="10"/>
    <n v="3409.5"/>
  </r>
  <r>
    <x v="3"/>
    <x v="0"/>
    <x v="1"/>
    <x v="2"/>
    <x v="36"/>
    <n v="340.95"/>
    <n v="8"/>
    <n v="2727.6"/>
  </r>
  <r>
    <x v="9"/>
    <x v="3"/>
    <x v="1"/>
    <x v="3"/>
    <x v="56"/>
    <n v="79.989999999999995"/>
    <n v="4"/>
    <n v="319.95999999999998"/>
  </r>
  <r>
    <x v="3"/>
    <x v="1"/>
    <x v="1"/>
    <x v="0"/>
    <x v="57"/>
    <n v="168.95"/>
    <n v="8"/>
    <n v="1351.6"/>
  </r>
  <r>
    <x v="2"/>
    <x v="2"/>
    <x v="2"/>
    <x v="1"/>
    <x v="58"/>
    <n v="799.95"/>
    <n v="11"/>
    <n v="8799.4500000000007"/>
  </r>
  <r>
    <x v="1"/>
    <x v="4"/>
    <x v="1"/>
    <x v="1"/>
    <x v="59"/>
    <n v="340.95"/>
    <n v="1"/>
    <n v="340.95"/>
  </r>
  <r>
    <x v="5"/>
    <x v="3"/>
    <x v="2"/>
    <x v="3"/>
    <x v="60"/>
    <n v="79.989999999999995"/>
    <n v="1"/>
    <n v="79.989999999999995"/>
  </r>
  <r>
    <x v="3"/>
    <x v="0"/>
    <x v="1"/>
    <x v="4"/>
    <x v="42"/>
    <n v="340.95"/>
    <n v="9"/>
    <n v="3068.5499999999997"/>
  </r>
  <r>
    <x v="3"/>
    <x v="0"/>
    <x v="1"/>
    <x v="1"/>
    <x v="61"/>
    <n v="340.95"/>
    <n v="4"/>
    <n v="1363.8"/>
  </r>
  <r>
    <x v="8"/>
    <x v="4"/>
    <x v="0"/>
    <x v="2"/>
    <x v="48"/>
    <n v="340.95"/>
    <n v="8"/>
    <n v="2727.6"/>
  </r>
  <r>
    <x v="6"/>
    <x v="1"/>
    <x v="2"/>
    <x v="2"/>
    <x v="62"/>
    <n v="168.95"/>
    <n v="9"/>
    <n v="1520.55"/>
  </r>
  <r>
    <x v="10"/>
    <x v="3"/>
    <x v="2"/>
    <x v="1"/>
    <x v="63"/>
    <n v="79.989999999999995"/>
    <n v="6"/>
    <n v="479.93999999999994"/>
  </r>
  <r>
    <x v="1"/>
    <x v="1"/>
    <x v="1"/>
    <x v="1"/>
    <x v="64"/>
    <n v="168.95"/>
    <n v="4"/>
    <n v="675.8"/>
  </r>
  <r>
    <x v="9"/>
    <x v="0"/>
    <x v="1"/>
    <x v="4"/>
    <x v="65"/>
    <n v="340.95"/>
    <n v="11"/>
    <n v="3750.45"/>
  </r>
  <r>
    <x v="0"/>
    <x v="3"/>
    <x v="0"/>
    <x v="2"/>
    <x v="66"/>
    <n v="79.989999999999995"/>
    <n v="1"/>
    <n v="79.989999999999995"/>
  </r>
  <r>
    <x v="3"/>
    <x v="3"/>
    <x v="1"/>
    <x v="0"/>
    <x v="67"/>
    <n v="79.989999999999995"/>
    <n v="20"/>
    <n v="1599.8"/>
  </r>
  <r>
    <x v="4"/>
    <x v="1"/>
    <x v="3"/>
    <x v="1"/>
    <x v="68"/>
    <n v="168.95"/>
    <n v="6"/>
    <n v="1013.6999999999999"/>
  </r>
  <r>
    <x v="10"/>
    <x v="0"/>
    <x v="2"/>
    <x v="2"/>
    <x v="69"/>
    <n v="340.95"/>
    <n v="6"/>
    <n v="2045.6999999999998"/>
  </r>
  <r>
    <x v="3"/>
    <x v="0"/>
    <x v="1"/>
    <x v="3"/>
    <x v="70"/>
    <n v="340.95"/>
    <n v="7"/>
    <n v="2386.65"/>
  </r>
  <r>
    <x v="1"/>
    <x v="2"/>
    <x v="1"/>
    <x v="1"/>
    <x v="71"/>
    <n v="799.95"/>
    <n v="11"/>
    <n v="8799.4500000000007"/>
  </r>
  <r>
    <x v="11"/>
    <x v="4"/>
    <x v="3"/>
    <x v="1"/>
    <x v="72"/>
    <n v="340.95"/>
    <n v="1"/>
    <n v="340.95"/>
  </r>
  <r>
    <x v="9"/>
    <x v="1"/>
    <x v="1"/>
    <x v="2"/>
    <x v="45"/>
    <n v="168.95"/>
    <n v="15"/>
    <n v="2534.25"/>
  </r>
  <r>
    <x v="4"/>
    <x v="3"/>
    <x v="3"/>
    <x v="2"/>
    <x v="73"/>
    <n v="79.989999999999995"/>
    <n v="7"/>
    <n v="559.92999999999995"/>
  </r>
  <r>
    <x v="4"/>
    <x v="1"/>
    <x v="3"/>
    <x v="4"/>
    <x v="74"/>
    <n v="168.95"/>
    <n v="15"/>
    <n v="2534.25"/>
  </r>
  <r>
    <x v="5"/>
    <x v="0"/>
    <x v="2"/>
    <x v="1"/>
    <x v="75"/>
    <n v="340.95"/>
    <n v="14"/>
    <n v="4773.3"/>
  </r>
  <r>
    <x v="10"/>
    <x v="3"/>
    <x v="2"/>
    <x v="4"/>
    <x v="76"/>
    <n v="79.989999999999995"/>
    <n v="8"/>
    <n v="639.91999999999996"/>
  </r>
  <r>
    <x v="9"/>
    <x v="2"/>
    <x v="1"/>
    <x v="3"/>
    <x v="77"/>
    <n v="799.95"/>
    <n v="11"/>
    <n v="8799.4500000000007"/>
  </r>
  <r>
    <x v="1"/>
    <x v="0"/>
    <x v="1"/>
    <x v="0"/>
    <x v="78"/>
    <n v="340.95"/>
    <n v="8"/>
    <n v="2727.6"/>
  </r>
  <r>
    <x v="0"/>
    <x v="2"/>
    <x v="0"/>
    <x v="4"/>
    <x v="79"/>
    <n v="799.95"/>
    <n v="5"/>
    <n v="3999.75"/>
  </r>
  <r>
    <x v="8"/>
    <x v="1"/>
    <x v="1"/>
    <x v="3"/>
    <x v="80"/>
    <n v="168.95"/>
    <n v="15"/>
    <n v="2534.25"/>
  </r>
  <r>
    <x v="3"/>
    <x v="4"/>
    <x v="1"/>
    <x v="4"/>
    <x v="28"/>
    <n v="340.95"/>
    <n v="13"/>
    <n v="4432.3499999999995"/>
  </r>
  <r>
    <x v="5"/>
    <x v="3"/>
    <x v="2"/>
    <x v="4"/>
    <x v="81"/>
    <n v="79.989999999999995"/>
    <n v="3"/>
    <n v="239.96999999999997"/>
  </r>
  <r>
    <x v="9"/>
    <x v="2"/>
    <x v="1"/>
    <x v="4"/>
    <x v="82"/>
    <n v="799.95"/>
    <n v="3"/>
    <n v="2399.8500000000004"/>
  </r>
  <r>
    <x v="0"/>
    <x v="0"/>
    <x v="0"/>
    <x v="2"/>
    <x v="17"/>
    <n v="340.95"/>
    <n v="6"/>
    <n v="2045.6999999999998"/>
  </r>
  <r>
    <x v="9"/>
    <x v="3"/>
    <x v="1"/>
    <x v="4"/>
    <x v="83"/>
    <n v="79.989999999999995"/>
    <n v="2"/>
    <n v="159.97999999999999"/>
  </r>
  <r>
    <x v="5"/>
    <x v="2"/>
    <x v="2"/>
    <x v="4"/>
    <x v="84"/>
    <n v="799.95"/>
    <n v="11"/>
    <n v="8799.4500000000007"/>
  </r>
  <r>
    <x v="3"/>
    <x v="4"/>
    <x v="1"/>
    <x v="1"/>
    <x v="85"/>
    <n v="340.95"/>
    <n v="6"/>
    <n v="2045.6999999999998"/>
  </r>
  <r>
    <x v="6"/>
    <x v="0"/>
    <x v="2"/>
    <x v="4"/>
    <x v="86"/>
    <n v="340.95"/>
    <n v="11"/>
    <n v="3750.45"/>
  </r>
  <r>
    <x v="8"/>
    <x v="3"/>
    <x v="1"/>
    <x v="1"/>
    <x v="87"/>
    <n v="79.989999999999995"/>
    <n v="1"/>
    <n v="79.989999999999995"/>
  </r>
  <r>
    <x v="0"/>
    <x v="1"/>
    <x v="0"/>
    <x v="2"/>
    <x v="88"/>
    <n v="168.95"/>
    <n v="5"/>
    <n v="844.75"/>
  </r>
  <r>
    <x v="9"/>
    <x v="3"/>
    <x v="1"/>
    <x v="2"/>
    <x v="89"/>
    <n v="79.989999999999995"/>
    <n v="1"/>
    <n v="79.989999999999995"/>
  </r>
  <r>
    <x v="0"/>
    <x v="3"/>
    <x v="0"/>
    <x v="4"/>
    <x v="90"/>
    <n v="79.989999999999995"/>
    <n v="3"/>
    <n v="239.96999999999997"/>
  </r>
  <r>
    <x v="5"/>
    <x v="2"/>
    <x v="2"/>
    <x v="2"/>
    <x v="91"/>
    <n v="799.95"/>
    <n v="9"/>
    <n v="7199.55"/>
  </r>
  <r>
    <x v="6"/>
    <x v="2"/>
    <x v="2"/>
    <x v="3"/>
    <x v="92"/>
    <n v="799.95"/>
    <n v="5"/>
    <n v="3999.75"/>
  </r>
  <r>
    <x v="11"/>
    <x v="1"/>
    <x v="3"/>
    <x v="4"/>
    <x v="93"/>
    <n v="168.95"/>
    <n v="3"/>
    <n v="506.84999999999997"/>
  </r>
  <r>
    <x v="0"/>
    <x v="4"/>
    <x v="0"/>
    <x v="1"/>
    <x v="94"/>
    <n v="340.95"/>
    <n v="8"/>
    <n v="2727.6"/>
  </r>
  <r>
    <x v="1"/>
    <x v="1"/>
    <x v="1"/>
    <x v="1"/>
    <x v="95"/>
    <n v="168.95"/>
    <n v="9"/>
    <n v="1520.55"/>
  </r>
  <r>
    <x v="11"/>
    <x v="0"/>
    <x v="3"/>
    <x v="2"/>
    <x v="96"/>
    <n v="340.95"/>
    <n v="13"/>
    <n v="4432.3499999999995"/>
  </r>
  <r>
    <x v="8"/>
    <x v="0"/>
    <x v="1"/>
    <x v="0"/>
    <x v="97"/>
    <n v="340.95"/>
    <n v="12"/>
    <n v="4091.3999999999996"/>
  </r>
  <r>
    <x v="3"/>
    <x v="2"/>
    <x v="1"/>
    <x v="0"/>
    <x v="98"/>
    <n v="799.95"/>
    <n v="19"/>
    <n v="15199.050000000001"/>
  </r>
  <r>
    <x v="2"/>
    <x v="2"/>
    <x v="2"/>
    <x v="2"/>
    <x v="99"/>
    <n v="799.95"/>
    <n v="13"/>
    <n v="10399.35"/>
  </r>
  <r>
    <x v="0"/>
    <x v="2"/>
    <x v="0"/>
    <x v="3"/>
    <x v="100"/>
    <n v="799.95"/>
    <n v="8"/>
    <n v="6399.6"/>
  </r>
  <r>
    <x v="4"/>
    <x v="1"/>
    <x v="3"/>
    <x v="2"/>
    <x v="101"/>
    <n v="168.95"/>
    <n v="4"/>
    <n v="675.8"/>
  </r>
  <r>
    <x v="9"/>
    <x v="2"/>
    <x v="1"/>
    <x v="0"/>
    <x v="14"/>
    <n v="799.95"/>
    <n v="14"/>
    <n v="11199.300000000001"/>
  </r>
  <r>
    <x v="3"/>
    <x v="0"/>
    <x v="1"/>
    <x v="1"/>
    <x v="102"/>
    <n v="340.95"/>
    <n v="12"/>
    <n v="4091.3999999999996"/>
  </r>
  <r>
    <x v="11"/>
    <x v="3"/>
    <x v="3"/>
    <x v="3"/>
    <x v="103"/>
    <n v="79.989999999999995"/>
    <n v="11"/>
    <n v="879.89"/>
  </r>
  <r>
    <x v="11"/>
    <x v="4"/>
    <x v="3"/>
    <x v="4"/>
    <x v="104"/>
    <n v="340.95"/>
    <n v="6"/>
    <n v="2045.6999999999998"/>
  </r>
  <r>
    <x v="8"/>
    <x v="4"/>
    <x v="0"/>
    <x v="3"/>
    <x v="105"/>
    <n v="340.95"/>
    <n v="2"/>
    <n v="681.9"/>
  </r>
  <r>
    <x v="3"/>
    <x v="4"/>
    <x v="1"/>
    <x v="2"/>
    <x v="106"/>
    <n v="340.95"/>
    <n v="8"/>
    <n v="2727.6"/>
  </r>
  <r>
    <x v="7"/>
    <x v="2"/>
    <x v="0"/>
    <x v="1"/>
    <x v="107"/>
    <n v="799.95"/>
    <n v="1"/>
    <n v="799.95"/>
  </r>
  <r>
    <x v="0"/>
    <x v="4"/>
    <x v="0"/>
    <x v="2"/>
    <x v="108"/>
    <n v="340.95"/>
    <n v="12"/>
    <n v="4091.3999999999996"/>
  </r>
  <r>
    <x v="1"/>
    <x v="0"/>
    <x v="1"/>
    <x v="2"/>
    <x v="109"/>
    <n v="340.95"/>
    <n v="15"/>
    <n v="5114.25"/>
  </r>
  <r>
    <x v="9"/>
    <x v="0"/>
    <x v="1"/>
    <x v="2"/>
    <x v="110"/>
    <n v="340.95"/>
    <n v="15"/>
    <n v="5114.25"/>
  </r>
  <r>
    <x v="8"/>
    <x v="2"/>
    <x v="1"/>
    <x v="1"/>
    <x v="111"/>
    <n v="799.95"/>
    <n v="3"/>
    <n v="2399.8500000000004"/>
  </r>
  <r>
    <x v="3"/>
    <x v="4"/>
    <x v="1"/>
    <x v="1"/>
    <x v="80"/>
    <n v="340.95"/>
    <n v="12"/>
    <n v="4091.3999999999996"/>
  </r>
  <r>
    <x v="10"/>
    <x v="0"/>
    <x v="2"/>
    <x v="4"/>
    <x v="112"/>
    <n v="340.95"/>
    <n v="10"/>
    <n v="3409.5"/>
  </r>
  <r>
    <x v="4"/>
    <x v="2"/>
    <x v="3"/>
    <x v="0"/>
    <x v="18"/>
    <n v="799.95"/>
    <n v="20"/>
    <n v="15999"/>
  </r>
  <r>
    <x v="7"/>
    <x v="0"/>
    <x v="0"/>
    <x v="2"/>
    <x v="113"/>
    <n v="340.95"/>
    <n v="2"/>
    <n v="681.9"/>
  </r>
  <r>
    <x v="9"/>
    <x v="1"/>
    <x v="1"/>
    <x v="0"/>
    <x v="114"/>
    <n v="168.95"/>
    <n v="15"/>
    <n v="2534.25"/>
  </r>
  <r>
    <x v="9"/>
    <x v="3"/>
    <x v="1"/>
    <x v="4"/>
    <x v="115"/>
    <n v="79.989999999999995"/>
    <n v="15"/>
    <n v="1199.8499999999999"/>
  </r>
  <r>
    <x v="3"/>
    <x v="4"/>
    <x v="1"/>
    <x v="3"/>
    <x v="33"/>
    <n v="340.95"/>
    <n v="10"/>
    <n v="3409.5"/>
  </r>
  <r>
    <x v="10"/>
    <x v="2"/>
    <x v="2"/>
    <x v="4"/>
    <x v="116"/>
    <n v="799.95"/>
    <n v="10"/>
    <n v="7999.5"/>
  </r>
  <r>
    <x v="1"/>
    <x v="2"/>
    <x v="1"/>
    <x v="0"/>
    <x v="117"/>
    <n v="799.95"/>
    <n v="14"/>
    <n v="11199.300000000001"/>
  </r>
  <r>
    <x v="8"/>
    <x v="2"/>
    <x v="1"/>
    <x v="3"/>
    <x v="118"/>
    <n v="799.95"/>
    <n v="9"/>
    <n v="7199.55"/>
  </r>
  <r>
    <x v="4"/>
    <x v="0"/>
    <x v="3"/>
    <x v="0"/>
    <x v="119"/>
    <n v="340.95"/>
    <n v="13"/>
    <n v="4432.3499999999995"/>
  </r>
  <r>
    <x v="9"/>
    <x v="2"/>
    <x v="1"/>
    <x v="2"/>
    <x v="120"/>
    <n v="799.95"/>
    <n v="5"/>
    <n v="3999.75"/>
  </r>
  <r>
    <x v="8"/>
    <x v="4"/>
    <x v="0"/>
    <x v="1"/>
    <x v="121"/>
    <n v="340.95"/>
    <n v="2"/>
    <n v="681.9"/>
  </r>
  <r>
    <x v="7"/>
    <x v="4"/>
    <x v="0"/>
    <x v="3"/>
    <x v="122"/>
    <n v="340.95"/>
    <n v="9"/>
    <n v="3068.5499999999997"/>
  </r>
  <r>
    <x v="9"/>
    <x v="2"/>
    <x v="1"/>
    <x v="1"/>
    <x v="123"/>
    <n v="799.95"/>
    <n v="6"/>
    <n v="4799.7000000000007"/>
  </r>
  <r>
    <x v="4"/>
    <x v="1"/>
    <x v="3"/>
    <x v="4"/>
    <x v="124"/>
    <n v="168.95"/>
    <n v="6"/>
    <n v="1013.6999999999999"/>
  </r>
  <r>
    <x v="3"/>
    <x v="0"/>
    <x v="1"/>
    <x v="1"/>
    <x v="125"/>
    <n v="340.95"/>
    <n v="13"/>
    <n v="4432.3499999999995"/>
  </r>
  <r>
    <x v="0"/>
    <x v="3"/>
    <x v="0"/>
    <x v="2"/>
    <x v="126"/>
    <n v="79.989999999999995"/>
    <n v="3"/>
    <n v="239.96999999999997"/>
  </r>
  <r>
    <x v="6"/>
    <x v="2"/>
    <x v="2"/>
    <x v="4"/>
    <x v="127"/>
    <n v="799.95"/>
    <n v="13"/>
    <n v="10399.35"/>
  </r>
  <r>
    <x v="2"/>
    <x v="1"/>
    <x v="2"/>
    <x v="2"/>
    <x v="128"/>
    <n v="168.95"/>
    <n v="10"/>
    <n v="1689.5"/>
  </r>
  <r>
    <x v="2"/>
    <x v="0"/>
    <x v="2"/>
    <x v="3"/>
    <x v="57"/>
    <n v="340.95"/>
    <n v="4"/>
    <n v="1363.8"/>
  </r>
  <r>
    <x v="0"/>
    <x v="3"/>
    <x v="0"/>
    <x v="1"/>
    <x v="129"/>
    <n v="79.989999999999995"/>
    <n v="5"/>
    <n v="399.95"/>
  </r>
  <r>
    <x v="1"/>
    <x v="2"/>
    <x v="1"/>
    <x v="4"/>
    <x v="130"/>
    <n v="799.95"/>
    <n v="14"/>
    <n v="11199.300000000001"/>
  </r>
  <r>
    <x v="11"/>
    <x v="4"/>
    <x v="3"/>
    <x v="0"/>
    <x v="131"/>
    <n v="340.95"/>
    <n v="12"/>
    <n v="4091.3999999999996"/>
  </r>
  <r>
    <x v="3"/>
    <x v="4"/>
    <x v="1"/>
    <x v="2"/>
    <x v="132"/>
    <n v="340.95"/>
    <n v="7"/>
    <n v="2386.65"/>
  </r>
  <r>
    <x v="7"/>
    <x v="4"/>
    <x v="0"/>
    <x v="1"/>
    <x v="133"/>
    <n v="340.95"/>
    <n v="6"/>
    <n v="2045.6999999999998"/>
  </r>
  <r>
    <x v="0"/>
    <x v="1"/>
    <x v="0"/>
    <x v="4"/>
    <x v="134"/>
    <n v="168.95"/>
    <n v="12"/>
    <n v="2027.3999999999999"/>
  </r>
  <r>
    <x v="7"/>
    <x v="0"/>
    <x v="0"/>
    <x v="2"/>
    <x v="135"/>
    <n v="340.95"/>
    <n v="15"/>
    <n v="5114.25"/>
  </r>
  <r>
    <x v="9"/>
    <x v="4"/>
    <x v="1"/>
    <x v="1"/>
    <x v="136"/>
    <n v="340.95"/>
    <n v="2"/>
    <n v="681.9"/>
  </r>
  <r>
    <x v="5"/>
    <x v="3"/>
    <x v="2"/>
    <x v="1"/>
    <x v="137"/>
    <n v="79.989999999999995"/>
    <n v="11"/>
    <n v="879.89"/>
  </r>
  <r>
    <x v="7"/>
    <x v="0"/>
    <x v="0"/>
    <x v="3"/>
    <x v="138"/>
    <n v="340.95"/>
    <n v="1"/>
    <n v="340.95"/>
  </r>
  <r>
    <x v="0"/>
    <x v="0"/>
    <x v="0"/>
    <x v="1"/>
    <x v="139"/>
    <n v="340.95"/>
    <n v="15"/>
    <n v="5114.25"/>
  </r>
  <r>
    <x v="2"/>
    <x v="3"/>
    <x v="2"/>
    <x v="2"/>
    <x v="140"/>
    <n v="79.989999999999995"/>
    <n v="11"/>
    <n v="879.89"/>
  </r>
  <r>
    <x v="8"/>
    <x v="0"/>
    <x v="1"/>
    <x v="2"/>
    <x v="141"/>
    <n v="340.95"/>
    <n v="13"/>
    <n v="4432.3499999999995"/>
  </r>
  <r>
    <x v="3"/>
    <x v="0"/>
    <x v="1"/>
    <x v="4"/>
    <x v="142"/>
    <n v="340.95"/>
    <n v="12"/>
    <n v="4091.3999999999996"/>
  </r>
  <r>
    <x v="11"/>
    <x v="1"/>
    <x v="3"/>
    <x v="2"/>
    <x v="143"/>
    <n v="168.95"/>
    <n v="14"/>
    <n v="2365.2999999999997"/>
  </r>
  <r>
    <x v="3"/>
    <x v="1"/>
    <x v="1"/>
    <x v="4"/>
    <x v="144"/>
    <n v="168.95"/>
    <n v="7"/>
    <n v="1182.6499999999999"/>
  </r>
  <r>
    <x v="10"/>
    <x v="1"/>
    <x v="2"/>
    <x v="1"/>
    <x v="145"/>
    <n v="168.95"/>
    <n v="2"/>
    <n v="337.9"/>
  </r>
  <r>
    <x v="5"/>
    <x v="0"/>
    <x v="2"/>
    <x v="2"/>
    <x v="146"/>
    <n v="340.95"/>
    <n v="9"/>
    <n v="3068.5499999999997"/>
  </r>
  <r>
    <x v="0"/>
    <x v="1"/>
    <x v="0"/>
    <x v="4"/>
    <x v="147"/>
    <n v="168.95"/>
    <n v="4"/>
    <n v="675.8"/>
  </r>
  <r>
    <x v="6"/>
    <x v="1"/>
    <x v="2"/>
    <x v="2"/>
    <x v="148"/>
    <n v="168.95"/>
    <n v="9"/>
    <n v="1520.55"/>
  </r>
  <r>
    <x v="9"/>
    <x v="3"/>
    <x v="1"/>
    <x v="1"/>
    <x v="149"/>
    <n v="79.989999999999995"/>
    <n v="10"/>
    <n v="799.9"/>
  </r>
  <r>
    <x v="3"/>
    <x v="2"/>
    <x v="1"/>
    <x v="4"/>
    <x v="150"/>
    <n v="799.95"/>
    <n v="6"/>
    <n v="4799.7000000000007"/>
  </r>
  <r>
    <x v="7"/>
    <x v="3"/>
    <x v="0"/>
    <x v="4"/>
    <x v="151"/>
    <n v="79.989999999999995"/>
    <n v="2"/>
    <n v="159.97999999999999"/>
  </r>
  <r>
    <x v="4"/>
    <x v="4"/>
    <x v="3"/>
    <x v="4"/>
    <x v="152"/>
    <n v="340.95"/>
    <n v="9"/>
    <n v="3068.5499999999997"/>
  </r>
  <r>
    <x v="4"/>
    <x v="2"/>
    <x v="3"/>
    <x v="3"/>
    <x v="153"/>
    <n v="799.95"/>
    <n v="7"/>
    <n v="5599.6500000000005"/>
  </r>
  <r>
    <x v="3"/>
    <x v="0"/>
    <x v="1"/>
    <x v="4"/>
    <x v="154"/>
    <n v="340.95"/>
    <n v="8"/>
    <n v="2727.6"/>
  </r>
  <r>
    <x v="11"/>
    <x v="2"/>
    <x v="3"/>
    <x v="1"/>
    <x v="155"/>
    <n v="799.95"/>
    <n v="10"/>
    <n v="7999.5"/>
  </r>
  <r>
    <x v="0"/>
    <x v="4"/>
    <x v="0"/>
    <x v="4"/>
    <x v="156"/>
    <n v="340.95"/>
    <n v="1"/>
    <n v="340.95"/>
  </r>
  <r>
    <x v="0"/>
    <x v="0"/>
    <x v="0"/>
    <x v="0"/>
    <x v="157"/>
    <n v="340.95"/>
    <n v="9"/>
    <n v="3068.5499999999997"/>
  </r>
  <r>
    <x v="10"/>
    <x v="3"/>
    <x v="2"/>
    <x v="4"/>
    <x v="158"/>
    <n v="79.989999999999995"/>
    <n v="14"/>
    <n v="1119.8599999999999"/>
  </r>
  <r>
    <x v="7"/>
    <x v="4"/>
    <x v="0"/>
    <x v="3"/>
    <x v="159"/>
    <n v="340.95"/>
    <n v="10"/>
    <n v="3409.5"/>
  </r>
  <r>
    <x v="6"/>
    <x v="1"/>
    <x v="2"/>
    <x v="2"/>
    <x v="27"/>
    <n v="168.95"/>
    <n v="1"/>
    <n v="168.95"/>
  </r>
  <r>
    <x v="6"/>
    <x v="0"/>
    <x v="2"/>
    <x v="3"/>
    <x v="160"/>
    <n v="340.95"/>
    <n v="12"/>
    <n v="4091.3999999999996"/>
  </r>
  <r>
    <x v="11"/>
    <x v="0"/>
    <x v="3"/>
    <x v="3"/>
    <x v="5"/>
    <n v="340.95"/>
    <n v="12"/>
    <n v="4091.3999999999996"/>
  </r>
  <r>
    <x v="10"/>
    <x v="3"/>
    <x v="2"/>
    <x v="0"/>
    <x v="161"/>
    <n v="79.989999999999995"/>
    <n v="8"/>
    <n v="639.91999999999996"/>
  </r>
  <r>
    <x v="3"/>
    <x v="1"/>
    <x v="1"/>
    <x v="3"/>
    <x v="102"/>
    <n v="168.95"/>
    <n v="3"/>
    <n v="506.84999999999997"/>
  </r>
  <r>
    <x v="5"/>
    <x v="2"/>
    <x v="2"/>
    <x v="3"/>
    <x v="162"/>
    <n v="799.95"/>
    <n v="2"/>
    <n v="1599.9"/>
  </r>
  <r>
    <x v="10"/>
    <x v="0"/>
    <x v="2"/>
    <x v="2"/>
    <x v="163"/>
    <n v="340.95"/>
    <n v="15"/>
    <n v="5114.25"/>
  </r>
  <r>
    <x v="2"/>
    <x v="3"/>
    <x v="2"/>
    <x v="2"/>
    <x v="164"/>
    <n v="79.989999999999995"/>
    <n v="1"/>
    <n v="79.989999999999995"/>
  </r>
  <r>
    <x v="3"/>
    <x v="2"/>
    <x v="1"/>
    <x v="4"/>
    <x v="165"/>
    <n v="799.95"/>
    <n v="10"/>
    <n v="7999.5"/>
  </r>
  <r>
    <x v="8"/>
    <x v="4"/>
    <x v="0"/>
    <x v="1"/>
    <x v="166"/>
    <n v="340.95"/>
    <n v="2"/>
    <n v="681.9"/>
  </r>
  <r>
    <x v="5"/>
    <x v="3"/>
    <x v="2"/>
    <x v="4"/>
    <x v="167"/>
    <n v="79.989999999999995"/>
    <n v="6"/>
    <n v="479.93999999999994"/>
  </r>
  <r>
    <x v="8"/>
    <x v="3"/>
    <x v="1"/>
    <x v="3"/>
    <x v="168"/>
    <n v="79.989999999999995"/>
    <n v="8"/>
    <n v="639.91999999999996"/>
  </r>
  <r>
    <x v="6"/>
    <x v="2"/>
    <x v="2"/>
    <x v="0"/>
    <x v="169"/>
    <n v="799.95"/>
    <n v="15"/>
    <n v="11999.25"/>
  </r>
  <r>
    <x v="4"/>
    <x v="4"/>
    <x v="3"/>
    <x v="3"/>
    <x v="164"/>
    <n v="340.95"/>
    <n v="11"/>
    <n v="3750.45"/>
  </r>
  <r>
    <x v="3"/>
    <x v="0"/>
    <x v="1"/>
    <x v="0"/>
    <x v="117"/>
    <n v="340.95"/>
    <n v="8"/>
    <n v="2727.6"/>
  </r>
  <r>
    <x v="7"/>
    <x v="3"/>
    <x v="0"/>
    <x v="0"/>
    <x v="33"/>
    <n v="79.989999999999995"/>
    <n v="8"/>
    <n v="639.91999999999996"/>
  </r>
  <r>
    <x v="5"/>
    <x v="4"/>
    <x v="2"/>
    <x v="0"/>
    <x v="170"/>
    <n v="340.95"/>
    <n v="18"/>
    <n v="6137.0999999999995"/>
  </r>
  <r>
    <x v="6"/>
    <x v="3"/>
    <x v="2"/>
    <x v="1"/>
    <x v="171"/>
    <n v="79.989999999999995"/>
    <n v="12"/>
    <n v="959.87999999999988"/>
  </r>
  <r>
    <x v="7"/>
    <x v="1"/>
    <x v="0"/>
    <x v="3"/>
    <x v="0"/>
    <n v="168.95"/>
    <n v="9"/>
    <n v="1520.55"/>
  </r>
  <r>
    <x v="0"/>
    <x v="3"/>
    <x v="0"/>
    <x v="1"/>
    <x v="172"/>
    <n v="79.989999999999995"/>
    <n v="7"/>
    <n v="559.92999999999995"/>
  </r>
  <r>
    <x v="5"/>
    <x v="1"/>
    <x v="2"/>
    <x v="4"/>
    <x v="173"/>
    <n v="168.95"/>
    <n v="1"/>
    <n v="168.95"/>
  </r>
  <r>
    <x v="0"/>
    <x v="1"/>
    <x v="0"/>
    <x v="2"/>
    <x v="174"/>
    <n v="168.95"/>
    <n v="11"/>
    <n v="1858.4499999999998"/>
  </r>
  <r>
    <x v="5"/>
    <x v="1"/>
    <x v="2"/>
    <x v="2"/>
    <x v="126"/>
    <n v="168.95"/>
    <n v="12"/>
    <n v="2027.3999999999999"/>
  </r>
  <r>
    <x v="2"/>
    <x v="2"/>
    <x v="2"/>
    <x v="2"/>
    <x v="175"/>
    <n v="799.95"/>
    <n v="6"/>
    <n v="4799.7000000000007"/>
  </r>
  <r>
    <x v="7"/>
    <x v="1"/>
    <x v="0"/>
    <x v="4"/>
    <x v="176"/>
    <n v="168.95"/>
    <n v="14"/>
    <n v="2365.2999999999997"/>
  </r>
  <r>
    <x v="7"/>
    <x v="0"/>
    <x v="0"/>
    <x v="1"/>
    <x v="177"/>
    <n v="340.95"/>
    <n v="9"/>
    <n v="3068.5499999999997"/>
  </r>
  <r>
    <x v="7"/>
    <x v="0"/>
    <x v="0"/>
    <x v="0"/>
    <x v="178"/>
    <n v="340.95"/>
    <n v="18"/>
    <n v="6137.0999999999995"/>
  </r>
  <r>
    <x v="6"/>
    <x v="3"/>
    <x v="2"/>
    <x v="2"/>
    <x v="96"/>
    <n v="79.989999999999995"/>
    <n v="15"/>
    <n v="1199.8499999999999"/>
  </r>
  <r>
    <x v="10"/>
    <x v="3"/>
    <x v="2"/>
    <x v="1"/>
    <x v="5"/>
    <n v="79.989999999999995"/>
    <n v="1"/>
    <n v="79.989999999999995"/>
  </r>
  <r>
    <x v="8"/>
    <x v="1"/>
    <x v="1"/>
    <x v="1"/>
    <x v="179"/>
    <n v="168.95"/>
    <n v="2"/>
    <n v="337.9"/>
  </r>
  <r>
    <x v="4"/>
    <x v="0"/>
    <x v="3"/>
    <x v="1"/>
    <x v="180"/>
    <n v="340.95"/>
    <n v="12"/>
    <n v="4091.3999999999996"/>
  </r>
  <r>
    <x v="10"/>
    <x v="3"/>
    <x v="2"/>
    <x v="1"/>
    <x v="181"/>
    <n v="79.989999999999995"/>
    <n v="3"/>
    <n v="239.96999999999997"/>
  </r>
  <r>
    <x v="9"/>
    <x v="4"/>
    <x v="1"/>
    <x v="1"/>
    <x v="182"/>
    <n v="340.95"/>
    <n v="5"/>
    <n v="1704.75"/>
  </r>
  <r>
    <x v="3"/>
    <x v="3"/>
    <x v="1"/>
    <x v="1"/>
    <x v="183"/>
    <n v="79.989999999999995"/>
    <n v="3"/>
    <n v="239.96999999999997"/>
  </r>
  <r>
    <x v="11"/>
    <x v="4"/>
    <x v="3"/>
    <x v="1"/>
    <x v="184"/>
    <n v="340.95"/>
    <n v="2"/>
    <n v="681.9"/>
  </r>
  <r>
    <x v="5"/>
    <x v="1"/>
    <x v="2"/>
    <x v="4"/>
    <x v="185"/>
    <n v="168.95"/>
    <n v="3"/>
    <n v="506.84999999999997"/>
  </r>
  <r>
    <x v="0"/>
    <x v="1"/>
    <x v="0"/>
    <x v="4"/>
    <x v="74"/>
    <n v="168.95"/>
    <n v="6"/>
    <n v="1013.6999999999999"/>
  </r>
  <r>
    <x v="11"/>
    <x v="2"/>
    <x v="3"/>
    <x v="1"/>
    <x v="186"/>
    <n v="799.95"/>
    <n v="13"/>
    <n v="10399.35"/>
  </r>
  <r>
    <x v="0"/>
    <x v="3"/>
    <x v="0"/>
    <x v="3"/>
    <x v="187"/>
    <n v="79.989999999999995"/>
    <n v="12"/>
    <n v="959.87999999999988"/>
  </r>
  <r>
    <x v="8"/>
    <x v="3"/>
    <x v="1"/>
    <x v="0"/>
    <x v="188"/>
    <n v="79.989999999999995"/>
    <n v="12"/>
    <n v="959.87999999999988"/>
  </r>
  <r>
    <x v="4"/>
    <x v="2"/>
    <x v="3"/>
    <x v="3"/>
    <x v="40"/>
    <n v="799.95"/>
    <n v="13"/>
    <n v="10399.35"/>
  </r>
  <r>
    <x v="10"/>
    <x v="2"/>
    <x v="2"/>
    <x v="3"/>
    <x v="189"/>
    <n v="799.95"/>
    <n v="1"/>
    <n v="799.95"/>
  </r>
  <r>
    <x v="10"/>
    <x v="3"/>
    <x v="2"/>
    <x v="0"/>
    <x v="190"/>
    <n v="79.989999999999995"/>
    <n v="17"/>
    <n v="1359.83"/>
  </r>
  <r>
    <x v="9"/>
    <x v="0"/>
    <x v="1"/>
    <x v="4"/>
    <x v="41"/>
    <n v="340.95"/>
    <n v="8"/>
    <n v="2727.6"/>
  </r>
  <r>
    <x v="7"/>
    <x v="3"/>
    <x v="0"/>
    <x v="3"/>
    <x v="191"/>
    <n v="79.989999999999995"/>
    <n v="3"/>
    <n v="239.96999999999997"/>
  </r>
  <r>
    <x v="2"/>
    <x v="2"/>
    <x v="2"/>
    <x v="4"/>
    <x v="192"/>
    <n v="799.95"/>
    <n v="1"/>
    <n v="799.95"/>
  </r>
  <r>
    <x v="11"/>
    <x v="1"/>
    <x v="3"/>
    <x v="4"/>
    <x v="193"/>
    <n v="168.95"/>
    <n v="10"/>
    <n v="1689.5"/>
  </r>
  <r>
    <x v="0"/>
    <x v="0"/>
    <x v="0"/>
    <x v="1"/>
    <x v="48"/>
    <n v="340.95"/>
    <n v="14"/>
    <n v="4773.3"/>
  </r>
  <r>
    <x v="3"/>
    <x v="3"/>
    <x v="1"/>
    <x v="1"/>
    <x v="194"/>
    <n v="79.989999999999995"/>
    <n v="10"/>
    <n v="799.9"/>
  </r>
  <r>
    <x v="5"/>
    <x v="0"/>
    <x v="2"/>
    <x v="1"/>
    <x v="195"/>
    <n v="340.95"/>
    <n v="14"/>
    <n v="4773.3"/>
  </r>
  <r>
    <x v="0"/>
    <x v="0"/>
    <x v="0"/>
    <x v="3"/>
    <x v="196"/>
    <n v="340.95"/>
    <n v="2"/>
    <n v="681.9"/>
  </r>
  <r>
    <x v="1"/>
    <x v="2"/>
    <x v="1"/>
    <x v="0"/>
    <x v="197"/>
    <n v="799.95"/>
    <n v="18"/>
    <n v="14399.1"/>
  </r>
  <r>
    <x v="2"/>
    <x v="1"/>
    <x v="2"/>
    <x v="0"/>
    <x v="95"/>
    <n v="168.95"/>
    <n v="6"/>
    <n v="1013.6999999999999"/>
  </r>
  <r>
    <x v="8"/>
    <x v="0"/>
    <x v="1"/>
    <x v="3"/>
    <x v="198"/>
    <n v="340.95"/>
    <n v="7"/>
    <n v="2386.65"/>
  </r>
  <r>
    <x v="10"/>
    <x v="0"/>
    <x v="2"/>
    <x v="4"/>
    <x v="199"/>
    <n v="340.95"/>
    <n v="10"/>
    <n v="3409.5"/>
  </r>
  <r>
    <x v="9"/>
    <x v="3"/>
    <x v="1"/>
    <x v="1"/>
    <x v="106"/>
    <n v="79.989999999999995"/>
    <n v="14"/>
    <n v="1119.8599999999999"/>
  </r>
  <r>
    <x v="9"/>
    <x v="0"/>
    <x v="1"/>
    <x v="3"/>
    <x v="40"/>
    <n v="340.95"/>
    <n v="7"/>
    <n v="2386.65"/>
  </r>
  <r>
    <x v="0"/>
    <x v="1"/>
    <x v="0"/>
    <x v="1"/>
    <x v="200"/>
    <n v="168.95"/>
    <n v="11"/>
    <n v="1858.4499999999998"/>
  </r>
  <r>
    <x v="7"/>
    <x v="0"/>
    <x v="0"/>
    <x v="2"/>
    <x v="201"/>
    <n v="340.95"/>
    <n v="8"/>
    <n v="2727.6"/>
  </r>
  <r>
    <x v="11"/>
    <x v="3"/>
    <x v="3"/>
    <x v="2"/>
    <x v="202"/>
    <n v="79.989999999999995"/>
    <n v="8"/>
    <n v="639.91999999999996"/>
  </r>
  <r>
    <x v="0"/>
    <x v="3"/>
    <x v="0"/>
    <x v="2"/>
    <x v="203"/>
    <n v="79.989999999999995"/>
    <n v="7"/>
    <n v="559.92999999999995"/>
  </r>
  <r>
    <x v="9"/>
    <x v="4"/>
    <x v="1"/>
    <x v="4"/>
    <x v="182"/>
    <n v="340.95"/>
    <n v="12"/>
    <n v="4091.3999999999996"/>
  </r>
  <r>
    <x v="9"/>
    <x v="3"/>
    <x v="1"/>
    <x v="3"/>
    <x v="74"/>
    <n v="79.989999999999995"/>
    <n v="2"/>
    <n v="159.97999999999999"/>
  </r>
  <r>
    <x v="9"/>
    <x v="0"/>
    <x v="1"/>
    <x v="1"/>
    <x v="204"/>
    <n v="340.95"/>
    <n v="15"/>
    <n v="5114.25"/>
  </r>
  <r>
    <x v="0"/>
    <x v="1"/>
    <x v="0"/>
    <x v="4"/>
    <x v="197"/>
    <n v="168.95"/>
    <n v="8"/>
    <n v="1351.6"/>
  </r>
  <r>
    <x v="5"/>
    <x v="4"/>
    <x v="2"/>
    <x v="0"/>
    <x v="205"/>
    <n v="340.95"/>
    <n v="13"/>
    <n v="4432.3499999999995"/>
  </r>
  <r>
    <x v="8"/>
    <x v="3"/>
    <x v="1"/>
    <x v="4"/>
    <x v="206"/>
    <n v="79.989999999999995"/>
    <n v="2"/>
    <n v="159.97999999999999"/>
  </r>
  <r>
    <x v="1"/>
    <x v="0"/>
    <x v="1"/>
    <x v="3"/>
    <x v="207"/>
    <n v="340.95"/>
    <n v="1"/>
    <n v="340.95"/>
  </r>
  <r>
    <x v="3"/>
    <x v="4"/>
    <x v="1"/>
    <x v="2"/>
    <x v="11"/>
    <n v="340.95"/>
    <n v="10"/>
    <n v="3409.5"/>
  </r>
  <r>
    <x v="8"/>
    <x v="0"/>
    <x v="1"/>
    <x v="0"/>
    <x v="54"/>
    <n v="340.95"/>
    <n v="20"/>
    <n v="6819"/>
  </r>
  <r>
    <x v="4"/>
    <x v="3"/>
    <x v="3"/>
    <x v="1"/>
    <x v="28"/>
    <n v="79.989999999999995"/>
    <n v="13"/>
    <n v="1039.8699999999999"/>
  </r>
  <r>
    <x v="6"/>
    <x v="4"/>
    <x v="2"/>
    <x v="4"/>
    <x v="18"/>
    <n v="340.95"/>
    <n v="5"/>
    <n v="1704.75"/>
  </r>
  <r>
    <x v="6"/>
    <x v="1"/>
    <x v="2"/>
    <x v="3"/>
    <x v="208"/>
    <n v="168.95"/>
    <n v="14"/>
    <n v="2365.2999999999997"/>
  </r>
  <r>
    <x v="7"/>
    <x v="0"/>
    <x v="0"/>
    <x v="4"/>
    <x v="69"/>
    <n v="340.95"/>
    <n v="6"/>
    <n v="2045.6999999999998"/>
  </r>
  <r>
    <x v="7"/>
    <x v="0"/>
    <x v="0"/>
    <x v="4"/>
    <x v="71"/>
    <n v="340.95"/>
    <n v="15"/>
    <n v="5114.25"/>
  </r>
  <r>
    <x v="5"/>
    <x v="2"/>
    <x v="2"/>
    <x v="0"/>
    <x v="209"/>
    <n v="799.95"/>
    <n v="12"/>
    <n v="9599.4000000000015"/>
  </r>
  <r>
    <x v="4"/>
    <x v="0"/>
    <x v="3"/>
    <x v="3"/>
    <x v="113"/>
    <n v="340.95"/>
    <n v="14"/>
    <n v="4773.3"/>
  </r>
  <r>
    <x v="11"/>
    <x v="3"/>
    <x v="3"/>
    <x v="0"/>
    <x v="210"/>
    <n v="79.989999999999995"/>
    <n v="12"/>
    <n v="959.87999999999988"/>
  </r>
  <r>
    <x v="5"/>
    <x v="0"/>
    <x v="2"/>
    <x v="0"/>
    <x v="173"/>
    <n v="340.95"/>
    <n v="6"/>
    <n v="2045.6999999999998"/>
  </r>
  <r>
    <x v="2"/>
    <x v="0"/>
    <x v="2"/>
    <x v="1"/>
    <x v="211"/>
    <n v="340.95"/>
    <n v="5"/>
    <n v="1704.75"/>
  </r>
  <r>
    <x v="9"/>
    <x v="4"/>
    <x v="1"/>
    <x v="3"/>
    <x v="101"/>
    <n v="340.95"/>
    <n v="3"/>
    <n v="1022.8499999999999"/>
  </r>
  <r>
    <x v="8"/>
    <x v="4"/>
    <x v="0"/>
    <x v="4"/>
    <x v="209"/>
    <n v="340.95"/>
    <n v="4"/>
    <n v="1363.8"/>
  </r>
  <r>
    <x v="5"/>
    <x v="2"/>
    <x v="2"/>
    <x v="0"/>
    <x v="212"/>
    <n v="799.95"/>
    <n v="14"/>
    <n v="11199.300000000001"/>
  </r>
  <r>
    <x v="3"/>
    <x v="1"/>
    <x v="1"/>
    <x v="0"/>
    <x v="125"/>
    <n v="168.95"/>
    <n v="20"/>
    <n v="3379"/>
  </r>
  <r>
    <x v="8"/>
    <x v="4"/>
    <x v="0"/>
    <x v="1"/>
    <x v="213"/>
    <n v="340.95"/>
    <n v="7"/>
    <n v="2386.65"/>
  </r>
  <r>
    <x v="7"/>
    <x v="1"/>
    <x v="0"/>
    <x v="4"/>
    <x v="214"/>
    <n v="168.95"/>
    <n v="1"/>
    <n v="168.95"/>
  </r>
  <r>
    <x v="1"/>
    <x v="3"/>
    <x v="1"/>
    <x v="3"/>
    <x v="89"/>
    <n v="79.989999999999995"/>
    <n v="13"/>
    <n v="1039.8699999999999"/>
  </r>
  <r>
    <x v="1"/>
    <x v="3"/>
    <x v="1"/>
    <x v="3"/>
    <x v="215"/>
    <n v="79.989999999999995"/>
    <n v="13"/>
    <n v="1039.8699999999999"/>
  </r>
  <r>
    <x v="5"/>
    <x v="0"/>
    <x v="2"/>
    <x v="3"/>
    <x v="216"/>
    <n v="340.95"/>
    <n v="4"/>
    <n v="1363.8"/>
  </r>
  <r>
    <x v="0"/>
    <x v="3"/>
    <x v="0"/>
    <x v="1"/>
    <x v="217"/>
    <n v="79.989999999999995"/>
    <n v="5"/>
    <n v="399.95"/>
  </r>
  <r>
    <x v="2"/>
    <x v="1"/>
    <x v="2"/>
    <x v="0"/>
    <x v="158"/>
    <n v="168.95"/>
    <n v="17"/>
    <n v="2872.1499999999996"/>
  </r>
  <r>
    <x v="5"/>
    <x v="4"/>
    <x v="2"/>
    <x v="1"/>
    <x v="218"/>
    <n v="340.95"/>
    <n v="3"/>
    <n v="1022.8499999999999"/>
  </r>
  <r>
    <x v="1"/>
    <x v="0"/>
    <x v="1"/>
    <x v="1"/>
    <x v="79"/>
    <n v="340.95"/>
    <n v="7"/>
    <n v="2386.65"/>
  </r>
  <r>
    <x v="0"/>
    <x v="0"/>
    <x v="0"/>
    <x v="2"/>
    <x v="10"/>
    <n v="340.95"/>
    <n v="1"/>
    <n v="340.95"/>
  </r>
  <r>
    <x v="5"/>
    <x v="4"/>
    <x v="2"/>
    <x v="0"/>
    <x v="184"/>
    <n v="340.95"/>
    <n v="18"/>
    <n v="6137.0999999999995"/>
  </r>
  <r>
    <x v="6"/>
    <x v="2"/>
    <x v="2"/>
    <x v="1"/>
    <x v="18"/>
    <n v="799.95"/>
    <n v="2"/>
    <n v="1599.9"/>
  </r>
  <r>
    <x v="6"/>
    <x v="3"/>
    <x v="2"/>
    <x v="0"/>
    <x v="219"/>
    <n v="79.989999999999995"/>
    <n v="18"/>
    <n v="1439.82"/>
  </r>
  <r>
    <x v="0"/>
    <x v="3"/>
    <x v="0"/>
    <x v="4"/>
    <x v="220"/>
    <n v="79.989999999999995"/>
    <n v="2"/>
    <n v="159.97999999999999"/>
  </r>
  <r>
    <x v="6"/>
    <x v="2"/>
    <x v="2"/>
    <x v="0"/>
    <x v="221"/>
    <n v="799.95"/>
    <n v="10"/>
    <n v="7999.5"/>
  </r>
  <r>
    <x v="10"/>
    <x v="3"/>
    <x v="2"/>
    <x v="2"/>
    <x v="222"/>
    <n v="79.989999999999995"/>
    <n v="10"/>
    <n v="799.9"/>
  </r>
  <r>
    <x v="7"/>
    <x v="2"/>
    <x v="0"/>
    <x v="1"/>
    <x v="223"/>
    <n v="799.95"/>
    <n v="14"/>
    <n v="11199.300000000001"/>
  </r>
  <r>
    <x v="3"/>
    <x v="2"/>
    <x v="1"/>
    <x v="1"/>
    <x v="224"/>
    <n v="799.95"/>
    <n v="7"/>
    <n v="5599.6500000000005"/>
  </r>
  <r>
    <x v="5"/>
    <x v="3"/>
    <x v="2"/>
    <x v="3"/>
    <x v="158"/>
    <n v="79.989999999999995"/>
    <n v="3"/>
    <n v="239.96999999999997"/>
  </r>
  <r>
    <x v="5"/>
    <x v="0"/>
    <x v="2"/>
    <x v="2"/>
    <x v="225"/>
    <n v="340.95"/>
    <n v="15"/>
    <n v="5114.25"/>
  </r>
  <r>
    <x v="7"/>
    <x v="0"/>
    <x v="0"/>
    <x v="1"/>
    <x v="226"/>
    <n v="340.95"/>
    <n v="11"/>
    <n v="3750.45"/>
  </r>
  <r>
    <x v="1"/>
    <x v="4"/>
    <x v="1"/>
    <x v="1"/>
    <x v="227"/>
    <n v="340.95"/>
    <n v="3"/>
    <n v="1022.8499999999999"/>
  </r>
  <r>
    <x v="11"/>
    <x v="4"/>
    <x v="3"/>
    <x v="2"/>
    <x v="165"/>
    <n v="340.95"/>
    <n v="10"/>
    <n v="3409.5"/>
  </r>
  <r>
    <x v="0"/>
    <x v="0"/>
    <x v="0"/>
    <x v="4"/>
    <x v="169"/>
    <n v="340.95"/>
    <n v="11"/>
    <n v="3750.45"/>
  </r>
  <r>
    <x v="10"/>
    <x v="3"/>
    <x v="2"/>
    <x v="1"/>
    <x v="228"/>
    <n v="79.989999999999995"/>
    <n v="6"/>
    <n v="479.93999999999994"/>
  </r>
  <r>
    <x v="10"/>
    <x v="4"/>
    <x v="2"/>
    <x v="4"/>
    <x v="208"/>
    <n v="340.95"/>
    <n v="7"/>
    <n v="2386.65"/>
  </r>
  <r>
    <x v="7"/>
    <x v="1"/>
    <x v="0"/>
    <x v="4"/>
    <x v="229"/>
    <n v="168.95"/>
    <n v="14"/>
    <n v="2365.2999999999997"/>
  </r>
  <r>
    <x v="11"/>
    <x v="1"/>
    <x v="3"/>
    <x v="3"/>
    <x v="230"/>
    <n v="168.95"/>
    <n v="11"/>
    <n v="1858.4499999999998"/>
  </r>
  <r>
    <x v="1"/>
    <x v="1"/>
    <x v="1"/>
    <x v="2"/>
    <x v="36"/>
    <n v="168.95"/>
    <n v="3"/>
    <n v="506.84999999999997"/>
  </r>
  <r>
    <x v="3"/>
    <x v="1"/>
    <x v="1"/>
    <x v="0"/>
    <x v="231"/>
    <n v="168.95"/>
    <n v="8"/>
    <n v="1351.6"/>
  </r>
  <r>
    <x v="11"/>
    <x v="1"/>
    <x v="3"/>
    <x v="4"/>
    <x v="100"/>
    <n v="168.95"/>
    <n v="6"/>
    <n v="1013.6999999999999"/>
  </r>
  <r>
    <x v="4"/>
    <x v="1"/>
    <x v="3"/>
    <x v="0"/>
    <x v="174"/>
    <n v="168.95"/>
    <n v="6"/>
    <n v="1013.6999999999999"/>
  </r>
  <r>
    <x v="6"/>
    <x v="3"/>
    <x v="2"/>
    <x v="0"/>
    <x v="232"/>
    <n v="79.989999999999995"/>
    <n v="20"/>
    <n v="1599.8"/>
  </r>
  <r>
    <x v="8"/>
    <x v="2"/>
    <x v="1"/>
    <x v="2"/>
    <x v="125"/>
    <n v="799.95"/>
    <n v="9"/>
    <n v="7199.55"/>
  </r>
  <r>
    <x v="8"/>
    <x v="2"/>
    <x v="1"/>
    <x v="0"/>
    <x v="233"/>
    <n v="799.95"/>
    <n v="8"/>
    <n v="6399.6"/>
  </r>
  <r>
    <x v="0"/>
    <x v="2"/>
    <x v="0"/>
    <x v="2"/>
    <x v="233"/>
    <n v="799.95"/>
    <n v="12"/>
    <n v="9599.4000000000015"/>
  </r>
  <r>
    <x v="0"/>
    <x v="2"/>
    <x v="0"/>
    <x v="1"/>
    <x v="234"/>
    <n v="799.95"/>
    <n v="7"/>
    <n v="5599.6500000000005"/>
  </r>
  <r>
    <x v="0"/>
    <x v="3"/>
    <x v="0"/>
    <x v="3"/>
    <x v="235"/>
    <n v="79.989999999999995"/>
    <n v="7"/>
    <n v="559.92999999999995"/>
  </r>
  <r>
    <x v="8"/>
    <x v="0"/>
    <x v="1"/>
    <x v="4"/>
    <x v="236"/>
    <n v="340.95"/>
    <n v="1"/>
    <n v="340.95"/>
  </r>
  <r>
    <x v="10"/>
    <x v="3"/>
    <x v="2"/>
    <x v="0"/>
    <x v="236"/>
    <n v="79.989999999999995"/>
    <n v="11"/>
    <n v="879.89"/>
  </r>
  <r>
    <x v="5"/>
    <x v="0"/>
    <x v="2"/>
    <x v="1"/>
    <x v="237"/>
    <n v="340.95"/>
    <n v="8"/>
    <n v="2727.6"/>
  </r>
  <r>
    <x v="11"/>
    <x v="0"/>
    <x v="3"/>
    <x v="0"/>
    <x v="238"/>
    <n v="340.95"/>
    <n v="13"/>
    <n v="4432.3499999999995"/>
  </r>
  <r>
    <x v="8"/>
    <x v="3"/>
    <x v="1"/>
    <x v="0"/>
    <x v="2"/>
    <n v="79.989999999999995"/>
    <n v="12"/>
    <n v="959.87999999999988"/>
  </r>
  <r>
    <x v="5"/>
    <x v="2"/>
    <x v="2"/>
    <x v="1"/>
    <x v="239"/>
    <n v="799.95"/>
    <n v="10"/>
    <n v="7999.5"/>
  </r>
  <r>
    <x v="9"/>
    <x v="4"/>
    <x v="1"/>
    <x v="4"/>
    <x v="240"/>
    <n v="340.95"/>
    <n v="2"/>
    <n v="681.9"/>
  </r>
  <r>
    <x v="9"/>
    <x v="2"/>
    <x v="1"/>
    <x v="0"/>
    <x v="241"/>
    <n v="799.95"/>
    <n v="19"/>
    <n v="15199.050000000001"/>
  </r>
  <r>
    <x v="0"/>
    <x v="4"/>
    <x v="0"/>
    <x v="0"/>
    <x v="21"/>
    <n v="340.95"/>
    <n v="7"/>
    <n v="2386.65"/>
  </r>
  <r>
    <x v="2"/>
    <x v="1"/>
    <x v="2"/>
    <x v="0"/>
    <x v="242"/>
    <n v="168.95"/>
    <n v="9"/>
    <n v="1520.55"/>
  </r>
  <r>
    <x v="8"/>
    <x v="4"/>
    <x v="0"/>
    <x v="4"/>
    <x v="207"/>
    <n v="340.95"/>
    <n v="7"/>
    <n v="2386.65"/>
  </r>
  <r>
    <x v="4"/>
    <x v="0"/>
    <x v="3"/>
    <x v="1"/>
    <x v="243"/>
    <n v="340.95"/>
    <n v="2"/>
    <n v="681.9"/>
  </r>
  <r>
    <x v="3"/>
    <x v="2"/>
    <x v="1"/>
    <x v="3"/>
    <x v="106"/>
    <n v="799.95"/>
    <n v="3"/>
    <n v="2399.8500000000004"/>
  </r>
  <r>
    <x v="0"/>
    <x v="1"/>
    <x v="0"/>
    <x v="3"/>
    <x v="244"/>
    <n v="168.95"/>
    <n v="7"/>
    <n v="1182.6499999999999"/>
  </r>
  <r>
    <x v="9"/>
    <x v="1"/>
    <x v="1"/>
    <x v="1"/>
    <x v="245"/>
    <n v="168.95"/>
    <n v="9"/>
    <n v="1520.55"/>
  </r>
  <r>
    <x v="3"/>
    <x v="0"/>
    <x v="1"/>
    <x v="2"/>
    <x v="246"/>
    <n v="340.95"/>
    <n v="10"/>
    <n v="3409.5"/>
  </r>
  <r>
    <x v="8"/>
    <x v="1"/>
    <x v="1"/>
    <x v="1"/>
    <x v="11"/>
    <n v="168.95"/>
    <n v="13"/>
    <n v="2196.35"/>
  </r>
  <r>
    <x v="3"/>
    <x v="1"/>
    <x v="1"/>
    <x v="2"/>
    <x v="247"/>
    <n v="168.95"/>
    <n v="6"/>
    <n v="1013.6999999999999"/>
  </r>
  <r>
    <x v="7"/>
    <x v="4"/>
    <x v="0"/>
    <x v="3"/>
    <x v="248"/>
    <n v="340.95"/>
    <n v="6"/>
    <n v="2045.6999999999998"/>
  </r>
  <r>
    <x v="10"/>
    <x v="0"/>
    <x v="2"/>
    <x v="3"/>
    <x v="112"/>
    <n v="340.95"/>
    <n v="3"/>
    <n v="1022.8499999999999"/>
  </r>
  <r>
    <x v="0"/>
    <x v="4"/>
    <x v="0"/>
    <x v="2"/>
    <x v="247"/>
    <n v="340.95"/>
    <n v="9"/>
    <n v="3068.5499999999997"/>
  </r>
  <r>
    <x v="5"/>
    <x v="2"/>
    <x v="2"/>
    <x v="1"/>
    <x v="85"/>
    <n v="799.95"/>
    <n v="7"/>
    <n v="5599.6500000000005"/>
  </r>
  <r>
    <x v="8"/>
    <x v="3"/>
    <x v="1"/>
    <x v="4"/>
    <x v="39"/>
    <n v="79.989999999999995"/>
    <n v="3"/>
    <n v="239.96999999999997"/>
  </r>
  <r>
    <x v="4"/>
    <x v="1"/>
    <x v="3"/>
    <x v="3"/>
    <x v="210"/>
    <n v="168.95"/>
    <n v="3"/>
    <n v="506.84999999999997"/>
  </r>
  <r>
    <x v="3"/>
    <x v="4"/>
    <x v="1"/>
    <x v="2"/>
    <x v="249"/>
    <n v="340.95"/>
    <n v="5"/>
    <n v="1704.75"/>
  </r>
  <r>
    <x v="11"/>
    <x v="4"/>
    <x v="3"/>
    <x v="0"/>
    <x v="225"/>
    <n v="340.95"/>
    <n v="18"/>
    <n v="6137.0999999999995"/>
  </r>
  <r>
    <x v="8"/>
    <x v="2"/>
    <x v="1"/>
    <x v="3"/>
    <x v="112"/>
    <n v="799.95"/>
    <n v="1"/>
    <n v="799.95"/>
  </r>
  <r>
    <x v="2"/>
    <x v="0"/>
    <x v="2"/>
    <x v="0"/>
    <x v="154"/>
    <n v="340.95"/>
    <n v="17"/>
    <n v="5796.15"/>
  </r>
  <r>
    <x v="10"/>
    <x v="0"/>
    <x v="2"/>
    <x v="0"/>
    <x v="250"/>
    <n v="340.95"/>
    <n v="20"/>
    <n v="6819"/>
  </r>
  <r>
    <x v="0"/>
    <x v="0"/>
    <x v="0"/>
    <x v="1"/>
    <x v="251"/>
    <n v="340.95"/>
    <n v="5"/>
    <n v="1704.75"/>
  </r>
  <r>
    <x v="3"/>
    <x v="4"/>
    <x v="1"/>
    <x v="3"/>
    <x v="252"/>
    <n v="340.95"/>
    <n v="8"/>
    <n v="2727.6"/>
  </r>
  <r>
    <x v="7"/>
    <x v="0"/>
    <x v="0"/>
    <x v="3"/>
    <x v="253"/>
    <n v="340.95"/>
    <n v="7"/>
    <n v="2386.65"/>
  </r>
  <r>
    <x v="5"/>
    <x v="1"/>
    <x v="2"/>
    <x v="4"/>
    <x v="120"/>
    <n v="168.95"/>
    <n v="12"/>
    <n v="2027.3999999999999"/>
  </r>
  <r>
    <x v="5"/>
    <x v="1"/>
    <x v="2"/>
    <x v="1"/>
    <x v="234"/>
    <n v="168.95"/>
    <n v="4"/>
    <n v="675.8"/>
  </r>
  <r>
    <x v="3"/>
    <x v="4"/>
    <x v="1"/>
    <x v="3"/>
    <x v="254"/>
    <n v="340.95"/>
    <n v="11"/>
    <n v="3750.45"/>
  </r>
  <r>
    <x v="10"/>
    <x v="2"/>
    <x v="2"/>
    <x v="2"/>
    <x v="255"/>
    <n v="799.95"/>
    <n v="6"/>
    <n v="4799.7000000000007"/>
  </r>
  <r>
    <x v="5"/>
    <x v="1"/>
    <x v="2"/>
    <x v="0"/>
    <x v="132"/>
    <n v="168.95"/>
    <n v="8"/>
    <n v="1351.6"/>
  </r>
  <r>
    <x v="0"/>
    <x v="1"/>
    <x v="0"/>
    <x v="0"/>
    <x v="59"/>
    <n v="168.95"/>
    <n v="9"/>
    <n v="1520.55"/>
  </r>
  <r>
    <x v="10"/>
    <x v="4"/>
    <x v="2"/>
    <x v="2"/>
    <x v="256"/>
    <n v="340.95"/>
    <n v="6"/>
    <n v="2045.6999999999998"/>
  </r>
  <r>
    <x v="2"/>
    <x v="1"/>
    <x v="2"/>
    <x v="2"/>
    <x v="257"/>
    <n v="168.95"/>
    <n v="12"/>
    <n v="2027.3999999999999"/>
  </r>
  <r>
    <x v="2"/>
    <x v="0"/>
    <x v="2"/>
    <x v="3"/>
    <x v="257"/>
    <n v="340.95"/>
    <n v="6"/>
    <n v="2045.6999999999998"/>
  </r>
  <r>
    <x v="3"/>
    <x v="4"/>
    <x v="1"/>
    <x v="0"/>
    <x v="243"/>
    <n v="340.95"/>
    <n v="9"/>
    <n v="3068.5499999999997"/>
  </r>
  <r>
    <x v="10"/>
    <x v="2"/>
    <x v="2"/>
    <x v="2"/>
    <x v="258"/>
    <n v="799.95"/>
    <n v="5"/>
    <n v="3999.75"/>
  </r>
  <r>
    <x v="0"/>
    <x v="3"/>
    <x v="0"/>
    <x v="3"/>
    <x v="96"/>
    <n v="79.989999999999995"/>
    <n v="7"/>
    <n v="559.92999999999995"/>
  </r>
  <r>
    <x v="7"/>
    <x v="4"/>
    <x v="0"/>
    <x v="4"/>
    <x v="151"/>
    <n v="340.95"/>
    <n v="2"/>
    <n v="681.9"/>
  </r>
  <r>
    <x v="0"/>
    <x v="4"/>
    <x v="0"/>
    <x v="3"/>
    <x v="259"/>
    <n v="340.95"/>
    <n v="13"/>
    <n v="4432.3499999999995"/>
  </r>
  <r>
    <x v="3"/>
    <x v="2"/>
    <x v="1"/>
    <x v="4"/>
    <x v="260"/>
    <n v="799.95"/>
    <n v="3"/>
    <n v="2399.8500000000004"/>
  </r>
  <r>
    <x v="7"/>
    <x v="0"/>
    <x v="0"/>
    <x v="2"/>
    <x v="187"/>
    <n v="340.95"/>
    <n v="15"/>
    <n v="5114.25"/>
  </r>
  <r>
    <x v="0"/>
    <x v="0"/>
    <x v="0"/>
    <x v="0"/>
    <x v="206"/>
    <n v="340.95"/>
    <n v="7"/>
    <n v="2386.65"/>
  </r>
  <r>
    <x v="3"/>
    <x v="3"/>
    <x v="1"/>
    <x v="4"/>
    <x v="229"/>
    <n v="79.989999999999995"/>
    <n v="10"/>
    <n v="799.9"/>
  </r>
  <r>
    <x v="10"/>
    <x v="0"/>
    <x v="2"/>
    <x v="2"/>
    <x v="261"/>
    <n v="340.95"/>
    <n v="9"/>
    <n v="3068.5499999999997"/>
  </r>
  <r>
    <x v="0"/>
    <x v="4"/>
    <x v="0"/>
    <x v="1"/>
    <x v="262"/>
    <n v="340.95"/>
    <n v="12"/>
    <n v="4091.3999999999996"/>
  </r>
  <r>
    <x v="0"/>
    <x v="1"/>
    <x v="0"/>
    <x v="4"/>
    <x v="263"/>
    <n v="168.95"/>
    <n v="13"/>
    <n v="2196.35"/>
  </r>
  <r>
    <x v="3"/>
    <x v="4"/>
    <x v="1"/>
    <x v="1"/>
    <x v="139"/>
    <n v="340.95"/>
    <n v="2"/>
    <n v="681.9"/>
  </r>
  <r>
    <x v="10"/>
    <x v="2"/>
    <x v="2"/>
    <x v="1"/>
    <x v="10"/>
    <n v="799.95"/>
    <n v="13"/>
    <n v="10399.35"/>
  </r>
  <r>
    <x v="5"/>
    <x v="4"/>
    <x v="2"/>
    <x v="4"/>
    <x v="115"/>
    <n v="340.95"/>
    <n v="12"/>
    <n v="4091.3999999999996"/>
  </r>
  <r>
    <x v="4"/>
    <x v="1"/>
    <x v="3"/>
    <x v="1"/>
    <x v="160"/>
    <n v="168.95"/>
    <n v="15"/>
    <n v="2534.25"/>
  </r>
  <r>
    <x v="10"/>
    <x v="4"/>
    <x v="2"/>
    <x v="3"/>
    <x v="264"/>
    <n v="340.95"/>
    <n v="8"/>
    <n v="2727.6"/>
  </r>
  <r>
    <x v="1"/>
    <x v="2"/>
    <x v="1"/>
    <x v="2"/>
    <x v="46"/>
    <n v="799.95"/>
    <n v="9"/>
    <n v="7199.55"/>
  </r>
  <r>
    <x v="2"/>
    <x v="0"/>
    <x v="2"/>
    <x v="2"/>
    <x v="265"/>
    <n v="340.95"/>
    <n v="11"/>
    <n v="3750.45"/>
  </r>
  <r>
    <x v="1"/>
    <x v="2"/>
    <x v="1"/>
    <x v="4"/>
    <x v="212"/>
    <n v="799.95"/>
    <n v="5"/>
    <n v="3999.75"/>
  </r>
  <r>
    <x v="8"/>
    <x v="0"/>
    <x v="1"/>
    <x v="2"/>
    <x v="100"/>
    <n v="340.95"/>
    <n v="11"/>
    <n v="3750.45"/>
  </r>
  <r>
    <x v="9"/>
    <x v="3"/>
    <x v="1"/>
    <x v="4"/>
    <x v="266"/>
    <n v="79.989999999999995"/>
    <n v="6"/>
    <n v="479.93999999999994"/>
  </r>
  <r>
    <x v="3"/>
    <x v="0"/>
    <x v="1"/>
    <x v="0"/>
    <x v="124"/>
    <n v="340.95"/>
    <n v="13"/>
    <n v="4432.3499999999995"/>
  </r>
  <r>
    <x v="8"/>
    <x v="0"/>
    <x v="1"/>
    <x v="1"/>
    <x v="267"/>
    <n v="340.95"/>
    <n v="4"/>
    <n v="1363.8"/>
  </r>
  <r>
    <x v="11"/>
    <x v="0"/>
    <x v="3"/>
    <x v="4"/>
    <x v="268"/>
    <n v="340.95"/>
    <n v="8"/>
    <n v="2727.6"/>
  </r>
  <r>
    <x v="4"/>
    <x v="2"/>
    <x v="3"/>
    <x v="1"/>
    <x v="269"/>
    <n v="799.95"/>
    <n v="4"/>
    <n v="3199.8"/>
  </r>
  <r>
    <x v="7"/>
    <x v="3"/>
    <x v="0"/>
    <x v="2"/>
    <x v="270"/>
    <n v="79.989999999999995"/>
    <n v="9"/>
    <n v="719.91"/>
  </r>
  <r>
    <x v="9"/>
    <x v="1"/>
    <x v="1"/>
    <x v="0"/>
    <x v="271"/>
    <n v="168.95"/>
    <n v="14"/>
    <n v="2365.2999999999997"/>
  </r>
  <r>
    <x v="8"/>
    <x v="0"/>
    <x v="1"/>
    <x v="1"/>
    <x v="87"/>
    <n v="340.95"/>
    <n v="3"/>
    <n v="1022.8499999999999"/>
  </r>
  <r>
    <x v="5"/>
    <x v="4"/>
    <x v="2"/>
    <x v="1"/>
    <x v="218"/>
    <n v="340.95"/>
    <n v="1"/>
    <n v="340.95"/>
  </r>
  <r>
    <x v="4"/>
    <x v="4"/>
    <x v="3"/>
    <x v="0"/>
    <x v="261"/>
    <n v="340.95"/>
    <n v="8"/>
    <n v="2727.6"/>
  </r>
  <r>
    <x v="0"/>
    <x v="4"/>
    <x v="0"/>
    <x v="0"/>
    <x v="42"/>
    <n v="340.95"/>
    <n v="14"/>
    <n v="4773.3"/>
  </r>
  <r>
    <x v="4"/>
    <x v="0"/>
    <x v="3"/>
    <x v="4"/>
    <x v="45"/>
    <n v="340.95"/>
    <n v="4"/>
    <n v="1363.8"/>
  </r>
  <r>
    <x v="5"/>
    <x v="2"/>
    <x v="2"/>
    <x v="1"/>
    <x v="272"/>
    <n v="799.95"/>
    <n v="8"/>
    <n v="6399.6"/>
  </r>
  <r>
    <x v="0"/>
    <x v="2"/>
    <x v="0"/>
    <x v="0"/>
    <x v="257"/>
    <n v="799.95"/>
    <n v="7"/>
    <n v="5599.6500000000005"/>
  </r>
  <r>
    <x v="6"/>
    <x v="4"/>
    <x v="2"/>
    <x v="3"/>
    <x v="74"/>
    <n v="340.95"/>
    <n v="9"/>
    <n v="3068.5499999999997"/>
  </r>
  <r>
    <x v="11"/>
    <x v="1"/>
    <x v="3"/>
    <x v="0"/>
    <x v="186"/>
    <n v="168.95"/>
    <n v="18"/>
    <n v="3041.1"/>
  </r>
  <r>
    <x v="10"/>
    <x v="0"/>
    <x v="2"/>
    <x v="3"/>
    <x v="69"/>
    <n v="340.95"/>
    <n v="8"/>
    <n v="2727.6"/>
  </r>
  <r>
    <x v="2"/>
    <x v="2"/>
    <x v="2"/>
    <x v="3"/>
    <x v="273"/>
    <n v="799.95"/>
    <n v="10"/>
    <n v="7999.5"/>
  </r>
  <r>
    <x v="0"/>
    <x v="3"/>
    <x v="0"/>
    <x v="2"/>
    <x v="274"/>
    <n v="79.989999999999995"/>
    <n v="9"/>
    <n v="719.91"/>
  </r>
  <r>
    <x v="2"/>
    <x v="0"/>
    <x v="2"/>
    <x v="0"/>
    <x v="240"/>
    <n v="340.95"/>
    <n v="13"/>
    <n v="4432.3499999999995"/>
  </r>
  <r>
    <x v="5"/>
    <x v="0"/>
    <x v="2"/>
    <x v="0"/>
    <x v="253"/>
    <n v="340.95"/>
    <n v="15"/>
    <n v="5114.25"/>
  </r>
  <r>
    <x v="9"/>
    <x v="4"/>
    <x v="1"/>
    <x v="0"/>
    <x v="275"/>
    <n v="340.95"/>
    <n v="9"/>
    <n v="3068.5499999999997"/>
  </r>
  <r>
    <x v="0"/>
    <x v="2"/>
    <x v="0"/>
    <x v="0"/>
    <x v="276"/>
    <n v="799.95"/>
    <n v="16"/>
    <n v="12799.2"/>
  </r>
  <r>
    <x v="4"/>
    <x v="3"/>
    <x v="3"/>
    <x v="3"/>
    <x v="86"/>
    <n v="79.989999999999995"/>
    <n v="15"/>
    <n v="1199.8499999999999"/>
  </r>
  <r>
    <x v="5"/>
    <x v="2"/>
    <x v="2"/>
    <x v="2"/>
    <x v="276"/>
    <n v="799.95"/>
    <n v="8"/>
    <n v="6399.6"/>
  </r>
  <r>
    <x v="3"/>
    <x v="3"/>
    <x v="1"/>
    <x v="3"/>
    <x v="131"/>
    <n v="79.989999999999995"/>
    <n v="9"/>
    <n v="719.91"/>
  </r>
  <r>
    <x v="4"/>
    <x v="0"/>
    <x v="3"/>
    <x v="0"/>
    <x v="277"/>
    <n v="340.95"/>
    <n v="12"/>
    <n v="4091.3999999999996"/>
  </r>
  <r>
    <x v="5"/>
    <x v="0"/>
    <x v="2"/>
    <x v="0"/>
    <x v="233"/>
    <n v="340.95"/>
    <n v="20"/>
    <n v="6819"/>
  </r>
  <r>
    <x v="4"/>
    <x v="0"/>
    <x v="3"/>
    <x v="1"/>
    <x v="149"/>
    <n v="340.95"/>
    <n v="6"/>
    <n v="2045.6999999999998"/>
  </r>
  <r>
    <x v="3"/>
    <x v="3"/>
    <x v="1"/>
    <x v="0"/>
    <x v="64"/>
    <n v="79.989999999999995"/>
    <n v="9"/>
    <n v="719.91"/>
  </r>
  <r>
    <x v="8"/>
    <x v="1"/>
    <x v="1"/>
    <x v="1"/>
    <x v="278"/>
    <n v="168.95"/>
    <n v="13"/>
    <n v="2196.35"/>
  </r>
  <r>
    <x v="5"/>
    <x v="4"/>
    <x v="2"/>
    <x v="1"/>
    <x v="168"/>
    <n v="340.95"/>
    <n v="10"/>
    <n v="3409.5"/>
  </r>
  <r>
    <x v="0"/>
    <x v="0"/>
    <x v="0"/>
    <x v="1"/>
    <x v="279"/>
    <n v="340.95"/>
    <n v="5"/>
    <n v="1704.75"/>
  </r>
  <r>
    <x v="8"/>
    <x v="3"/>
    <x v="1"/>
    <x v="3"/>
    <x v="145"/>
    <n v="79.989999999999995"/>
    <n v="13"/>
    <n v="1039.8699999999999"/>
  </r>
  <r>
    <x v="5"/>
    <x v="0"/>
    <x v="2"/>
    <x v="3"/>
    <x v="280"/>
    <n v="340.95"/>
    <n v="7"/>
    <n v="2386.65"/>
  </r>
  <r>
    <x v="11"/>
    <x v="2"/>
    <x v="3"/>
    <x v="2"/>
    <x v="256"/>
    <n v="799.95"/>
    <n v="7"/>
    <n v="5599.6500000000005"/>
  </r>
  <r>
    <x v="2"/>
    <x v="0"/>
    <x v="2"/>
    <x v="3"/>
    <x v="281"/>
    <n v="340.95"/>
    <n v="14"/>
    <n v="4773.3"/>
  </r>
  <r>
    <x v="6"/>
    <x v="2"/>
    <x v="2"/>
    <x v="4"/>
    <x v="208"/>
    <n v="799.95"/>
    <n v="11"/>
    <n v="8799.4500000000007"/>
  </r>
  <r>
    <x v="5"/>
    <x v="1"/>
    <x v="2"/>
    <x v="0"/>
    <x v="39"/>
    <n v="168.95"/>
    <n v="19"/>
    <n v="3210.0499999999997"/>
  </r>
  <r>
    <x v="9"/>
    <x v="4"/>
    <x v="1"/>
    <x v="3"/>
    <x v="239"/>
    <n v="340.95"/>
    <n v="8"/>
    <n v="2727.6"/>
  </r>
  <r>
    <x v="9"/>
    <x v="1"/>
    <x v="1"/>
    <x v="2"/>
    <x v="3"/>
    <n v="168.95"/>
    <n v="5"/>
    <n v="844.75"/>
  </r>
  <r>
    <x v="5"/>
    <x v="0"/>
    <x v="2"/>
    <x v="4"/>
    <x v="282"/>
    <n v="340.95"/>
    <n v="11"/>
    <n v="3750.45"/>
  </r>
  <r>
    <x v="5"/>
    <x v="0"/>
    <x v="2"/>
    <x v="4"/>
    <x v="283"/>
    <n v="340.95"/>
    <n v="2"/>
    <n v="681.9"/>
  </r>
  <r>
    <x v="4"/>
    <x v="1"/>
    <x v="3"/>
    <x v="4"/>
    <x v="284"/>
    <n v="168.95"/>
    <n v="15"/>
    <n v="2534.25"/>
  </r>
  <r>
    <x v="10"/>
    <x v="0"/>
    <x v="2"/>
    <x v="3"/>
    <x v="285"/>
    <n v="340.95"/>
    <n v="3"/>
    <n v="1022.8499999999999"/>
  </r>
  <r>
    <x v="3"/>
    <x v="4"/>
    <x v="1"/>
    <x v="1"/>
    <x v="110"/>
    <n v="340.95"/>
    <n v="3"/>
    <n v="1022.8499999999999"/>
  </r>
  <r>
    <x v="10"/>
    <x v="1"/>
    <x v="2"/>
    <x v="0"/>
    <x v="286"/>
    <n v="168.95"/>
    <n v="8"/>
    <n v="1351.6"/>
  </r>
  <r>
    <x v="4"/>
    <x v="2"/>
    <x v="3"/>
    <x v="2"/>
    <x v="287"/>
    <n v="799.95"/>
    <n v="3"/>
    <n v="2399.8500000000004"/>
  </r>
  <r>
    <x v="3"/>
    <x v="1"/>
    <x v="1"/>
    <x v="2"/>
    <x v="288"/>
    <n v="168.95"/>
    <n v="14"/>
    <n v="2365.2999999999997"/>
  </r>
  <r>
    <x v="4"/>
    <x v="3"/>
    <x v="3"/>
    <x v="4"/>
    <x v="289"/>
    <n v="79.989999999999995"/>
    <n v="14"/>
    <n v="1119.8599999999999"/>
  </r>
  <r>
    <x v="3"/>
    <x v="3"/>
    <x v="1"/>
    <x v="0"/>
    <x v="5"/>
    <n v="79.989999999999995"/>
    <n v="20"/>
    <n v="1599.8"/>
  </r>
  <r>
    <x v="6"/>
    <x v="2"/>
    <x v="2"/>
    <x v="0"/>
    <x v="12"/>
    <n v="799.95"/>
    <n v="20"/>
    <n v="15999"/>
  </r>
  <r>
    <x v="3"/>
    <x v="2"/>
    <x v="1"/>
    <x v="1"/>
    <x v="180"/>
    <n v="799.95"/>
    <n v="3"/>
    <n v="2399.8500000000004"/>
  </r>
  <r>
    <x v="5"/>
    <x v="1"/>
    <x v="2"/>
    <x v="1"/>
    <x v="290"/>
    <n v="168.95"/>
    <n v="1"/>
    <n v="168.95"/>
  </r>
  <r>
    <x v="5"/>
    <x v="2"/>
    <x v="2"/>
    <x v="2"/>
    <x v="291"/>
    <n v="799.95"/>
    <n v="15"/>
    <n v="11999.25"/>
  </r>
  <r>
    <x v="11"/>
    <x v="1"/>
    <x v="3"/>
    <x v="4"/>
    <x v="6"/>
    <n v="168.95"/>
    <n v="7"/>
    <n v="1182.6499999999999"/>
  </r>
  <r>
    <x v="1"/>
    <x v="3"/>
    <x v="1"/>
    <x v="4"/>
    <x v="292"/>
    <n v="79.989999999999995"/>
    <n v="4"/>
    <n v="319.95999999999998"/>
  </r>
  <r>
    <x v="7"/>
    <x v="1"/>
    <x v="0"/>
    <x v="3"/>
    <x v="293"/>
    <n v="168.95"/>
    <n v="2"/>
    <n v="337.9"/>
  </r>
  <r>
    <x v="3"/>
    <x v="0"/>
    <x v="1"/>
    <x v="1"/>
    <x v="180"/>
    <n v="340.95"/>
    <n v="15"/>
    <n v="5114.25"/>
  </r>
  <r>
    <x v="11"/>
    <x v="2"/>
    <x v="3"/>
    <x v="4"/>
    <x v="40"/>
    <n v="799.95"/>
    <n v="5"/>
    <n v="3999.75"/>
  </r>
  <r>
    <x v="6"/>
    <x v="1"/>
    <x v="2"/>
    <x v="0"/>
    <x v="253"/>
    <n v="168.95"/>
    <n v="8"/>
    <n v="1351.6"/>
  </r>
  <r>
    <x v="5"/>
    <x v="0"/>
    <x v="2"/>
    <x v="2"/>
    <x v="168"/>
    <n v="340.95"/>
    <n v="3"/>
    <n v="1022.8499999999999"/>
  </r>
  <r>
    <x v="0"/>
    <x v="0"/>
    <x v="0"/>
    <x v="1"/>
    <x v="294"/>
    <n v="340.95"/>
    <n v="1"/>
    <n v="340.95"/>
  </r>
  <r>
    <x v="10"/>
    <x v="4"/>
    <x v="2"/>
    <x v="2"/>
    <x v="64"/>
    <n v="340.95"/>
    <n v="8"/>
    <n v="2727.6"/>
  </r>
  <r>
    <x v="2"/>
    <x v="1"/>
    <x v="2"/>
    <x v="0"/>
    <x v="295"/>
    <n v="168.95"/>
    <n v="11"/>
    <n v="1858.4499999999998"/>
  </r>
  <r>
    <x v="11"/>
    <x v="0"/>
    <x v="3"/>
    <x v="2"/>
    <x v="143"/>
    <n v="340.95"/>
    <n v="1"/>
    <n v="340.95"/>
  </r>
  <r>
    <x v="0"/>
    <x v="4"/>
    <x v="0"/>
    <x v="1"/>
    <x v="168"/>
    <n v="340.95"/>
    <n v="9"/>
    <n v="3068.5499999999997"/>
  </r>
  <r>
    <x v="3"/>
    <x v="3"/>
    <x v="1"/>
    <x v="0"/>
    <x v="57"/>
    <n v="79.989999999999995"/>
    <n v="8"/>
    <n v="639.91999999999996"/>
  </r>
  <r>
    <x v="1"/>
    <x v="2"/>
    <x v="1"/>
    <x v="0"/>
    <x v="296"/>
    <n v="799.95"/>
    <n v="15"/>
    <n v="11999.25"/>
  </r>
  <r>
    <x v="3"/>
    <x v="2"/>
    <x v="1"/>
    <x v="3"/>
    <x v="297"/>
    <n v="799.95"/>
    <n v="7"/>
    <n v="5599.6500000000005"/>
  </r>
  <r>
    <x v="8"/>
    <x v="4"/>
    <x v="0"/>
    <x v="1"/>
    <x v="127"/>
    <n v="340.95"/>
    <n v="8"/>
    <n v="2727.6"/>
  </r>
  <r>
    <x v="9"/>
    <x v="1"/>
    <x v="1"/>
    <x v="3"/>
    <x v="11"/>
    <n v="168.95"/>
    <n v="12"/>
    <n v="2027.3999999999999"/>
  </r>
  <r>
    <x v="3"/>
    <x v="4"/>
    <x v="1"/>
    <x v="2"/>
    <x v="295"/>
    <n v="340.95"/>
    <n v="4"/>
    <n v="1363.8"/>
  </r>
  <r>
    <x v="2"/>
    <x v="1"/>
    <x v="2"/>
    <x v="4"/>
    <x v="295"/>
    <n v="168.95"/>
    <n v="1"/>
    <n v="168.95"/>
  </r>
  <r>
    <x v="3"/>
    <x v="2"/>
    <x v="1"/>
    <x v="2"/>
    <x v="89"/>
    <n v="799.95"/>
    <n v="4"/>
    <n v="3199.8"/>
  </r>
  <r>
    <x v="11"/>
    <x v="4"/>
    <x v="3"/>
    <x v="4"/>
    <x v="33"/>
    <n v="340.95"/>
    <n v="2"/>
    <n v="681.9"/>
  </r>
  <r>
    <x v="0"/>
    <x v="0"/>
    <x v="0"/>
    <x v="1"/>
    <x v="60"/>
    <n v="340.95"/>
    <n v="8"/>
    <n v="2727.6"/>
  </r>
  <r>
    <x v="1"/>
    <x v="0"/>
    <x v="1"/>
    <x v="0"/>
    <x v="17"/>
    <n v="340.95"/>
    <n v="18"/>
    <n v="6137.0999999999995"/>
  </r>
  <r>
    <x v="2"/>
    <x v="3"/>
    <x v="2"/>
    <x v="4"/>
    <x v="97"/>
    <n v="79.989999999999995"/>
    <n v="15"/>
    <n v="1199.8499999999999"/>
  </r>
  <r>
    <x v="8"/>
    <x v="3"/>
    <x v="1"/>
    <x v="0"/>
    <x v="264"/>
    <n v="79.989999999999995"/>
    <n v="10"/>
    <n v="799.9"/>
  </r>
  <r>
    <x v="3"/>
    <x v="2"/>
    <x v="1"/>
    <x v="3"/>
    <x v="50"/>
    <n v="799.95"/>
    <n v="10"/>
    <n v="7999.5"/>
  </r>
  <r>
    <x v="9"/>
    <x v="0"/>
    <x v="1"/>
    <x v="4"/>
    <x v="137"/>
    <n v="340.95"/>
    <n v="6"/>
    <n v="2045.6999999999998"/>
  </r>
  <r>
    <x v="3"/>
    <x v="1"/>
    <x v="1"/>
    <x v="4"/>
    <x v="298"/>
    <n v="168.95"/>
    <n v="11"/>
    <n v="1858.4499999999998"/>
  </r>
  <r>
    <x v="9"/>
    <x v="0"/>
    <x v="1"/>
    <x v="0"/>
    <x v="299"/>
    <n v="340.95"/>
    <n v="20"/>
    <n v="6819"/>
  </r>
  <r>
    <x v="3"/>
    <x v="3"/>
    <x v="1"/>
    <x v="3"/>
    <x v="66"/>
    <n v="79.989999999999995"/>
    <n v="9"/>
    <n v="719.91"/>
  </r>
  <r>
    <x v="4"/>
    <x v="1"/>
    <x v="3"/>
    <x v="0"/>
    <x v="32"/>
    <n v="168.95"/>
    <n v="6"/>
    <n v="1013.6999999999999"/>
  </r>
  <r>
    <x v="0"/>
    <x v="1"/>
    <x v="0"/>
    <x v="3"/>
    <x v="241"/>
    <n v="168.95"/>
    <n v="5"/>
    <n v="844.75"/>
  </r>
  <r>
    <x v="4"/>
    <x v="0"/>
    <x v="3"/>
    <x v="4"/>
    <x v="110"/>
    <n v="340.95"/>
    <n v="8"/>
    <n v="2727.6"/>
  </r>
  <r>
    <x v="3"/>
    <x v="0"/>
    <x v="1"/>
    <x v="1"/>
    <x v="119"/>
    <n v="340.95"/>
    <n v="4"/>
    <n v="1363.8"/>
  </r>
  <r>
    <x v="6"/>
    <x v="2"/>
    <x v="2"/>
    <x v="3"/>
    <x v="265"/>
    <n v="799.95"/>
    <n v="7"/>
    <n v="5599.6500000000005"/>
  </r>
  <r>
    <x v="0"/>
    <x v="0"/>
    <x v="0"/>
    <x v="2"/>
    <x v="300"/>
    <n v="340.95"/>
    <n v="3"/>
    <n v="1022.8499999999999"/>
  </r>
  <r>
    <x v="0"/>
    <x v="1"/>
    <x v="0"/>
    <x v="2"/>
    <x v="301"/>
    <n v="168.95"/>
    <n v="12"/>
    <n v="2027.3999999999999"/>
  </r>
  <r>
    <x v="3"/>
    <x v="1"/>
    <x v="1"/>
    <x v="3"/>
    <x v="79"/>
    <n v="168.95"/>
    <n v="4"/>
    <n v="675.8"/>
  </r>
  <r>
    <x v="10"/>
    <x v="2"/>
    <x v="2"/>
    <x v="2"/>
    <x v="191"/>
    <n v="799.95"/>
    <n v="13"/>
    <n v="10399.35"/>
  </r>
  <r>
    <x v="7"/>
    <x v="1"/>
    <x v="0"/>
    <x v="0"/>
    <x v="69"/>
    <n v="168.95"/>
    <n v="20"/>
    <n v="3379"/>
  </r>
  <r>
    <x v="3"/>
    <x v="0"/>
    <x v="1"/>
    <x v="1"/>
    <x v="229"/>
    <n v="340.95"/>
    <n v="5"/>
    <n v="1704.75"/>
  </r>
  <r>
    <x v="7"/>
    <x v="1"/>
    <x v="0"/>
    <x v="2"/>
    <x v="302"/>
    <n v="168.95"/>
    <n v="8"/>
    <n v="1351.6"/>
  </r>
  <r>
    <x v="8"/>
    <x v="4"/>
    <x v="0"/>
    <x v="2"/>
    <x v="136"/>
    <n v="340.95"/>
    <n v="5"/>
    <n v="1704.75"/>
  </r>
  <r>
    <x v="8"/>
    <x v="1"/>
    <x v="1"/>
    <x v="3"/>
    <x v="303"/>
    <n v="168.95"/>
    <n v="4"/>
    <n v="675.8"/>
  </r>
  <r>
    <x v="9"/>
    <x v="4"/>
    <x v="1"/>
    <x v="0"/>
    <x v="304"/>
    <n v="340.95"/>
    <n v="12"/>
    <n v="4091.3999999999996"/>
  </r>
  <r>
    <x v="9"/>
    <x v="2"/>
    <x v="1"/>
    <x v="3"/>
    <x v="305"/>
    <n v="799.95"/>
    <n v="12"/>
    <n v="9599.4000000000015"/>
  </r>
  <r>
    <x v="0"/>
    <x v="0"/>
    <x v="0"/>
    <x v="3"/>
    <x v="306"/>
    <n v="340.95"/>
    <n v="5"/>
    <n v="1704.75"/>
  </r>
  <r>
    <x v="11"/>
    <x v="0"/>
    <x v="3"/>
    <x v="0"/>
    <x v="135"/>
    <n v="340.95"/>
    <n v="15"/>
    <n v="5114.25"/>
  </r>
  <r>
    <x v="9"/>
    <x v="3"/>
    <x v="1"/>
    <x v="4"/>
    <x v="122"/>
    <n v="79.989999999999995"/>
    <n v="10"/>
    <n v="799.9"/>
  </r>
  <r>
    <x v="11"/>
    <x v="2"/>
    <x v="3"/>
    <x v="4"/>
    <x v="143"/>
    <n v="799.95"/>
    <n v="15"/>
    <n v="11999.25"/>
  </r>
  <r>
    <x v="2"/>
    <x v="3"/>
    <x v="2"/>
    <x v="3"/>
    <x v="147"/>
    <n v="79.989999999999995"/>
    <n v="15"/>
    <n v="1199.8499999999999"/>
  </r>
  <r>
    <x v="7"/>
    <x v="2"/>
    <x v="0"/>
    <x v="4"/>
    <x v="28"/>
    <n v="799.95"/>
    <n v="15"/>
    <n v="11999.25"/>
  </r>
  <r>
    <x v="5"/>
    <x v="1"/>
    <x v="2"/>
    <x v="4"/>
    <x v="76"/>
    <n v="168.95"/>
    <n v="13"/>
    <n v="2196.35"/>
  </r>
  <r>
    <x v="8"/>
    <x v="2"/>
    <x v="1"/>
    <x v="2"/>
    <x v="100"/>
    <n v="799.95"/>
    <n v="15"/>
    <n v="11999.25"/>
  </r>
  <r>
    <x v="5"/>
    <x v="4"/>
    <x v="2"/>
    <x v="1"/>
    <x v="128"/>
    <n v="340.95"/>
    <n v="3"/>
    <n v="1022.8499999999999"/>
  </r>
  <r>
    <x v="5"/>
    <x v="3"/>
    <x v="2"/>
    <x v="4"/>
    <x v="287"/>
    <n v="79.989999999999995"/>
    <n v="12"/>
    <n v="959.87999999999988"/>
  </r>
  <r>
    <x v="1"/>
    <x v="3"/>
    <x v="1"/>
    <x v="3"/>
    <x v="55"/>
    <n v="79.989999999999995"/>
    <n v="2"/>
    <n v="159.97999999999999"/>
  </r>
  <r>
    <x v="4"/>
    <x v="3"/>
    <x v="3"/>
    <x v="1"/>
    <x v="307"/>
    <n v="79.989999999999995"/>
    <n v="12"/>
    <n v="959.87999999999988"/>
  </r>
  <r>
    <x v="0"/>
    <x v="2"/>
    <x v="0"/>
    <x v="4"/>
    <x v="308"/>
    <n v="799.95"/>
    <n v="1"/>
    <n v="799.95"/>
  </r>
  <r>
    <x v="10"/>
    <x v="2"/>
    <x v="2"/>
    <x v="1"/>
    <x v="61"/>
    <n v="799.95"/>
    <n v="4"/>
    <n v="3199.8"/>
  </r>
  <r>
    <x v="2"/>
    <x v="1"/>
    <x v="2"/>
    <x v="2"/>
    <x v="69"/>
    <n v="168.95"/>
    <n v="6"/>
    <n v="1013.6999999999999"/>
  </r>
  <r>
    <x v="7"/>
    <x v="4"/>
    <x v="0"/>
    <x v="0"/>
    <x v="133"/>
    <n v="340.95"/>
    <n v="9"/>
    <n v="3068.5499999999997"/>
  </r>
  <r>
    <x v="10"/>
    <x v="4"/>
    <x v="2"/>
    <x v="3"/>
    <x v="309"/>
    <n v="340.95"/>
    <n v="9"/>
    <n v="3068.5499999999997"/>
  </r>
  <r>
    <x v="0"/>
    <x v="3"/>
    <x v="0"/>
    <x v="2"/>
    <x v="171"/>
    <n v="79.989999999999995"/>
    <n v="3"/>
    <n v="239.96999999999997"/>
  </r>
  <r>
    <x v="0"/>
    <x v="2"/>
    <x v="0"/>
    <x v="3"/>
    <x v="310"/>
    <n v="799.95"/>
    <n v="9"/>
    <n v="7199.55"/>
  </r>
  <r>
    <x v="5"/>
    <x v="2"/>
    <x v="2"/>
    <x v="4"/>
    <x v="84"/>
    <n v="799.95"/>
    <n v="4"/>
    <n v="3199.8"/>
  </r>
  <r>
    <x v="9"/>
    <x v="0"/>
    <x v="1"/>
    <x v="3"/>
    <x v="311"/>
    <n v="340.95"/>
    <n v="3"/>
    <n v="1022.8499999999999"/>
  </r>
  <r>
    <x v="5"/>
    <x v="2"/>
    <x v="2"/>
    <x v="3"/>
    <x v="312"/>
    <n v="799.95"/>
    <n v="13"/>
    <n v="10399.35"/>
  </r>
  <r>
    <x v="2"/>
    <x v="0"/>
    <x v="2"/>
    <x v="0"/>
    <x v="126"/>
    <n v="340.95"/>
    <n v="11"/>
    <n v="3750.45"/>
  </r>
  <r>
    <x v="9"/>
    <x v="0"/>
    <x v="1"/>
    <x v="0"/>
    <x v="313"/>
    <n v="340.95"/>
    <n v="20"/>
    <n v="6819"/>
  </r>
  <r>
    <x v="3"/>
    <x v="3"/>
    <x v="1"/>
    <x v="0"/>
    <x v="314"/>
    <n v="79.989999999999995"/>
    <n v="17"/>
    <n v="1359.83"/>
  </r>
  <r>
    <x v="8"/>
    <x v="1"/>
    <x v="1"/>
    <x v="0"/>
    <x v="5"/>
    <n v="168.95"/>
    <n v="9"/>
    <n v="1520.55"/>
  </r>
  <r>
    <x v="3"/>
    <x v="1"/>
    <x v="1"/>
    <x v="0"/>
    <x v="315"/>
    <n v="168.95"/>
    <n v="17"/>
    <n v="2872.1499999999996"/>
  </r>
  <r>
    <x v="3"/>
    <x v="1"/>
    <x v="1"/>
    <x v="0"/>
    <x v="316"/>
    <n v="168.95"/>
    <n v="20"/>
    <n v="3379"/>
  </r>
  <r>
    <x v="8"/>
    <x v="4"/>
    <x v="0"/>
    <x v="2"/>
    <x v="141"/>
    <n v="340.95"/>
    <n v="10"/>
    <n v="3409.5"/>
  </r>
  <r>
    <x v="4"/>
    <x v="3"/>
    <x v="3"/>
    <x v="4"/>
    <x v="317"/>
    <n v="79.989999999999995"/>
    <n v="1"/>
    <n v="79.989999999999995"/>
  </r>
  <r>
    <x v="0"/>
    <x v="2"/>
    <x v="0"/>
    <x v="4"/>
    <x v="85"/>
    <n v="799.95"/>
    <n v="5"/>
    <n v="3999.75"/>
  </r>
  <r>
    <x v="10"/>
    <x v="2"/>
    <x v="2"/>
    <x v="0"/>
    <x v="226"/>
    <n v="799.95"/>
    <n v="11"/>
    <n v="8799.4500000000007"/>
  </r>
  <r>
    <x v="1"/>
    <x v="1"/>
    <x v="1"/>
    <x v="2"/>
    <x v="318"/>
    <n v="168.95"/>
    <n v="1"/>
    <n v="168.95"/>
  </r>
  <r>
    <x v="9"/>
    <x v="0"/>
    <x v="1"/>
    <x v="1"/>
    <x v="319"/>
    <n v="340.95"/>
    <n v="14"/>
    <n v="4773.3"/>
  </r>
  <r>
    <x v="8"/>
    <x v="4"/>
    <x v="0"/>
    <x v="0"/>
    <x v="320"/>
    <n v="340.95"/>
    <n v="15"/>
    <n v="5114.25"/>
  </r>
  <r>
    <x v="11"/>
    <x v="1"/>
    <x v="3"/>
    <x v="3"/>
    <x v="321"/>
    <n v="168.95"/>
    <n v="12"/>
    <n v="2027.3999999999999"/>
  </r>
  <r>
    <x v="1"/>
    <x v="3"/>
    <x v="1"/>
    <x v="0"/>
    <x v="295"/>
    <n v="79.989999999999995"/>
    <n v="10"/>
    <n v="799.9"/>
  </r>
  <r>
    <x v="11"/>
    <x v="4"/>
    <x v="3"/>
    <x v="4"/>
    <x v="199"/>
    <n v="340.95"/>
    <n v="10"/>
    <n v="3409.5"/>
  </r>
  <r>
    <x v="10"/>
    <x v="2"/>
    <x v="2"/>
    <x v="0"/>
    <x v="65"/>
    <n v="799.95"/>
    <n v="9"/>
    <n v="7199.55"/>
  </r>
  <r>
    <x v="0"/>
    <x v="0"/>
    <x v="0"/>
    <x v="3"/>
    <x v="193"/>
    <n v="340.95"/>
    <n v="13"/>
    <n v="4432.3499999999995"/>
  </r>
  <r>
    <x v="3"/>
    <x v="2"/>
    <x v="1"/>
    <x v="4"/>
    <x v="322"/>
    <n v="799.95"/>
    <n v="10"/>
    <n v="7999.5"/>
  </r>
  <r>
    <x v="4"/>
    <x v="3"/>
    <x v="3"/>
    <x v="1"/>
    <x v="64"/>
    <n v="79.989999999999995"/>
    <n v="11"/>
    <n v="879.89"/>
  </r>
  <r>
    <x v="6"/>
    <x v="4"/>
    <x v="2"/>
    <x v="2"/>
    <x v="323"/>
    <n v="340.95"/>
    <n v="6"/>
    <n v="2045.6999999999998"/>
  </r>
  <r>
    <x v="4"/>
    <x v="0"/>
    <x v="3"/>
    <x v="3"/>
    <x v="324"/>
    <n v="340.95"/>
    <n v="10"/>
    <n v="3409.5"/>
  </r>
  <r>
    <x v="5"/>
    <x v="2"/>
    <x v="2"/>
    <x v="4"/>
    <x v="325"/>
    <n v="799.95"/>
    <n v="15"/>
    <n v="11999.25"/>
  </r>
  <r>
    <x v="11"/>
    <x v="1"/>
    <x v="3"/>
    <x v="1"/>
    <x v="119"/>
    <n v="168.95"/>
    <n v="10"/>
    <n v="1689.5"/>
  </r>
  <r>
    <x v="10"/>
    <x v="0"/>
    <x v="2"/>
    <x v="3"/>
    <x v="16"/>
    <n v="340.95"/>
    <n v="5"/>
    <n v="1704.75"/>
  </r>
  <r>
    <x v="8"/>
    <x v="0"/>
    <x v="1"/>
    <x v="1"/>
    <x v="98"/>
    <n v="340.95"/>
    <n v="14"/>
    <n v="4773.3"/>
  </r>
  <r>
    <x v="9"/>
    <x v="4"/>
    <x v="1"/>
    <x v="4"/>
    <x v="326"/>
    <n v="340.95"/>
    <n v="6"/>
    <n v="2045.6999999999998"/>
  </r>
  <r>
    <x v="3"/>
    <x v="0"/>
    <x v="1"/>
    <x v="3"/>
    <x v="327"/>
    <n v="340.95"/>
    <n v="4"/>
    <n v="1363.8"/>
  </r>
  <r>
    <x v="3"/>
    <x v="4"/>
    <x v="1"/>
    <x v="1"/>
    <x v="328"/>
    <n v="340.95"/>
    <n v="4"/>
    <n v="1363.8"/>
  </r>
  <r>
    <x v="5"/>
    <x v="3"/>
    <x v="2"/>
    <x v="3"/>
    <x v="214"/>
    <n v="79.989999999999995"/>
    <n v="6"/>
    <n v="479.93999999999994"/>
  </r>
  <r>
    <x v="9"/>
    <x v="1"/>
    <x v="1"/>
    <x v="1"/>
    <x v="168"/>
    <n v="168.95"/>
    <n v="5"/>
    <n v="844.75"/>
  </r>
  <r>
    <x v="10"/>
    <x v="0"/>
    <x v="2"/>
    <x v="4"/>
    <x v="52"/>
    <n v="340.95"/>
    <n v="3"/>
    <n v="1022.8499999999999"/>
  </r>
  <r>
    <x v="11"/>
    <x v="0"/>
    <x v="3"/>
    <x v="3"/>
    <x v="72"/>
    <n v="340.95"/>
    <n v="6"/>
    <n v="2045.6999999999998"/>
  </r>
  <r>
    <x v="5"/>
    <x v="2"/>
    <x v="2"/>
    <x v="0"/>
    <x v="316"/>
    <n v="799.95"/>
    <n v="18"/>
    <n v="14399.1"/>
  </r>
  <r>
    <x v="8"/>
    <x v="4"/>
    <x v="0"/>
    <x v="3"/>
    <x v="329"/>
    <n v="340.95"/>
    <n v="6"/>
    <n v="2045.6999999999998"/>
  </r>
  <r>
    <x v="4"/>
    <x v="0"/>
    <x v="3"/>
    <x v="4"/>
    <x v="330"/>
    <n v="340.95"/>
    <n v="15"/>
    <n v="5114.25"/>
  </r>
  <r>
    <x v="0"/>
    <x v="4"/>
    <x v="0"/>
    <x v="3"/>
    <x v="331"/>
    <n v="340.95"/>
    <n v="4"/>
    <n v="1363.8"/>
  </r>
  <r>
    <x v="4"/>
    <x v="3"/>
    <x v="3"/>
    <x v="3"/>
    <x v="87"/>
    <n v="79.989999999999995"/>
    <n v="4"/>
    <n v="319.95999999999998"/>
  </r>
  <r>
    <x v="9"/>
    <x v="1"/>
    <x v="1"/>
    <x v="3"/>
    <x v="332"/>
    <n v="168.95"/>
    <n v="4"/>
    <n v="675.8"/>
  </r>
  <r>
    <x v="10"/>
    <x v="3"/>
    <x v="2"/>
    <x v="2"/>
    <x v="333"/>
    <n v="79.989999999999995"/>
    <n v="2"/>
    <n v="159.97999999999999"/>
  </r>
  <r>
    <x v="10"/>
    <x v="4"/>
    <x v="2"/>
    <x v="0"/>
    <x v="304"/>
    <n v="340.95"/>
    <n v="7"/>
    <n v="2386.65"/>
  </r>
  <r>
    <x v="4"/>
    <x v="3"/>
    <x v="3"/>
    <x v="2"/>
    <x v="334"/>
    <n v="79.989999999999995"/>
    <n v="15"/>
    <n v="1199.8499999999999"/>
  </r>
  <r>
    <x v="0"/>
    <x v="0"/>
    <x v="0"/>
    <x v="4"/>
    <x v="245"/>
    <n v="340.95"/>
    <n v="4"/>
    <n v="1363.8"/>
  </r>
  <r>
    <x v="10"/>
    <x v="2"/>
    <x v="2"/>
    <x v="1"/>
    <x v="335"/>
    <n v="799.95"/>
    <n v="2"/>
    <n v="1599.9"/>
  </r>
  <r>
    <x v="1"/>
    <x v="0"/>
    <x v="1"/>
    <x v="4"/>
    <x v="298"/>
    <n v="340.95"/>
    <n v="11"/>
    <n v="3750.45"/>
  </r>
  <r>
    <x v="7"/>
    <x v="1"/>
    <x v="0"/>
    <x v="3"/>
    <x v="74"/>
    <n v="168.95"/>
    <n v="1"/>
    <n v="168.95"/>
  </r>
  <r>
    <x v="5"/>
    <x v="4"/>
    <x v="2"/>
    <x v="2"/>
    <x v="336"/>
    <n v="340.95"/>
    <n v="12"/>
    <n v="4091.3999999999996"/>
  </r>
  <r>
    <x v="10"/>
    <x v="3"/>
    <x v="2"/>
    <x v="3"/>
    <x v="157"/>
    <n v="79.989999999999995"/>
    <n v="4"/>
    <n v="319.95999999999998"/>
  </r>
  <r>
    <x v="3"/>
    <x v="0"/>
    <x v="1"/>
    <x v="2"/>
    <x v="165"/>
    <n v="340.95"/>
    <n v="10"/>
    <n v="3409.5"/>
  </r>
  <r>
    <x v="10"/>
    <x v="0"/>
    <x v="2"/>
    <x v="1"/>
    <x v="17"/>
    <n v="340.95"/>
    <n v="11"/>
    <n v="3750.45"/>
  </r>
  <r>
    <x v="0"/>
    <x v="1"/>
    <x v="0"/>
    <x v="0"/>
    <x v="152"/>
    <n v="168.95"/>
    <n v="7"/>
    <n v="1182.6499999999999"/>
  </r>
  <r>
    <x v="3"/>
    <x v="1"/>
    <x v="1"/>
    <x v="1"/>
    <x v="56"/>
    <n v="168.95"/>
    <n v="4"/>
    <n v="675.8"/>
  </r>
  <r>
    <x v="10"/>
    <x v="2"/>
    <x v="2"/>
    <x v="1"/>
    <x v="262"/>
    <n v="799.95"/>
    <n v="13"/>
    <n v="10399.35"/>
  </r>
  <r>
    <x v="10"/>
    <x v="1"/>
    <x v="2"/>
    <x v="3"/>
    <x v="97"/>
    <n v="168.95"/>
    <n v="1"/>
    <n v="168.95"/>
  </r>
  <r>
    <x v="5"/>
    <x v="3"/>
    <x v="2"/>
    <x v="2"/>
    <x v="18"/>
    <n v="79.989999999999995"/>
    <n v="2"/>
    <n v="159.97999999999999"/>
  </r>
  <r>
    <x v="10"/>
    <x v="2"/>
    <x v="2"/>
    <x v="0"/>
    <x v="337"/>
    <n v="799.95"/>
    <n v="16"/>
    <n v="12799.2"/>
  </r>
  <r>
    <x v="7"/>
    <x v="4"/>
    <x v="0"/>
    <x v="3"/>
    <x v="30"/>
    <n v="340.95"/>
    <n v="10"/>
    <n v="3409.5"/>
  </r>
  <r>
    <x v="3"/>
    <x v="1"/>
    <x v="1"/>
    <x v="2"/>
    <x v="127"/>
    <n v="168.95"/>
    <n v="13"/>
    <n v="2196.35"/>
  </r>
  <r>
    <x v="7"/>
    <x v="3"/>
    <x v="0"/>
    <x v="2"/>
    <x v="338"/>
    <n v="79.989999999999995"/>
    <n v="10"/>
    <n v="799.9"/>
  </r>
  <r>
    <x v="11"/>
    <x v="1"/>
    <x v="3"/>
    <x v="3"/>
    <x v="187"/>
    <n v="168.95"/>
    <n v="15"/>
    <n v="2534.25"/>
  </r>
  <r>
    <x v="0"/>
    <x v="2"/>
    <x v="0"/>
    <x v="4"/>
    <x v="6"/>
    <n v="799.95"/>
    <n v="2"/>
    <n v="1599.9"/>
  </r>
  <r>
    <x v="4"/>
    <x v="2"/>
    <x v="3"/>
    <x v="1"/>
    <x v="149"/>
    <n v="799.95"/>
    <n v="2"/>
    <n v="1599.9"/>
  </r>
  <r>
    <x v="10"/>
    <x v="2"/>
    <x v="2"/>
    <x v="1"/>
    <x v="339"/>
    <n v="799.95"/>
    <n v="13"/>
    <n v="10399.35"/>
  </r>
  <r>
    <x v="0"/>
    <x v="1"/>
    <x v="0"/>
    <x v="3"/>
    <x v="340"/>
    <n v="168.95"/>
    <n v="2"/>
    <n v="337.9"/>
  </r>
  <r>
    <x v="4"/>
    <x v="1"/>
    <x v="3"/>
    <x v="2"/>
    <x v="300"/>
    <n v="168.95"/>
    <n v="8"/>
    <n v="1351.6"/>
  </r>
  <r>
    <x v="5"/>
    <x v="0"/>
    <x v="2"/>
    <x v="3"/>
    <x v="341"/>
    <n v="340.95"/>
    <n v="3"/>
    <n v="1022.8499999999999"/>
  </r>
  <r>
    <x v="1"/>
    <x v="4"/>
    <x v="1"/>
    <x v="2"/>
    <x v="80"/>
    <n v="340.95"/>
    <n v="2"/>
    <n v="681.9"/>
  </r>
  <r>
    <x v="9"/>
    <x v="0"/>
    <x v="1"/>
    <x v="1"/>
    <x v="342"/>
    <n v="340.95"/>
    <n v="5"/>
    <n v="1704.75"/>
  </r>
  <r>
    <x v="9"/>
    <x v="3"/>
    <x v="1"/>
    <x v="3"/>
    <x v="329"/>
    <n v="79.989999999999995"/>
    <n v="2"/>
    <n v="159.97999999999999"/>
  </r>
  <r>
    <x v="4"/>
    <x v="2"/>
    <x v="3"/>
    <x v="0"/>
    <x v="343"/>
    <n v="799.95"/>
    <n v="18"/>
    <n v="14399.1"/>
  </r>
  <r>
    <x v="0"/>
    <x v="2"/>
    <x v="0"/>
    <x v="0"/>
    <x v="344"/>
    <n v="799.95"/>
    <n v="6"/>
    <n v="4799.7000000000007"/>
  </r>
  <r>
    <x v="10"/>
    <x v="4"/>
    <x v="2"/>
    <x v="0"/>
    <x v="304"/>
    <n v="340.95"/>
    <n v="11"/>
    <n v="3750.45"/>
  </r>
  <r>
    <x v="9"/>
    <x v="0"/>
    <x v="1"/>
    <x v="2"/>
    <x v="40"/>
    <n v="340.95"/>
    <n v="2"/>
    <n v="681.9"/>
  </r>
  <r>
    <x v="2"/>
    <x v="4"/>
    <x v="2"/>
    <x v="0"/>
    <x v="245"/>
    <n v="340.95"/>
    <n v="18"/>
    <n v="6137.0999999999995"/>
  </r>
  <r>
    <x v="5"/>
    <x v="3"/>
    <x v="2"/>
    <x v="3"/>
    <x v="345"/>
    <n v="79.989999999999995"/>
    <n v="1"/>
    <n v="79.989999999999995"/>
  </r>
  <r>
    <x v="7"/>
    <x v="3"/>
    <x v="0"/>
    <x v="1"/>
    <x v="26"/>
    <n v="79.989999999999995"/>
    <n v="3"/>
    <n v="239.96999999999997"/>
  </r>
  <r>
    <x v="1"/>
    <x v="3"/>
    <x v="1"/>
    <x v="1"/>
    <x v="121"/>
    <n v="79.989999999999995"/>
    <n v="12"/>
    <n v="959.87999999999988"/>
  </r>
  <r>
    <x v="9"/>
    <x v="0"/>
    <x v="1"/>
    <x v="3"/>
    <x v="110"/>
    <n v="340.95"/>
    <n v="9"/>
    <n v="3068.5499999999997"/>
  </r>
  <r>
    <x v="1"/>
    <x v="3"/>
    <x v="1"/>
    <x v="4"/>
    <x v="346"/>
    <n v="79.989999999999995"/>
    <n v="8"/>
    <n v="639.91999999999996"/>
  </r>
  <r>
    <x v="11"/>
    <x v="3"/>
    <x v="3"/>
    <x v="3"/>
    <x v="251"/>
    <n v="79.989999999999995"/>
    <n v="8"/>
    <n v="639.91999999999996"/>
  </r>
  <r>
    <x v="6"/>
    <x v="3"/>
    <x v="2"/>
    <x v="0"/>
    <x v="55"/>
    <n v="79.989999999999995"/>
    <n v="8"/>
    <n v="639.91999999999996"/>
  </r>
  <r>
    <x v="9"/>
    <x v="3"/>
    <x v="1"/>
    <x v="0"/>
    <x v="347"/>
    <n v="79.989999999999995"/>
    <n v="7"/>
    <n v="559.92999999999995"/>
  </r>
  <r>
    <x v="4"/>
    <x v="0"/>
    <x v="3"/>
    <x v="1"/>
    <x v="268"/>
    <n v="340.95"/>
    <n v="5"/>
    <n v="1704.75"/>
  </r>
  <r>
    <x v="6"/>
    <x v="1"/>
    <x v="2"/>
    <x v="4"/>
    <x v="348"/>
    <n v="168.95"/>
    <n v="6"/>
    <n v="1013.6999999999999"/>
  </r>
  <r>
    <x v="5"/>
    <x v="2"/>
    <x v="2"/>
    <x v="2"/>
    <x v="307"/>
    <n v="799.95"/>
    <n v="4"/>
    <n v="3199.8"/>
  </r>
  <r>
    <x v="9"/>
    <x v="1"/>
    <x v="1"/>
    <x v="0"/>
    <x v="100"/>
    <n v="168.95"/>
    <n v="16"/>
    <n v="2703.2"/>
  </r>
  <r>
    <x v="11"/>
    <x v="1"/>
    <x v="3"/>
    <x v="0"/>
    <x v="187"/>
    <n v="168.95"/>
    <n v="13"/>
    <n v="2196.35"/>
  </r>
  <r>
    <x v="7"/>
    <x v="0"/>
    <x v="0"/>
    <x v="3"/>
    <x v="349"/>
    <n v="340.95"/>
    <n v="6"/>
    <n v="2045.6999999999998"/>
  </r>
  <r>
    <x v="6"/>
    <x v="4"/>
    <x v="2"/>
    <x v="0"/>
    <x v="350"/>
    <n v="340.95"/>
    <n v="8"/>
    <n v="2727.6"/>
  </r>
  <r>
    <x v="9"/>
    <x v="2"/>
    <x v="1"/>
    <x v="3"/>
    <x v="351"/>
    <n v="799.95"/>
    <n v="4"/>
    <n v="3199.8"/>
  </r>
  <r>
    <x v="1"/>
    <x v="0"/>
    <x v="1"/>
    <x v="0"/>
    <x v="89"/>
    <n v="340.95"/>
    <n v="7"/>
    <n v="2386.65"/>
  </r>
  <r>
    <x v="1"/>
    <x v="4"/>
    <x v="1"/>
    <x v="2"/>
    <x v="352"/>
    <n v="340.95"/>
    <n v="9"/>
    <n v="3068.5499999999997"/>
  </r>
  <r>
    <x v="1"/>
    <x v="4"/>
    <x v="1"/>
    <x v="2"/>
    <x v="353"/>
    <n v="340.95"/>
    <n v="5"/>
    <n v="1704.75"/>
  </r>
  <r>
    <x v="2"/>
    <x v="3"/>
    <x v="2"/>
    <x v="0"/>
    <x v="118"/>
    <n v="79.989999999999995"/>
    <n v="19"/>
    <n v="1519.81"/>
  </r>
  <r>
    <x v="10"/>
    <x v="1"/>
    <x v="2"/>
    <x v="4"/>
    <x v="354"/>
    <n v="168.95"/>
    <n v="3"/>
    <n v="506.84999999999997"/>
  </r>
  <r>
    <x v="4"/>
    <x v="0"/>
    <x v="3"/>
    <x v="2"/>
    <x v="351"/>
    <n v="340.95"/>
    <n v="15"/>
    <n v="5114.25"/>
  </r>
  <r>
    <x v="2"/>
    <x v="4"/>
    <x v="2"/>
    <x v="0"/>
    <x v="8"/>
    <n v="340.95"/>
    <n v="17"/>
    <n v="5796.15"/>
  </r>
  <r>
    <x v="9"/>
    <x v="2"/>
    <x v="1"/>
    <x v="4"/>
    <x v="282"/>
    <n v="799.95"/>
    <n v="2"/>
    <n v="1599.9"/>
  </r>
  <r>
    <x v="10"/>
    <x v="3"/>
    <x v="2"/>
    <x v="2"/>
    <x v="355"/>
    <n v="79.989999999999995"/>
    <n v="12"/>
    <n v="959.87999999999988"/>
  </r>
  <r>
    <x v="8"/>
    <x v="1"/>
    <x v="1"/>
    <x v="3"/>
    <x v="211"/>
    <n v="168.95"/>
    <n v="4"/>
    <n v="675.8"/>
  </r>
  <r>
    <x v="5"/>
    <x v="3"/>
    <x v="2"/>
    <x v="0"/>
    <x v="16"/>
    <n v="79.989999999999995"/>
    <n v="13"/>
    <n v="1039.8699999999999"/>
  </r>
  <r>
    <x v="3"/>
    <x v="1"/>
    <x v="1"/>
    <x v="0"/>
    <x v="356"/>
    <n v="168.95"/>
    <n v="8"/>
    <n v="1351.6"/>
  </r>
  <r>
    <x v="0"/>
    <x v="3"/>
    <x v="0"/>
    <x v="3"/>
    <x v="357"/>
    <n v="79.989999999999995"/>
    <n v="11"/>
    <n v="879.89"/>
  </r>
  <r>
    <x v="7"/>
    <x v="4"/>
    <x v="0"/>
    <x v="4"/>
    <x v="311"/>
    <n v="340.95"/>
    <n v="1"/>
    <n v="340.95"/>
  </r>
  <r>
    <x v="10"/>
    <x v="0"/>
    <x v="2"/>
    <x v="3"/>
    <x v="207"/>
    <n v="340.95"/>
    <n v="11"/>
    <n v="3750.45"/>
  </r>
  <r>
    <x v="4"/>
    <x v="4"/>
    <x v="3"/>
    <x v="4"/>
    <x v="358"/>
    <n v="340.95"/>
    <n v="2"/>
    <n v="681.9"/>
  </r>
  <r>
    <x v="3"/>
    <x v="0"/>
    <x v="1"/>
    <x v="3"/>
    <x v="74"/>
    <n v="340.95"/>
    <n v="14"/>
    <n v="4773.3"/>
  </r>
  <r>
    <x v="9"/>
    <x v="3"/>
    <x v="1"/>
    <x v="4"/>
    <x v="359"/>
    <n v="79.989999999999995"/>
    <n v="1"/>
    <n v="79.989999999999995"/>
  </r>
  <r>
    <x v="6"/>
    <x v="3"/>
    <x v="2"/>
    <x v="4"/>
    <x v="360"/>
    <n v="79.989999999999995"/>
    <n v="15"/>
    <n v="1199.8499999999999"/>
  </r>
  <r>
    <x v="6"/>
    <x v="0"/>
    <x v="2"/>
    <x v="3"/>
    <x v="94"/>
    <n v="340.95"/>
    <n v="4"/>
    <n v="1363.8"/>
  </r>
  <r>
    <x v="5"/>
    <x v="2"/>
    <x v="2"/>
    <x v="3"/>
    <x v="361"/>
    <n v="799.95"/>
    <n v="9"/>
    <n v="7199.55"/>
  </r>
  <r>
    <x v="0"/>
    <x v="1"/>
    <x v="0"/>
    <x v="4"/>
    <x v="362"/>
    <n v="168.95"/>
    <n v="14"/>
    <n v="2365.2999999999997"/>
  </r>
  <r>
    <x v="3"/>
    <x v="4"/>
    <x v="1"/>
    <x v="2"/>
    <x v="31"/>
    <n v="340.95"/>
    <n v="6"/>
    <n v="2045.6999999999998"/>
  </r>
  <r>
    <x v="2"/>
    <x v="1"/>
    <x v="2"/>
    <x v="3"/>
    <x v="30"/>
    <n v="168.95"/>
    <n v="6"/>
    <n v="1013.6999999999999"/>
  </r>
  <r>
    <x v="8"/>
    <x v="2"/>
    <x v="1"/>
    <x v="3"/>
    <x v="58"/>
    <n v="799.95"/>
    <n v="2"/>
    <n v="1599.9"/>
  </r>
  <r>
    <x v="3"/>
    <x v="1"/>
    <x v="1"/>
    <x v="3"/>
    <x v="363"/>
    <n v="168.95"/>
    <n v="6"/>
    <n v="1013.6999999999999"/>
  </r>
  <r>
    <x v="6"/>
    <x v="2"/>
    <x v="2"/>
    <x v="0"/>
    <x v="287"/>
    <n v="799.95"/>
    <n v="19"/>
    <n v="15199.050000000001"/>
  </r>
  <r>
    <x v="2"/>
    <x v="0"/>
    <x v="2"/>
    <x v="2"/>
    <x v="292"/>
    <n v="340.95"/>
    <n v="15"/>
    <n v="5114.25"/>
  </r>
  <r>
    <x v="3"/>
    <x v="3"/>
    <x v="1"/>
    <x v="0"/>
    <x v="364"/>
    <n v="79.989999999999995"/>
    <n v="20"/>
    <n v="1599.8"/>
  </r>
  <r>
    <x v="10"/>
    <x v="0"/>
    <x v="2"/>
    <x v="0"/>
    <x v="194"/>
    <n v="340.95"/>
    <n v="12"/>
    <n v="4091.3999999999996"/>
  </r>
  <r>
    <x v="9"/>
    <x v="4"/>
    <x v="1"/>
    <x v="0"/>
    <x v="304"/>
    <n v="340.95"/>
    <n v="9"/>
    <n v="3068.5499999999997"/>
  </r>
  <r>
    <x v="2"/>
    <x v="0"/>
    <x v="2"/>
    <x v="3"/>
    <x v="365"/>
    <n v="340.95"/>
    <n v="15"/>
    <n v="5114.25"/>
  </r>
  <r>
    <x v="5"/>
    <x v="1"/>
    <x v="2"/>
    <x v="1"/>
    <x v="366"/>
    <n v="168.95"/>
    <n v="10"/>
    <n v="1689.5"/>
  </r>
  <r>
    <x v="11"/>
    <x v="4"/>
    <x v="3"/>
    <x v="0"/>
    <x v="295"/>
    <n v="340.95"/>
    <n v="16"/>
    <n v="5455.2"/>
  </r>
  <r>
    <x v="8"/>
    <x v="4"/>
    <x v="0"/>
    <x v="3"/>
    <x v="305"/>
    <n v="340.95"/>
    <n v="7"/>
    <n v="2386.65"/>
  </r>
  <r>
    <x v="3"/>
    <x v="2"/>
    <x v="1"/>
    <x v="0"/>
    <x v="3"/>
    <n v="799.95"/>
    <n v="16"/>
    <n v="12799.2"/>
  </r>
  <r>
    <x v="6"/>
    <x v="3"/>
    <x v="2"/>
    <x v="0"/>
    <x v="168"/>
    <n v="79.989999999999995"/>
    <n v="13"/>
    <n v="1039.8699999999999"/>
  </r>
  <r>
    <x v="7"/>
    <x v="0"/>
    <x v="0"/>
    <x v="4"/>
    <x v="367"/>
    <n v="340.95"/>
    <n v="2"/>
    <n v="681.9"/>
  </r>
  <r>
    <x v="5"/>
    <x v="1"/>
    <x v="2"/>
    <x v="0"/>
    <x v="368"/>
    <n v="168.95"/>
    <n v="12"/>
    <n v="2027.3999999999999"/>
  </r>
  <r>
    <x v="9"/>
    <x v="3"/>
    <x v="1"/>
    <x v="4"/>
    <x v="166"/>
    <n v="79.989999999999995"/>
    <n v="12"/>
    <n v="959.87999999999988"/>
  </r>
  <r>
    <x v="4"/>
    <x v="3"/>
    <x v="3"/>
    <x v="1"/>
    <x v="369"/>
    <n v="79.989999999999995"/>
    <n v="1"/>
    <n v="79.989999999999995"/>
  </r>
  <r>
    <x v="3"/>
    <x v="4"/>
    <x v="1"/>
    <x v="4"/>
    <x v="370"/>
    <n v="340.95"/>
    <n v="4"/>
    <n v="1363.8"/>
  </r>
  <r>
    <x v="2"/>
    <x v="2"/>
    <x v="2"/>
    <x v="1"/>
    <x v="128"/>
    <n v="799.95"/>
    <n v="15"/>
    <n v="11999.25"/>
  </r>
  <r>
    <x v="6"/>
    <x v="1"/>
    <x v="2"/>
    <x v="2"/>
    <x v="5"/>
    <n v="168.95"/>
    <n v="3"/>
    <n v="506.84999999999997"/>
  </r>
  <r>
    <x v="5"/>
    <x v="4"/>
    <x v="2"/>
    <x v="4"/>
    <x v="371"/>
    <n v="340.95"/>
    <n v="8"/>
    <n v="2727.6"/>
  </r>
  <r>
    <x v="10"/>
    <x v="4"/>
    <x v="2"/>
    <x v="2"/>
    <x v="36"/>
    <n v="340.95"/>
    <n v="15"/>
    <n v="5114.25"/>
  </r>
  <r>
    <x v="8"/>
    <x v="1"/>
    <x v="1"/>
    <x v="0"/>
    <x v="179"/>
    <n v="168.95"/>
    <n v="11"/>
    <n v="1858.4499999999998"/>
  </r>
  <r>
    <x v="5"/>
    <x v="4"/>
    <x v="2"/>
    <x v="4"/>
    <x v="372"/>
    <n v="340.95"/>
    <n v="14"/>
    <n v="4773.3"/>
  </r>
  <r>
    <x v="6"/>
    <x v="1"/>
    <x v="2"/>
    <x v="0"/>
    <x v="373"/>
    <n v="168.95"/>
    <n v="18"/>
    <n v="3041.1"/>
  </r>
  <r>
    <x v="10"/>
    <x v="0"/>
    <x v="2"/>
    <x v="2"/>
    <x v="374"/>
    <n v="340.95"/>
    <n v="1"/>
    <n v="340.95"/>
  </r>
  <r>
    <x v="11"/>
    <x v="3"/>
    <x v="3"/>
    <x v="2"/>
    <x v="189"/>
    <n v="79.989999999999995"/>
    <n v="11"/>
    <n v="879.89"/>
  </r>
  <r>
    <x v="10"/>
    <x v="2"/>
    <x v="2"/>
    <x v="2"/>
    <x v="174"/>
    <n v="799.95"/>
    <n v="7"/>
    <n v="5599.6500000000005"/>
  </r>
  <r>
    <x v="4"/>
    <x v="2"/>
    <x v="3"/>
    <x v="3"/>
    <x v="375"/>
    <n v="799.95"/>
    <n v="8"/>
    <n v="6399.6"/>
  </r>
  <r>
    <x v="4"/>
    <x v="2"/>
    <x v="3"/>
    <x v="0"/>
    <x v="326"/>
    <n v="799.95"/>
    <n v="7"/>
    <n v="5599.6500000000005"/>
  </r>
  <r>
    <x v="2"/>
    <x v="1"/>
    <x v="2"/>
    <x v="3"/>
    <x v="73"/>
    <n v="168.95"/>
    <n v="7"/>
    <n v="1182.6499999999999"/>
  </r>
  <r>
    <x v="9"/>
    <x v="3"/>
    <x v="1"/>
    <x v="3"/>
    <x v="376"/>
    <n v="79.989999999999995"/>
    <n v="6"/>
    <n v="479.93999999999994"/>
  </r>
  <r>
    <x v="4"/>
    <x v="3"/>
    <x v="3"/>
    <x v="2"/>
    <x v="284"/>
    <n v="79.989999999999995"/>
    <n v="1"/>
    <n v="79.989999999999995"/>
  </r>
  <r>
    <x v="11"/>
    <x v="3"/>
    <x v="3"/>
    <x v="3"/>
    <x v="377"/>
    <n v="79.989999999999995"/>
    <n v="5"/>
    <n v="399.95"/>
  </r>
  <r>
    <x v="6"/>
    <x v="2"/>
    <x v="2"/>
    <x v="4"/>
    <x v="140"/>
    <n v="799.95"/>
    <n v="11"/>
    <n v="8799.4500000000007"/>
  </r>
  <r>
    <x v="5"/>
    <x v="3"/>
    <x v="2"/>
    <x v="1"/>
    <x v="219"/>
    <n v="79.989999999999995"/>
    <n v="9"/>
    <n v="719.91"/>
  </r>
  <r>
    <x v="11"/>
    <x v="4"/>
    <x v="3"/>
    <x v="0"/>
    <x v="378"/>
    <n v="340.95"/>
    <n v="6"/>
    <n v="2045.6999999999998"/>
  </r>
  <r>
    <x v="9"/>
    <x v="4"/>
    <x v="1"/>
    <x v="0"/>
    <x v="191"/>
    <n v="340.95"/>
    <n v="19"/>
    <n v="6478.05"/>
  </r>
  <r>
    <x v="6"/>
    <x v="2"/>
    <x v="2"/>
    <x v="4"/>
    <x v="24"/>
    <n v="799.95"/>
    <n v="10"/>
    <n v="7999.5"/>
  </r>
  <r>
    <x v="0"/>
    <x v="1"/>
    <x v="0"/>
    <x v="0"/>
    <x v="320"/>
    <n v="168.95"/>
    <n v="20"/>
    <n v="3379"/>
  </r>
  <r>
    <x v="10"/>
    <x v="2"/>
    <x v="2"/>
    <x v="1"/>
    <x v="379"/>
    <n v="799.95"/>
    <n v="8"/>
    <n v="6399.6"/>
  </r>
  <r>
    <x v="2"/>
    <x v="1"/>
    <x v="2"/>
    <x v="2"/>
    <x v="208"/>
    <n v="168.95"/>
    <n v="7"/>
    <n v="1182.6499999999999"/>
  </r>
  <r>
    <x v="7"/>
    <x v="1"/>
    <x v="0"/>
    <x v="2"/>
    <x v="20"/>
    <n v="168.95"/>
    <n v="3"/>
    <n v="506.84999999999997"/>
  </r>
  <r>
    <x v="7"/>
    <x v="2"/>
    <x v="0"/>
    <x v="1"/>
    <x v="195"/>
    <n v="799.95"/>
    <n v="10"/>
    <n v="7999.5"/>
  </r>
  <r>
    <x v="2"/>
    <x v="1"/>
    <x v="2"/>
    <x v="1"/>
    <x v="31"/>
    <n v="168.95"/>
    <n v="15"/>
    <n v="2534.25"/>
  </r>
  <r>
    <x v="11"/>
    <x v="3"/>
    <x v="3"/>
    <x v="4"/>
    <x v="82"/>
    <n v="79.989999999999995"/>
    <n v="14"/>
    <n v="1119.8599999999999"/>
  </r>
  <r>
    <x v="5"/>
    <x v="0"/>
    <x v="2"/>
    <x v="2"/>
    <x v="380"/>
    <n v="340.95"/>
    <n v="1"/>
    <n v="340.95"/>
  </r>
  <r>
    <x v="11"/>
    <x v="4"/>
    <x v="3"/>
    <x v="1"/>
    <x v="265"/>
    <n v="340.95"/>
    <n v="11"/>
    <n v="3750.45"/>
  </r>
  <r>
    <x v="11"/>
    <x v="0"/>
    <x v="3"/>
    <x v="4"/>
    <x v="225"/>
    <n v="340.95"/>
    <n v="12"/>
    <n v="4091.3999999999996"/>
  </r>
  <r>
    <x v="1"/>
    <x v="3"/>
    <x v="1"/>
    <x v="1"/>
    <x v="296"/>
    <n v="79.989999999999995"/>
    <n v="12"/>
    <n v="959.87999999999988"/>
  </r>
  <r>
    <x v="3"/>
    <x v="0"/>
    <x v="1"/>
    <x v="0"/>
    <x v="381"/>
    <n v="340.95"/>
    <n v="16"/>
    <n v="5455.2"/>
  </r>
  <r>
    <x v="8"/>
    <x v="4"/>
    <x v="0"/>
    <x v="1"/>
    <x v="159"/>
    <n v="340.95"/>
    <n v="1"/>
    <n v="340.95"/>
  </r>
  <r>
    <x v="3"/>
    <x v="2"/>
    <x v="1"/>
    <x v="3"/>
    <x v="144"/>
    <n v="799.95"/>
    <n v="2"/>
    <n v="1599.9"/>
  </r>
  <r>
    <x v="0"/>
    <x v="3"/>
    <x v="0"/>
    <x v="0"/>
    <x v="200"/>
    <n v="79.989999999999995"/>
    <n v="9"/>
    <n v="719.91"/>
  </r>
  <r>
    <x v="4"/>
    <x v="3"/>
    <x v="3"/>
    <x v="1"/>
    <x v="382"/>
    <n v="79.989999999999995"/>
    <n v="10"/>
    <n v="799.9"/>
  </r>
  <r>
    <x v="7"/>
    <x v="1"/>
    <x v="0"/>
    <x v="1"/>
    <x v="220"/>
    <n v="168.95"/>
    <n v="15"/>
    <n v="2534.25"/>
  </r>
  <r>
    <x v="6"/>
    <x v="0"/>
    <x v="2"/>
    <x v="3"/>
    <x v="325"/>
    <n v="340.95"/>
    <n v="9"/>
    <n v="3068.5499999999997"/>
  </r>
  <r>
    <x v="1"/>
    <x v="4"/>
    <x v="1"/>
    <x v="3"/>
    <x v="240"/>
    <n v="340.95"/>
    <n v="9"/>
    <n v="3068.5499999999997"/>
  </r>
  <r>
    <x v="2"/>
    <x v="0"/>
    <x v="2"/>
    <x v="2"/>
    <x v="364"/>
    <n v="340.95"/>
    <n v="6"/>
    <n v="2045.6999999999998"/>
  </r>
  <r>
    <x v="3"/>
    <x v="4"/>
    <x v="1"/>
    <x v="3"/>
    <x v="37"/>
    <n v="340.95"/>
    <n v="9"/>
    <n v="3068.5499999999997"/>
  </r>
  <r>
    <x v="11"/>
    <x v="4"/>
    <x v="3"/>
    <x v="4"/>
    <x v="58"/>
    <n v="340.95"/>
    <n v="15"/>
    <n v="5114.25"/>
  </r>
  <r>
    <x v="0"/>
    <x v="2"/>
    <x v="0"/>
    <x v="0"/>
    <x v="228"/>
    <n v="799.95"/>
    <n v="11"/>
    <n v="8799.4500000000007"/>
  </r>
  <r>
    <x v="3"/>
    <x v="4"/>
    <x v="1"/>
    <x v="0"/>
    <x v="304"/>
    <n v="340.95"/>
    <n v="15"/>
    <n v="5114.25"/>
  </r>
  <r>
    <x v="11"/>
    <x v="2"/>
    <x v="3"/>
    <x v="2"/>
    <x v="2"/>
    <n v="799.95"/>
    <n v="14"/>
    <n v="11199.300000000001"/>
  </r>
  <r>
    <x v="11"/>
    <x v="2"/>
    <x v="3"/>
    <x v="3"/>
    <x v="86"/>
    <n v="799.95"/>
    <n v="14"/>
    <n v="11199.300000000001"/>
  </r>
  <r>
    <x v="0"/>
    <x v="0"/>
    <x v="0"/>
    <x v="0"/>
    <x v="341"/>
    <n v="340.95"/>
    <n v="16"/>
    <n v="5455.2"/>
  </r>
  <r>
    <x v="8"/>
    <x v="4"/>
    <x v="0"/>
    <x v="4"/>
    <x v="277"/>
    <n v="340.95"/>
    <n v="4"/>
    <n v="1363.8"/>
  </r>
  <r>
    <x v="8"/>
    <x v="2"/>
    <x v="1"/>
    <x v="4"/>
    <x v="359"/>
    <n v="799.95"/>
    <n v="6"/>
    <n v="4799.7000000000007"/>
  </r>
  <r>
    <x v="7"/>
    <x v="3"/>
    <x v="0"/>
    <x v="4"/>
    <x v="186"/>
    <n v="79.989999999999995"/>
    <n v="8"/>
    <n v="639.91999999999996"/>
  </r>
  <r>
    <x v="7"/>
    <x v="0"/>
    <x v="0"/>
    <x v="4"/>
    <x v="56"/>
    <n v="340.95"/>
    <n v="1"/>
    <n v="340.95"/>
  </r>
  <r>
    <x v="8"/>
    <x v="2"/>
    <x v="1"/>
    <x v="0"/>
    <x v="383"/>
    <n v="799.95"/>
    <n v="8"/>
    <n v="6399.6"/>
  </r>
  <r>
    <x v="9"/>
    <x v="3"/>
    <x v="1"/>
    <x v="4"/>
    <x v="241"/>
    <n v="79.989999999999995"/>
    <n v="10"/>
    <n v="799.9"/>
  </r>
  <r>
    <x v="1"/>
    <x v="4"/>
    <x v="1"/>
    <x v="1"/>
    <x v="56"/>
    <n v="340.95"/>
    <n v="15"/>
    <n v="5114.25"/>
  </r>
  <r>
    <x v="1"/>
    <x v="0"/>
    <x v="1"/>
    <x v="2"/>
    <x v="56"/>
    <n v="340.95"/>
    <n v="6"/>
    <n v="2045.6999999999998"/>
  </r>
  <r>
    <x v="9"/>
    <x v="2"/>
    <x v="1"/>
    <x v="0"/>
    <x v="103"/>
    <n v="799.95"/>
    <n v="6"/>
    <n v="4799.7000000000007"/>
  </r>
  <r>
    <x v="2"/>
    <x v="4"/>
    <x v="2"/>
    <x v="2"/>
    <x v="2"/>
    <n v="340.95"/>
    <n v="4"/>
    <n v="1363.8"/>
  </r>
  <r>
    <x v="9"/>
    <x v="1"/>
    <x v="1"/>
    <x v="4"/>
    <x v="17"/>
    <n v="168.95"/>
    <n v="13"/>
    <n v="2196.35"/>
  </r>
  <r>
    <x v="9"/>
    <x v="3"/>
    <x v="1"/>
    <x v="0"/>
    <x v="384"/>
    <n v="79.989999999999995"/>
    <n v="13"/>
    <n v="1039.8699999999999"/>
  </r>
  <r>
    <x v="10"/>
    <x v="4"/>
    <x v="2"/>
    <x v="4"/>
    <x v="385"/>
    <n v="340.95"/>
    <n v="12"/>
    <n v="4091.3999999999996"/>
  </r>
  <r>
    <x v="3"/>
    <x v="4"/>
    <x v="1"/>
    <x v="0"/>
    <x v="36"/>
    <n v="340.95"/>
    <n v="8"/>
    <n v="2727.6"/>
  </r>
  <r>
    <x v="2"/>
    <x v="0"/>
    <x v="2"/>
    <x v="0"/>
    <x v="292"/>
    <n v="340.95"/>
    <n v="14"/>
    <n v="4773.3"/>
  </r>
  <r>
    <x v="4"/>
    <x v="0"/>
    <x v="3"/>
    <x v="2"/>
    <x v="74"/>
    <n v="340.95"/>
    <n v="8"/>
    <n v="2727.6"/>
  </r>
  <r>
    <x v="3"/>
    <x v="2"/>
    <x v="1"/>
    <x v="3"/>
    <x v="311"/>
    <n v="799.95"/>
    <n v="1"/>
    <n v="799.95"/>
  </r>
  <r>
    <x v="8"/>
    <x v="4"/>
    <x v="0"/>
    <x v="2"/>
    <x v="73"/>
    <n v="340.95"/>
    <n v="9"/>
    <n v="3068.5499999999997"/>
  </r>
  <r>
    <x v="5"/>
    <x v="3"/>
    <x v="2"/>
    <x v="2"/>
    <x v="37"/>
    <n v="79.989999999999995"/>
    <n v="5"/>
    <n v="399.95"/>
  </r>
  <r>
    <x v="10"/>
    <x v="3"/>
    <x v="2"/>
    <x v="4"/>
    <x v="73"/>
    <n v="79.989999999999995"/>
    <n v="11"/>
    <n v="879.89"/>
  </r>
  <r>
    <x v="7"/>
    <x v="0"/>
    <x v="0"/>
    <x v="1"/>
    <x v="386"/>
    <n v="340.95"/>
    <n v="5"/>
    <n v="1704.75"/>
  </r>
  <r>
    <x v="2"/>
    <x v="1"/>
    <x v="2"/>
    <x v="2"/>
    <x v="263"/>
    <n v="168.95"/>
    <n v="12"/>
    <n v="2027.3999999999999"/>
  </r>
  <r>
    <x v="10"/>
    <x v="2"/>
    <x v="2"/>
    <x v="4"/>
    <x v="387"/>
    <n v="799.95"/>
    <n v="13"/>
    <n v="10399.35"/>
  </r>
  <r>
    <x v="6"/>
    <x v="4"/>
    <x v="2"/>
    <x v="1"/>
    <x v="253"/>
    <n v="340.95"/>
    <n v="4"/>
    <n v="1363.8"/>
  </r>
  <r>
    <x v="2"/>
    <x v="3"/>
    <x v="2"/>
    <x v="3"/>
    <x v="162"/>
    <n v="79.989999999999995"/>
    <n v="12"/>
    <n v="959.87999999999988"/>
  </r>
  <r>
    <x v="5"/>
    <x v="4"/>
    <x v="2"/>
    <x v="0"/>
    <x v="208"/>
    <n v="340.95"/>
    <n v="11"/>
    <n v="3750.45"/>
  </r>
  <r>
    <x v="6"/>
    <x v="2"/>
    <x v="2"/>
    <x v="0"/>
    <x v="388"/>
    <n v="799.95"/>
    <n v="14"/>
    <n v="11199.300000000001"/>
  </r>
  <r>
    <x v="2"/>
    <x v="4"/>
    <x v="2"/>
    <x v="1"/>
    <x v="32"/>
    <n v="340.95"/>
    <n v="14"/>
    <n v="4773.3"/>
  </r>
  <r>
    <x v="8"/>
    <x v="0"/>
    <x v="1"/>
    <x v="4"/>
    <x v="47"/>
    <n v="340.95"/>
    <n v="6"/>
    <n v="2045.6999999999998"/>
  </r>
  <r>
    <x v="10"/>
    <x v="3"/>
    <x v="2"/>
    <x v="3"/>
    <x v="389"/>
    <n v="79.989999999999995"/>
    <n v="3"/>
    <n v="239.96999999999997"/>
  </r>
  <r>
    <x v="4"/>
    <x v="2"/>
    <x v="3"/>
    <x v="2"/>
    <x v="158"/>
    <n v="799.95"/>
    <n v="5"/>
    <n v="3999.75"/>
  </r>
  <r>
    <x v="3"/>
    <x v="1"/>
    <x v="1"/>
    <x v="0"/>
    <x v="76"/>
    <n v="168.95"/>
    <n v="13"/>
    <n v="2196.35"/>
  </r>
  <r>
    <x v="8"/>
    <x v="4"/>
    <x v="0"/>
    <x v="2"/>
    <x v="224"/>
    <n v="340.95"/>
    <n v="9"/>
    <n v="3068.5499999999997"/>
  </r>
  <r>
    <x v="10"/>
    <x v="2"/>
    <x v="2"/>
    <x v="0"/>
    <x v="390"/>
    <n v="799.95"/>
    <n v="14"/>
    <n v="11199.300000000001"/>
  </r>
  <r>
    <x v="10"/>
    <x v="0"/>
    <x v="2"/>
    <x v="1"/>
    <x v="201"/>
    <n v="340.95"/>
    <n v="4"/>
    <n v="1363.8"/>
  </r>
  <r>
    <x v="3"/>
    <x v="4"/>
    <x v="1"/>
    <x v="4"/>
    <x v="341"/>
    <n v="340.95"/>
    <n v="3"/>
    <n v="1022.8499999999999"/>
  </r>
  <r>
    <x v="4"/>
    <x v="4"/>
    <x v="3"/>
    <x v="4"/>
    <x v="391"/>
    <n v="340.95"/>
    <n v="13"/>
    <n v="4432.3499999999995"/>
  </r>
  <r>
    <x v="9"/>
    <x v="3"/>
    <x v="1"/>
    <x v="2"/>
    <x v="20"/>
    <n v="79.989999999999995"/>
    <n v="15"/>
    <n v="1199.8499999999999"/>
  </r>
  <r>
    <x v="0"/>
    <x v="0"/>
    <x v="0"/>
    <x v="3"/>
    <x v="191"/>
    <n v="340.95"/>
    <n v="6"/>
    <n v="2045.6999999999998"/>
  </r>
  <r>
    <x v="4"/>
    <x v="3"/>
    <x v="3"/>
    <x v="4"/>
    <x v="289"/>
    <n v="79.989999999999995"/>
    <n v="9"/>
    <n v="719.91"/>
  </r>
  <r>
    <x v="11"/>
    <x v="4"/>
    <x v="3"/>
    <x v="0"/>
    <x v="144"/>
    <n v="340.95"/>
    <n v="17"/>
    <n v="5796.15"/>
  </r>
  <r>
    <x v="3"/>
    <x v="2"/>
    <x v="1"/>
    <x v="1"/>
    <x v="258"/>
    <n v="799.95"/>
    <n v="7"/>
    <n v="5599.6500000000005"/>
  </r>
  <r>
    <x v="9"/>
    <x v="1"/>
    <x v="1"/>
    <x v="0"/>
    <x v="392"/>
    <n v="168.95"/>
    <n v="14"/>
    <n v="2365.2999999999997"/>
  </r>
  <r>
    <x v="1"/>
    <x v="4"/>
    <x v="1"/>
    <x v="2"/>
    <x v="241"/>
    <n v="340.95"/>
    <n v="8"/>
    <n v="2727.6"/>
  </r>
  <r>
    <x v="6"/>
    <x v="4"/>
    <x v="2"/>
    <x v="0"/>
    <x v="366"/>
    <n v="340.95"/>
    <n v="14"/>
    <n v="4773.3"/>
  </r>
  <r>
    <x v="2"/>
    <x v="0"/>
    <x v="2"/>
    <x v="3"/>
    <x v="16"/>
    <n v="340.95"/>
    <n v="8"/>
    <n v="2727.6"/>
  </r>
  <r>
    <x v="0"/>
    <x v="1"/>
    <x v="0"/>
    <x v="3"/>
    <x v="393"/>
    <n v="168.95"/>
    <n v="10"/>
    <n v="1689.5"/>
  </r>
  <r>
    <x v="4"/>
    <x v="2"/>
    <x v="3"/>
    <x v="0"/>
    <x v="16"/>
    <n v="799.95"/>
    <n v="13"/>
    <n v="10399.35"/>
  </r>
  <r>
    <x v="9"/>
    <x v="1"/>
    <x v="1"/>
    <x v="1"/>
    <x v="316"/>
    <n v="168.95"/>
    <n v="4"/>
    <n v="675.8"/>
  </r>
  <r>
    <x v="5"/>
    <x v="1"/>
    <x v="2"/>
    <x v="2"/>
    <x v="252"/>
    <n v="168.95"/>
    <n v="12"/>
    <n v="2027.3999999999999"/>
  </r>
  <r>
    <x v="9"/>
    <x v="0"/>
    <x v="1"/>
    <x v="4"/>
    <x v="264"/>
    <n v="340.95"/>
    <n v="4"/>
    <n v="1363.8"/>
  </r>
  <r>
    <x v="4"/>
    <x v="1"/>
    <x v="3"/>
    <x v="0"/>
    <x v="394"/>
    <n v="168.95"/>
    <n v="17"/>
    <n v="2872.1499999999996"/>
  </r>
  <r>
    <x v="3"/>
    <x v="3"/>
    <x v="1"/>
    <x v="4"/>
    <x v="395"/>
    <n v="79.989999999999995"/>
    <n v="3"/>
    <n v="239.96999999999997"/>
  </r>
  <r>
    <x v="5"/>
    <x v="2"/>
    <x v="2"/>
    <x v="0"/>
    <x v="385"/>
    <n v="799.95"/>
    <n v="17"/>
    <n v="13599.150000000001"/>
  </r>
  <r>
    <x v="9"/>
    <x v="0"/>
    <x v="1"/>
    <x v="2"/>
    <x v="386"/>
    <n v="340.95"/>
    <n v="3"/>
    <n v="1022.8499999999999"/>
  </r>
  <r>
    <x v="10"/>
    <x v="3"/>
    <x v="2"/>
    <x v="3"/>
    <x v="95"/>
    <n v="79.989999999999995"/>
    <n v="1"/>
    <n v="79.989999999999995"/>
  </r>
  <r>
    <x v="0"/>
    <x v="0"/>
    <x v="0"/>
    <x v="1"/>
    <x v="295"/>
    <n v="340.95"/>
    <n v="2"/>
    <n v="681.9"/>
  </r>
  <r>
    <x v="9"/>
    <x v="1"/>
    <x v="1"/>
    <x v="1"/>
    <x v="222"/>
    <n v="168.95"/>
    <n v="15"/>
    <n v="2534.25"/>
  </r>
  <r>
    <x v="11"/>
    <x v="2"/>
    <x v="3"/>
    <x v="3"/>
    <x v="100"/>
    <n v="799.95"/>
    <n v="7"/>
    <n v="5599.6500000000005"/>
  </r>
  <r>
    <x v="4"/>
    <x v="2"/>
    <x v="3"/>
    <x v="0"/>
    <x v="246"/>
    <n v="799.95"/>
    <n v="19"/>
    <n v="15199.050000000001"/>
  </r>
  <r>
    <x v="1"/>
    <x v="2"/>
    <x v="1"/>
    <x v="4"/>
    <x v="396"/>
    <n v="799.95"/>
    <n v="9"/>
    <n v="7199.55"/>
  </r>
  <r>
    <x v="8"/>
    <x v="1"/>
    <x v="1"/>
    <x v="4"/>
    <x v="394"/>
    <n v="168.95"/>
    <n v="13"/>
    <n v="2196.35"/>
  </r>
  <r>
    <x v="10"/>
    <x v="3"/>
    <x v="2"/>
    <x v="1"/>
    <x v="264"/>
    <n v="79.989999999999995"/>
    <n v="7"/>
    <n v="559.92999999999995"/>
  </r>
  <r>
    <x v="2"/>
    <x v="2"/>
    <x v="2"/>
    <x v="3"/>
    <x v="212"/>
    <n v="799.95"/>
    <n v="9"/>
    <n v="7199.55"/>
  </r>
  <r>
    <x v="2"/>
    <x v="3"/>
    <x v="2"/>
    <x v="0"/>
    <x v="100"/>
    <n v="79.989999999999995"/>
    <n v="16"/>
    <n v="1279.8399999999999"/>
  </r>
  <r>
    <x v="3"/>
    <x v="2"/>
    <x v="1"/>
    <x v="0"/>
    <x v="54"/>
    <n v="799.95"/>
    <n v="9"/>
    <n v="7199.55"/>
  </r>
  <r>
    <x v="5"/>
    <x v="2"/>
    <x v="2"/>
    <x v="4"/>
    <x v="8"/>
    <n v="799.95"/>
    <n v="8"/>
    <n v="6399.6"/>
  </r>
  <r>
    <x v="6"/>
    <x v="0"/>
    <x v="2"/>
    <x v="2"/>
    <x v="331"/>
    <n v="340.95"/>
    <n v="1"/>
    <n v="340.95"/>
  </r>
  <r>
    <x v="0"/>
    <x v="2"/>
    <x v="0"/>
    <x v="0"/>
    <x v="374"/>
    <n v="799.95"/>
    <n v="6"/>
    <n v="4799.7000000000007"/>
  </r>
  <r>
    <x v="3"/>
    <x v="1"/>
    <x v="1"/>
    <x v="4"/>
    <x v="324"/>
    <n v="168.95"/>
    <n v="6"/>
    <n v="1013.6999999999999"/>
  </r>
  <r>
    <x v="0"/>
    <x v="3"/>
    <x v="0"/>
    <x v="1"/>
    <x v="397"/>
    <n v="79.989999999999995"/>
    <n v="3"/>
    <n v="239.96999999999997"/>
  </r>
  <r>
    <x v="4"/>
    <x v="1"/>
    <x v="3"/>
    <x v="1"/>
    <x v="35"/>
    <n v="168.95"/>
    <n v="8"/>
    <n v="1351.6"/>
  </r>
  <r>
    <x v="3"/>
    <x v="2"/>
    <x v="1"/>
    <x v="0"/>
    <x v="276"/>
    <n v="799.95"/>
    <n v="17"/>
    <n v="13599.150000000001"/>
  </r>
  <r>
    <x v="9"/>
    <x v="2"/>
    <x v="1"/>
    <x v="2"/>
    <x v="241"/>
    <n v="799.95"/>
    <n v="9"/>
    <n v="7199.55"/>
  </r>
  <r>
    <x v="0"/>
    <x v="2"/>
    <x v="0"/>
    <x v="0"/>
    <x v="398"/>
    <n v="799.95"/>
    <n v="11"/>
    <n v="8799.4500000000007"/>
  </r>
  <r>
    <x v="4"/>
    <x v="0"/>
    <x v="3"/>
    <x v="3"/>
    <x v="332"/>
    <n v="340.95"/>
    <n v="15"/>
    <n v="5114.25"/>
  </r>
  <r>
    <x v="0"/>
    <x v="1"/>
    <x v="0"/>
    <x v="4"/>
    <x v="399"/>
    <n v="168.95"/>
    <n v="11"/>
    <n v="1858.4499999999998"/>
  </r>
  <r>
    <x v="7"/>
    <x v="3"/>
    <x v="0"/>
    <x v="4"/>
    <x v="76"/>
    <n v="79.989999999999995"/>
    <n v="1"/>
    <n v="79.989999999999995"/>
  </r>
  <r>
    <x v="8"/>
    <x v="2"/>
    <x v="1"/>
    <x v="4"/>
    <x v="330"/>
    <n v="799.95"/>
    <n v="6"/>
    <n v="4799.7000000000007"/>
  </r>
  <r>
    <x v="3"/>
    <x v="3"/>
    <x v="1"/>
    <x v="3"/>
    <x v="400"/>
    <n v="79.989999999999995"/>
    <n v="4"/>
    <n v="319.95999999999998"/>
  </r>
  <r>
    <x v="2"/>
    <x v="3"/>
    <x v="2"/>
    <x v="2"/>
    <x v="168"/>
    <n v="79.989999999999995"/>
    <n v="10"/>
    <n v="799.9"/>
  </r>
  <r>
    <x v="0"/>
    <x v="4"/>
    <x v="0"/>
    <x v="1"/>
    <x v="401"/>
    <n v="340.95"/>
    <n v="8"/>
    <n v="2727.6"/>
  </r>
  <r>
    <x v="6"/>
    <x v="1"/>
    <x v="2"/>
    <x v="1"/>
    <x v="402"/>
    <n v="168.95"/>
    <n v="3"/>
    <n v="506.84999999999997"/>
  </r>
  <r>
    <x v="3"/>
    <x v="0"/>
    <x v="1"/>
    <x v="2"/>
    <x v="101"/>
    <n v="340.95"/>
    <n v="10"/>
    <n v="3409.5"/>
  </r>
  <r>
    <x v="4"/>
    <x v="2"/>
    <x v="3"/>
    <x v="2"/>
    <x v="403"/>
    <n v="799.95"/>
    <n v="9"/>
    <n v="7199.55"/>
  </r>
  <r>
    <x v="0"/>
    <x v="0"/>
    <x v="0"/>
    <x v="2"/>
    <x v="283"/>
    <n v="340.95"/>
    <n v="15"/>
    <n v="5114.25"/>
  </r>
  <r>
    <x v="3"/>
    <x v="3"/>
    <x v="1"/>
    <x v="2"/>
    <x v="276"/>
    <n v="79.989999999999995"/>
    <n v="3"/>
    <n v="239.96999999999997"/>
  </r>
  <r>
    <x v="6"/>
    <x v="4"/>
    <x v="2"/>
    <x v="3"/>
    <x v="65"/>
    <n v="340.95"/>
    <n v="13"/>
    <n v="4432.3499999999995"/>
  </r>
  <r>
    <x v="0"/>
    <x v="4"/>
    <x v="0"/>
    <x v="0"/>
    <x v="247"/>
    <n v="340.95"/>
    <n v="12"/>
    <n v="4091.3999999999996"/>
  </r>
  <r>
    <x v="5"/>
    <x v="4"/>
    <x v="2"/>
    <x v="1"/>
    <x v="404"/>
    <n v="340.95"/>
    <n v="13"/>
    <n v="4432.3499999999995"/>
  </r>
  <r>
    <x v="4"/>
    <x v="3"/>
    <x v="3"/>
    <x v="0"/>
    <x v="405"/>
    <n v="79.989999999999995"/>
    <n v="11"/>
    <n v="879.89"/>
  </r>
  <r>
    <x v="8"/>
    <x v="2"/>
    <x v="1"/>
    <x v="4"/>
    <x v="406"/>
    <n v="799.95"/>
    <n v="9"/>
    <n v="7199.55"/>
  </r>
  <r>
    <x v="1"/>
    <x v="0"/>
    <x v="1"/>
    <x v="0"/>
    <x v="292"/>
    <n v="340.95"/>
    <n v="19"/>
    <n v="6478.05"/>
  </r>
  <r>
    <x v="3"/>
    <x v="2"/>
    <x v="1"/>
    <x v="1"/>
    <x v="407"/>
    <n v="799.95"/>
    <n v="7"/>
    <n v="5599.6500000000005"/>
  </r>
  <r>
    <x v="9"/>
    <x v="0"/>
    <x v="1"/>
    <x v="1"/>
    <x v="408"/>
    <n v="340.95"/>
    <n v="11"/>
    <n v="3750.45"/>
  </r>
  <r>
    <x v="0"/>
    <x v="1"/>
    <x v="0"/>
    <x v="1"/>
    <x v="178"/>
    <n v="168.95"/>
    <n v="1"/>
    <n v="168.95"/>
  </r>
  <r>
    <x v="4"/>
    <x v="4"/>
    <x v="3"/>
    <x v="2"/>
    <x v="409"/>
    <n v="340.95"/>
    <n v="12"/>
    <n v="4091.3999999999996"/>
  </r>
  <r>
    <x v="10"/>
    <x v="0"/>
    <x v="2"/>
    <x v="4"/>
    <x v="396"/>
    <n v="340.95"/>
    <n v="1"/>
    <n v="340.95"/>
  </r>
  <r>
    <x v="0"/>
    <x v="3"/>
    <x v="0"/>
    <x v="3"/>
    <x v="410"/>
    <n v="79.989999999999995"/>
    <n v="5"/>
    <n v="399.95"/>
  </r>
  <r>
    <x v="1"/>
    <x v="4"/>
    <x v="1"/>
    <x v="2"/>
    <x v="155"/>
    <n v="340.95"/>
    <n v="11"/>
    <n v="3750.45"/>
  </r>
  <r>
    <x v="9"/>
    <x v="4"/>
    <x v="1"/>
    <x v="0"/>
    <x v="411"/>
    <n v="340.95"/>
    <n v="13"/>
    <n v="4432.3499999999995"/>
  </r>
  <r>
    <x v="3"/>
    <x v="2"/>
    <x v="1"/>
    <x v="1"/>
    <x v="164"/>
    <n v="799.95"/>
    <n v="12"/>
    <n v="9599.4000000000015"/>
  </r>
  <r>
    <x v="10"/>
    <x v="0"/>
    <x v="2"/>
    <x v="2"/>
    <x v="412"/>
    <n v="340.95"/>
    <n v="12"/>
    <n v="4091.3999999999996"/>
  </r>
  <r>
    <x v="7"/>
    <x v="3"/>
    <x v="0"/>
    <x v="4"/>
    <x v="413"/>
    <n v="79.989999999999995"/>
    <n v="4"/>
    <n v="319.95999999999998"/>
  </r>
  <r>
    <x v="7"/>
    <x v="2"/>
    <x v="0"/>
    <x v="1"/>
    <x v="414"/>
    <n v="799.95"/>
    <n v="10"/>
    <n v="7999.5"/>
  </r>
  <r>
    <x v="5"/>
    <x v="2"/>
    <x v="2"/>
    <x v="3"/>
    <x v="353"/>
    <n v="799.95"/>
    <n v="9"/>
    <n v="7199.55"/>
  </r>
  <r>
    <x v="0"/>
    <x v="0"/>
    <x v="0"/>
    <x v="3"/>
    <x v="391"/>
    <n v="340.95"/>
    <n v="2"/>
    <n v="681.9"/>
  </r>
  <r>
    <x v="3"/>
    <x v="1"/>
    <x v="1"/>
    <x v="4"/>
    <x v="211"/>
    <n v="168.95"/>
    <n v="7"/>
    <n v="1182.6499999999999"/>
  </r>
  <r>
    <x v="4"/>
    <x v="1"/>
    <x v="3"/>
    <x v="3"/>
    <x v="299"/>
    <n v="168.95"/>
    <n v="4"/>
    <n v="675.8"/>
  </r>
  <r>
    <x v="3"/>
    <x v="2"/>
    <x v="1"/>
    <x v="4"/>
    <x v="340"/>
    <n v="799.95"/>
    <n v="14"/>
    <n v="11199.300000000001"/>
  </r>
  <r>
    <x v="11"/>
    <x v="2"/>
    <x v="3"/>
    <x v="4"/>
    <x v="14"/>
    <n v="799.95"/>
    <n v="3"/>
    <n v="2399.8500000000004"/>
  </r>
  <r>
    <x v="9"/>
    <x v="0"/>
    <x v="1"/>
    <x v="2"/>
    <x v="152"/>
    <n v="340.95"/>
    <n v="7"/>
    <n v="2386.65"/>
  </r>
  <r>
    <x v="8"/>
    <x v="4"/>
    <x v="0"/>
    <x v="0"/>
    <x v="102"/>
    <n v="340.95"/>
    <n v="17"/>
    <n v="5796.15"/>
  </r>
  <r>
    <x v="0"/>
    <x v="3"/>
    <x v="0"/>
    <x v="2"/>
    <x v="189"/>
    <n v="79.989999999999995"/>
    <n v="11"/>
    <n v="879.89"/>
  </r>
  <r>
    <x v="2"/>
    <x v="0"/>
    <x v="2"/>
    <x v="3"/>
    <x v="164"/>
    <n v="340.95"/>
    <n v="13"/>
    <n v="4432.3499999999995"/>
  </r>
  <r>
    <x v="3"/>
    <x v="1"/>
    <x v="1"/>
    <x v="0"/>
    <x v="148"/>
    <n v="168.95"/>
    <n v="9"/>
    <n v="1520.55"/>
  </r>
  <r>
    <x v="10"/>
    <x v="0"/>
    <x v="2"/>
    <x v="1"/>
    <x v="109"/>
    <n v="340.95"/>
    <n v="2"/>
    <n v="681.9"/>
  </r>
  <r>
    <x v="0"/>
    <x v="1"/>
    <x v="0"/>
    <x v="2"/>
    <x v="415"/>
    <n v="168.95"/>
    <n v="12"/>
    <n v="2027.3999999999999"/>
  </r>
  <r>
    <x v="5"/>
    <x v="1"/>
    <x v="2"/>
    <x v="3"/>
    <x v="416"/>
    <n v="168.95"/>
    <n v="2"/>
    <n v="337.9"/>
  </r>
  <r>
    <x v="8"/>
    <x v="1"/>
    <x v="1"/>
    <x v="2"/>
    <x v="266"/>
    <n v="168.95"/>
    <n v="8"/>
    <n v="1351.6"/>
  </r>
  <r>
    <x v="3"/>
    <x v="1"/>
    <x v="1"/>
    <x v="4"/>
    <x v="150"/>
    <n v="168.95"/>
    <n v="1"/>
    <n v="168.95"/>
  </r>
  <r>
    <x v="4"/>
    <x v="3"/>
    <x v="3"/>
    <x v="4"/>
    <x v="278"/>
    <n v="79.989999999999995"/>
    <n v="1"/>
    <n v="79.989999999999995"/>
  </r>
  <r>
    <x v="4"/>
    <x v="4"/>
    <x v="3"/>
    <x v="2"/>
    <x v="56"/>
    <n v="340.95"/>
    <n v="7"/>
    <n v="2386.65"/>
  </r>
  <r>
    <x v="11"/>
    <x v="2"/>
    <x v="3"/>
    <x v="0"/>
    <x v="417"/>
    <n v="799.95"/>
    <n v="13"/>
    <n v="10399.35"/>
  </r>
  <r>
    <x v="0"/>
    <x v="3"/>
    <x v="0"/>
    <x v="3"/>
    <x v="6"/>
    <n v="79.989999999999995"/>
    <n v="6"/>
    <n v="479.93999999999994"/>
  </r>
  <r>
    <x v="1"/>
    <x v="1"/>
    <x v="1"/>
    <x v="1"/>
    <x v="418"/>
    <n v="168.95"/>
    <n v="12"/>
    <n v="2027.3999999999999"/>
  </r>
  <r>
    <x v="5"/>
    <x v="0"/>
    <x v="2"/>
    <x v="1"/>
    <x v="50"/>
    <n v="340.95"/>
    <n v="8"/>
    <n v="2727.6"/>
  </r>
  <r>
    <x v="3"/>
    <x v="4"/>
    <x v="1"/>
    <x v="2"/>
    <x v="93"/>
    <n v="340.95"/>
    <n v="7"/>
    <n v="2386.65"/>
  </r>
  <r>
    <x v="6"/>
    <x v="1"/>
    <x v="2"/>
    <x v="2"/>
    <x v="211"/>
    <n v="168.95"/>
    <n v="5"/>
    <n v="844.75"/>
  </r>
  <r>
    <x v="5"/>
    <x v="1"/>
    <x v="2"/>
    <x v="4"/>
    <x v="419"/>
    <n v="168.95"/>
    <n v="15"/>
    <n v="2534.25"/>
  </r>
  <r>
    <x v="7"/>
    <x v="4"/>
    <x v="0"/>
    <x v="0"/>
    <x v="420"/>
    <n v="340.95"/>
    <n v="16"/>
    <n v="5455.2"/>
  </r>
  <r>
    <x v="8"/>
    <x v="4"/>
    <x v="0"/>
    <x v="4"/>
    <x v="421"/>
    <n v="340.95"/>
    <n v="15"/>
    <n v="5114.25"/>
  </r>
  <r>
    <x v="10"/>
    <x v="1"/>
    <x v="2"/>
    <x v="2"/>
    <x v="163"/>
    <n v="168.95"/>
    <n v="3"/>
    <n v="506.84999999999997"/>
  </r>
  <r>
    <x v="0"/>
    <x v="2"/>
    <x v="0"/>
    <x v="3"/>
    <x v="372"/>
    <n v="799.95"/>
    <n v="11"/>
    <n v="8799.4500000000007"/>
  </r>
  <r>
    <x v="11"/>
    <x v="0"/>
    <x v="3"/>
    <x v="1"/>
    <x v="162"/>
    <n v="340.95"/>
    <n v="8"/>
    <n v="2727.6"/>
  </r>
  <r>
    <x v="4"/>
    <x v="4"/>
    <x v="3"/>
    <x v="2"/>
    <x v="344"/>
    <n v="340.95"/>
    <n v="13"/>
    <n v="4432.3499999999995"/>
  </r>
  <r>
    <x v="3"/>
    <x v="4"/>
    <x v="1"/>
    <x v="2"/>
    <x v="422"/>
    <n v="340.95"/>
    <n v="2"/>
    <n v="681.9"/>
  </r>
  <r>
    <x v="11"/>
    <x v="1"/>
    <x v="3"/>
    <x v="2"/>
    <x v="423"/>
    <n v="168.95"/>
    <n v="3"/>
    <n v="506.84999999999997"/>
  </r>
  <r>
    <x v="2"/>
    <x v="3"/>
    <x v="2"/>
    <x v="1"/>
    <x v="262"/>
    <n v="79.989999999999995"/>
    <n v="7"/>
    <n v="559.92999999999995"/>
  </r>
  <r>
    <x v="0"/>
    <x v="4"/>
    <x v="0"/>
    <x v="0"/>
    <x v="180"/>
    <n v="340.95"/>
    <n v="12"/>
    <n v="4091.3999999999996"/>
  </r>
  <r>
    <x v="6"/>
    <x v="2"/>
    <x v="2"/>
    <x v="0"/>
    <x v="204"/>
    <n v="799.95"/>
    <n v="12"/>
    <n v="9599.4000000000015"/>
  </r>
  <r>
    <x v="8"/>
    <x v="2"/>
    <x v="1"/>
    <x v="1"/>
    <x v="255"/>
    <n v="799.95"/>
    <n v="11"/>
    <n v="8799.4500000000007"/>
  </r>
  <r>
    <x v="5"/>
    <x v="2"/>
    <x v="2"/>
    <x v="0"/>
    <x v="424"/>
    <n v="799.95"/>
    <n v="8"/>
    <n v="6399.6"/>
  </r>
  <r>
    <x v="5"/>
    <x v="2"/>
    <x v="2"/>
    <x v="0"/>
    <x v="425"/>
    <n v="799.95"/>
    <n v="7"/>
    <n v="5599.6500000000005"/>
  </r>
  <r>
    <x v="9"/>
    <x v="3"/>
    <x v="1"/>
    <x v="0"/>
    <x v="212"/>
    <n v="79.989999999999995"/>
    <n v="15"/>
    <n v="1199.8499999999999"/>
  </r>
  <r>
    <x v="10"/>
    <x v="2"/>
    <x v="2"/>
    <x v="1"/>
    <x v="239"/>
    <n v="799.95"/>
    <n v="8"/>
    <n v="6399.6"/>
  </r>
  <r>
    <x v="4"/>
    <x v="3"/>
    <x v="3"/>
    <x v="1"/>
    <x v="426"/>
    <n v="79.989999999999995"/>
    <n v="9"/>
    <n v="719.91"/>
  </r>
  <r>
    <x v="10"/>
    <x v="3"/>
    <x v="2"/>
    <x v="2"/>
    <x v="427"/>
    <n v="79.989999999999995"/>
    <n v="3"/>
    <n v="239.96999999999997"/>
  </r>
  <r>
    <x v="6"/>
    <x v="3"/>
    <x v="2"/>
    <x v="3"/>
    <x v="164"/>
    <n v="79.989999999999995"/>
    <n v="13"/>
    <n v="1039.8699999999999"/>
  </r>
  <r>
    <x v="11"/>
    <x v="4"/>
    <x v="3"/>
    <x v="4"/>
    <x v="162"/>
    <n v="340.95"/>
    <n v="5"/>
    <n v="1704.75"/>
  </r>
  <r>
    <x v="6"/>
    <x v="4"/>
    <x v="2"/>
    <x v="4"/>
    <x v="428"/>
    <n v="340.95"/>
    <n v="6"/>
    <n v="2045.6999999999998"/>
  </r>
  <r>
    <x v="5"/>
    <x v="0"/>
    <x v="2"/>
    <x v="0"/>
    <x v="67"/>
    <n v="340.95"/>
    <n v="6"/>
    <n v="2045.6999999999998"/>
  </r>
  <r>
    <x v="5"/>
    <x v="2"/>
    <x v="2"/>
    <x v="1"/>
    <x v="429"/>
    <n v="799.95"/>
    <n v="5"/>
    <n v="3999.75"/>
  </r>
  <r>
    <x v="1"/>
    <x v="4"/>
    <x v="1"/>
    <x v="2"/>
    <x v="66"/>
    <n v="340.95"/>
    <n v="11"/>
    <n v="3750.45"/>
  </r>
  <r>
    <x v="3"/>
    <x v="0"/>
    <x v="1"/>
    <x v="2"/>
    <x v="264"/>
    <n v="340.95"/>
    <n v="7"/>
    <n v="2386.65"/>
  </r>
  <r>
    <x v="11"/>
    <x v="0"/>
    <x v="3"/>
    <x v="4"/>
    <x v="239"/>
    <n v="340.95"/>
    <n v="9"/>
    <n v="3068.5499999999997"/>
  </r>
  <r>
    <x v="6"/>
    <x v="3"/>
    <x v="2"/>
    <x v="1"/>
    <x v="171"/>
    <n v="79.989999999999995"/>
    <n v="8"/>
    <n v="639.91999999999996"/>
  </r>
  <r>
    <x v="2"/>
    <x v="0"/>
    <x v="2"/>
    <x v="2"/>
    <x v="187"/>
    <n v="340.95"/>
    <n v="1"/>
    <n v="340.95"/>
  </r>
  <r>
    <x v="1"/>
    <x v="1"/>
    <x v="1"/>
    <x v="1"/>
    <x v="192"/>
    <n v="168.95"/>
    <n v="11"/>
    <n v="1858.4499999999998"/>
  </r>
  <r>
    <x v="8"/>
    <x v="3"/>
    <x v="1"/>
    <x v="2"/>
    <x v="188"/>
    <n v="79.989999999999995"/>
    <n v="12"/>
    <n v="959.87999999999988"/>
  </r>
  <r>
    <x v="3"/>
    <x v="3"/>
    <x v="1"/>
    <x v="0"/>
    <x v="212"/>
    <n v="79.989999999999995"/>
    <n v="20"/>
    <n v="1599.8"/>
  </r>
  <r>
    <x v="0"/>
    <x v="0"/>
    <x v="0"/>
    <x v="4"/>
    <x v="34"/>
    <n v="340.95"/>
    <n v="3"/>
    <n v="1022.8499999999999"/>
  </r>
  <r>
    <x v="7"/>
    <x v="2"/>
    <x v="0"/>
    <x v="2"/>
    <x v="117"/>
    <n v="799.95"/>
    <n v="2"/>
    <n v="1599.9"/>
  </r>
  <r>
    <x v="0"/>
    <x v="0"/>
    <x v="0"/>
    <x v="0"/>
    <x v="259"/>
    <n v="340.95"/>
    <n v="7"/>
    <n v="2386.65"/>
  </r>
  <r>
    <x v="7"/>
    <x v="2"/>
    <x v="0"/>
    <x v="1"/>
    <x v="140"/>
    <n v="799.95"/>
    <n v="4"/>
    <n v="3199.8"/>
  </r>
  <r>
    <x v="9"/>
    <x v="4"/>
    <x v="1"/>
    <x v="0"/>
    <x v="95"/>
    <n v="340.95"/>
    <n v="14"/>
    <n v="4773.3"/>
  </r>
  <r>
    <x v="10"/>
    <x v="3"/>
    <x v="2"/>
    <x v="0"/>
    <x v="141"/>
    <n v="79.989999999999995"/>
    <n v="9"/>
    <n v="719.91"/>
  </r>
  <r>
    <x v="3"/>
    <x v="2"/>
    <x v="1"/>
    <x v="2"/>
    <x v="30"/>
    <n v="799.95"/>
    <n v="3"/>
    <n v="2399.8500000000004"/>
  </r>
  <r>
    <x v="6"/>
    <x v="1"/>
    <x v="2"/>
    <x v="3"/>
    <x v="347"/>
    <n v="168.95"/>
    <n v="1"/>
    <n v="168.95"/>
  </r>
  <r>
    <x v="5"/>
    <x v="3"/>
    <x v="2"/>
    <x v="1"/>
    <x v="71"/>
    <n v="79.989999999999995"/>
    <n v="14"/>
    <n v="1119.8599999999999"/>
  </r>
  <r>
    <x v="8"/>
    <x v="1"/>
    <x v="1"/>
    <x v="0"/>
    <x v="24"/>
    <n v="168.95"/>
    <n v="14"/>
    <n v="2365.2999999999997"/>
  </r>
  <r>
    <x v="5"/>
    <x v="1"/>
    <x v="2"/>
    <x v="3"/>
    <x v="185"/>
    <n v="168.95"/>
    <n v="13"/>
    <n v="2196.35"/>
  </r>
  <r>
    <x v="1"/>
    <x v="3"/>
    <x v="1"/>
    <x v="1"/>
    <x v="430"/>
    <n v="79.989999999999995"/>
    <n v="11"/>
    <n v="879.89"/>
  </r>
  <r>
    <x v="2"/>
    <x v="2"/>
    <x v="2"/>
    <x v="2"/>
    <x v="431"/>
    <n v="799.95"/>
    <n v="10"/>
    <n v="7999.5"/>
  </r>
  <r>
    <x v="0"/>
    <x v="4"/>
    <x v="0"/>
    <x v="2"/>
    <x v="233"/>
    <n v="340.95"/>
    <n v="9"/>
    <n v="3068.5499999999997"/>
  </r>
  <r>
    <x v="0"/>
    <x v="1"/>
    <x v="0"/>
    <x v="1"/>
    <x v="135"/>
    <n v="168.95"/>
    <n v="11"/>
    <n v="1858.4499999999998"/>
  </r>
  <r>
    <x v="8"/>
    <x v="2"/>
    <x v="1"/>
    <x v="0"/>
    <x v="432"/>
    <n v="799.95"/>
    <n v="19"/>
    <n v="15199.050000000001"/>
  </r>
  <r>
    <x v="10"/>
    <x v="1"/>
    <x v="2"/>
    <x v="3"/>
    <x v="293"/>
    <n v="168.95"/>
    <n v="2"/>
    <n v="337.9"/>
  </r>
  <r>
    <x v="1"/>
    <x v="1"/>
    <x v="1"/>
    <x v="3"/>
    <x v="109"/>
    <n v="168.95"/>
    <n v="7"/>
    <n v="1182.6499999999999"/>
  </r>
  <r>
    <x v="0"/>
    <x v="1"/>
    <x v="0"/>
    <x v="0"/>
    <x v="433"/>
    <n v="168.95"/>
    <n v="13"/>
    <n v="2196.35"/>
  </r>
  <r>
    <x v="7"/>
    <x v="4"/>
    <x v="0"/>
    <x v="2"/>
    <x v="428"/>
    <n v="340.95"/>
    <n v="3"/>
    <n v="1022.8499999999999"/>
  </r>
  <r>
    <x v="2"/>
    <x v="0"/>
    <x v="2"/>
    <x v="3"/>
    <x v="57"/>
    <n v="340.95"/>
    <n v="6"/>
    <n v="2045.6999999999998"/>
  </r>
  <r>
    <x v="10"/>
    <x v="3"/>
    <x v="2"/>
    <x v="3"/>
    <x v="434"/>
    <n v="79.989999999999995"/>
    <n v="1"/>
    <n v="79.989999999999995"/>
  </r>
  <r>
    <x v="6"/>
    <x v="0"/>
    <x v="2"/>
    <x v="1"/>
    <x v="151"/>
    <n v="340.95"/>
    <n v="12"/>
    <n v="4091.3999999999996"/>
  </r>
  <r>
    <x v="1"/>
    <x v="3"/>
    <x v="1"/>
    <x v="0"/>
    <x v="398"/>
    <n v="79.989999999999995"/>
    <n v="19"/>
    <n v="1519.81"/>
  </r>
  <r>
    <x v="10"/>
    <x v="3"/>
    <x v="2"/>
    <x v="3"/>
    <x v="295"/>
    <n v="79.989999999999995"/>
    <n v="13"/>
    <n v="1039.8699999999999"/>
  </r>
  <r>
    <x v="0"/>
    <x v="4"/>
    <x v="0"/>
    <x v="0"/>
    <x v="388"/>
    <n v="340.95"/>
    <n v="11"/>
    <n v="3750.45"/>
  </r>
  <r>
    <x v="2"/>
    <x v="0"/>
    <x v="2"/>
    <x v="3"/>
    <x v="236"/>
    <n v="340.95"/>
    <n v="2"/>
    <n v="681.9"/>
  </r>
  <r>
    <x v="3"/>
    <x v="1"/>
    <x v="1"/>
    <x v="0"/>
    <x v="57"/>
    <n v="168.95"/>
    <n v="13"/>
    <n v="2196.35"/>
  </r>
  <r>
    <x v="4"/>
    <x v="3"/>
    <x v="3"/>
    <x v="4"/>
    <x v="12"/>
    <n v="79.989999999999995"/>
    <n v="1"/>
    <n v="79.989999999999995"/>
  </r>
  <r>
    <x v="1"/>
    <x v="0"/>
    <x v="1"/>
    <x v="0"/>
    <x v="67"/>
    <n v="340.95"/>
    <n v="19"/>
    <n v="6478.05"/>
  </r>
  <r>
    <x v="3"/>
    <x v="1"/>
    <x v="1"/>
    <x v="0"/>
    <x v="105"/>
    <n v="168.95"/>
    <n v="6"/>
    <n v="1013.6999999999999"/>
  </r>
  <r>
    <x v="9"/>
    <x v="0"/>
    <x v="1"/>
    <x v="1"/>
    <x v="329"/>
    <n v="340.95"/>
    <n v="13"/>
    <n v="4432.3499999999995"/>
  </r>
  <r>
    <x v="5"/>
    <x v="1"/>
    <x v="2"/>
    <x v="1"/>
    <x v="64"/>
    <n v="168.95"/>
    <n v="15"/>
    <n v="2534.25"/>
  </r>
  <r>
    <x v="3"/>
    <x v="1"/>
    <x v="1"/>
    <x v="4"/>
    <x v="134"/>
    <n v="168.95"/>
    <n v="15"/>
    <n v="2534.25"/>
  </r>
  <r>
    <x v="6"/>
    <x v="3"/>
    <x v="2"/>
    <x v="0"/>
    <x v="435"/>
    <n v="79.989999999999995"/>
    <n v="8"/>
    <n v="639.91999999999996"/>
  </r>
  <r>
    <x v="6"/>
    <x v="4"/>
    <x v="2"/>
    <x v="3"/>
    <x v="181"/>
    <n v="340.95"/>
    <n v="10"/>
    <n v="3409.5"/>
  </r>
  <r>
    <x v="1"/>
    <x v="3"/>
    <x v="1"/>
    <x v="0"/>
    <x v="182"/>
    <n v="79.989999999999995"/>
    <n v="7"/>
    <n v="559.92999999999995"/>
  </r>
  <r>
    <x v="9"/>
    <x v="2"/>
    <x v="1"/>
    <x v="3"/>
    <x v="429"/>
    <n v="799.95"/>
    <n v="8"/>
    <n v="6399.6"/>
  </r>
  <r>
    <x v="3"/>
    <x v="0"/>
    <x v="1"/>
    <x v="3"/>
    <x v="199"/>
    <n v="340.95"/>
    <n v="4"/>
    <n v="1363.8"/>
  </r>
  <r>
    <x v="2"/>
    <x v="2"/>
    <x v="2"/>
    <x v="3"/>
    <x v="107"/>
    <n v="799.95"/>
    <n v="14"/>
    <n v="11199.300000000001"/>
  </r>
  <r>
    <x v="5"/>
    <x v="0"/>
    <x v="2"/>
    <x v="4"/>
    <x v="400"/>
    <n v="340.95"/>
    <n v="13"/>
    <n v="4432.3499999999995"/>
  </r>
  <r>
    <x v="9"/>
    <x v="2"/>
    <x v="1"/>
    <x v="3"/>
    <x v="404"/>
    <n v="799.95"/>
    <n v="14"/>
    <n v="11199.300000000001"/>
  </r>
  <r>
    <x v="9"/>
    <x v="0"/>
    <x v="1"/>
    <x v="0"/>
    <x v="274"/>
    <n v="340.95"/>
    <n v="18"/>
    <n v="6137.0999999999995"/>
  </r>
  <r>
    <x v="5"/>
    <x v="1"/>
    <x v="2"/>
    <x v="4"/>
    <x v="112"/>
    <n v="168.95"/>
    <n v="2"/>
    <n v="337.9"/>
  </r>
  <r>
    <x v="4"/>
    <x v="1"/>
    <x v="3"/>
    <x v="4"/>
    <x v="368"/>
    <n v="168.95"/>
    <n v="8"/>
    <n v="1351.6"/>
  </r>
  <r>
    <x v="6"/>
    <x v="0"/>
    <x v="2"/>
    <x v="0"/>
    <x v="83"/>
    <n v="340.95"/>
    <n v="13"/>
    <n v="4432.3499999999995"/>
  </r>
  <r>
    <x v="5"/>
    <x v="3"/>
    <x v="2"/>
    <x v="2"/>
    <x v="88"/>
    <n v="79.989999999999995"/>
    <n v="7"/>
    <n v="559.92999999999995"/>
  </r>
  <r>
    <x v="5"/>
    <x v="2"/>
    <x v="2"/>
    <x v="3"/>
    <x v="409"/>
    <n v="799.95"/>
    <n v="10"/>
    <n v="7999.5"/>
  </r>
  <r>
    <x v="2"/>
    <x v="1"/>
    <x v="2"/>
    <x v="2"/>
    <x v="419"/>
    <n v="168.95"/>
    <n v="14"/>
    <n v="2365.2999999999997"/>
  </r>
  <r>
    <x v="6"/>
    <x v="2"/>
    <x v="2"/>
    <x v="3"/>
    <x v="60"/>
    <n v="799.95"/>
    <n v="13"/>
    <n v="10399.35"/>
  </r>
  <r>
    <x v="5"/>
    <x v="2"/>
    <x v="2"/>
    <x v="3"/>
    <x v="436"/>
    <n v="799.95"/>
    <n v="5"/>
    <n v="3999.75"/>
  </r>
  <r>
    <x v="3"/>
    <x v="3"/>
    <x v="1"/>
    <x v="0"/>
    <x v="57"/>
    <n v="79.989999999999995"/>
    <n v="14"/>
    <n v="1119.8599999999999"/>
  </r>
  <r>
    <x v="3"/>
    <x v="0"/>
    <x v="1"/>
    <x v="1"/>
    <x v="408"/>
    <n v="340.95"/>
    <n v="11"/>
    <n v="3750.45"/>
  </r>
  <r>
    <x v="7"/>
    <x v="1"/>
    <x v="0"/>
    <x v="0"/>
    <x v="143"/>
    <n v="168.95"/>
    <n v="6"/>
    <n v="1013.6999999999999"/>
  </r>
  <r>
    <x v="5"/>
    <x v="0"/>
    <x v="2"/>
    <x v="0"/>
    <x v="211"/>
    <n v="340.95"/>
    <n v="11"/>
    <n v="3750.45"/>
  </r>
  <r>
    <x v="0"/>
    <x v="4"/>
    <x v="0"/>
    <x v="4"/>
    <x v="8"/>
    <n v="340.95"/>
    <n v="2"/>
    <n v="681.9"/>
  </r>
  <r>
    <x v="0"/>
    <x v="4"/>
    <x v="0"/>
    <x v="4"/>
    <x v="314"/>
    <n v="340.95"/>
    <n v="8"/>
    <n v="2727.6"/>
  </r>
  <r>
    <x v="1"/>
    <x v="0"/>
    <x v="1"/>
    <x v="2"/>
    <x v="437"/>
    <n v="340.95"/>
    <n v="13"/>
    <n v="4432.3499999999995"/>
  </r>
  <r>
    <x v="9"/>
    <x v="0"/>
    <x v="1"/>
    <x v="3"/>
    <x v="284"/>
    <n v="340.95"/>
    <n v="2"/>
    <n v="681.9"/>
  </r>
  <r>
    <x v="10"/>
    <x v="4"/>
    <x v="2"/>
    <x v="2"/>
    <x v="438"/>
    <n v="340.95"/>
    <n v="7"/>
    <n v="2386.65"/>
  </r>
  <r>
    <x v="0"/>
    <x v="0"/>
    <x v="0"/>
    <x v="1"/>
    <x v="439"/>
    <n v="340.95"/>
    <n v="10"/>
    <n v="3409.5"/>
  </r>
  <r>
    <x v="3"/>
    <x v="2"/>
    <x v="1"/>
    <x v="3"/>
    <x v="407"/>
    <n v="799.95"/>
    <n v="10"/>
    <n v="7999.5"/>
  </r>
  <r>
    <x v="1"/>
    <x v="0"/>
    <x v="1"/>
    <x v="0"/>
    <x v="440"/>
    <n v="340.95"/>
    <n v="11"/>
    <n v="3750.45"/>
  </r>
  <r>
    <x v="4"/>
    <x v="1"/>
    <x v="3"/>
    <x v="2"/>
    <x v="441"/>
    <n v="168.95"/>
    <n v="4"/>
    <n v="675.8"/>
  </r>
  <r>
    <x v="2"/>
    <x v="0"/>
    <x v="2"/>
    <x v="4"/>
    <x v="5"/>
    <n v="340.95"/>
    <n v="6"/>
    <n v="2045.6999999999998"/>
  </r>
  <r>
    <x v="0"/>
    <x v="3"/>
    <x v="0"/>
    <x v="1"/>
    <x v="126"/>
    <n v="79.989999999999995"/>
    <n v="2"/>
    <n v="159.97999999999999"/>
  </r>
  <r>
    <x v="5"/>
    <x v="1"/>
    <x v="2"/>
    <x v="3"/>
    <x v="97"/>
    <n v="168.95"/>
    <n v="1"/>
    <n v="168.95"/>
  </r>
  <r>
    <x v="5"/>
    <x v="4"/>
    <x v="2"/>
    <x v="2"/>
    <x v="95"/>
    <n v="340.95"/>
    <n v="1"/>
    <n v="340.95"/>
  </r>
  <r>
    <x v="2"/>
    <x v="4"/>
    <x v="2"/>
    <x v="1"/>
    <x v="214"/>
    <n v="340.95"/>
    <n v="1"/>
    <n v="340.95"/>
  </r>
  <r>
    <x v="11"/>
    <x v="1"/>
    <x v="3"/>
    <x v="1"/>
    <x v="442"/>
    <n v="168.95"/>
    <n v="3"/>
    <n v="506.84999999999997"/>
  </r>
  <r>
    <x v="3"/>
    <x v="4"/>
    <x v="1"/>
    <x v="3"/>
    <x v="443"/>
    <n v="340.95"/>
    <n v="10"/>
    <n v="3409.5"/>
  </r>
  <r>
    <x v="4"/>
    <x v="3"/>
    <x v="3"/>
    <x v="1"/>
    <x v="444"/>
    <n v="79.989999999999995"/>
    <n v="10"/>
    <n v="799.9"/>
  </r>
  <r>
    <x v="9"/>
    <x v="4"/>
    <x v="1"/>
    <x v="3"/>
    <x v="40"/>
    <n v="340.95"/>
    <n v="6"/>
    <n v="2045.6999999999998"/>
  </r>
  <r>
    <x v="3"/>
    <x v="4"/>
    <x v="1"/>
    <x v="0"/>
    <x v="304"/>
    <n v="340.95"/>
    <n v="17"/>
    <n v="5796.15"/>
  </r>
  <r>
    <x v="11"/>
    <x v="4"/>
    <x v="3"/>
    <x v="4"/>
    <x v="278"/>
    <n v="340.95"/>
    <n v="10"/>
    <n v="3409.5"/>
  </r>
  <r>
    <x v="2"/>
    <x v="1"/>
    <x v="2"/>
    <x v="3"/>
    <x v="225"/>
    <n v="168.95"/>
    <n v="3"/>
    <n v="506.84999999999997"/>
  </r>
  <r>
    <x v="3"/>
    <x v="2"/>
    <x v="1"/>
    <x v="1"/>
    <x v="186"/>
    <n v="799.95"/>
    <n v="5"/>
    <n v="3999.75"/>
  </r>
  <r>
    <x v="9"/>
    <x v="0"/>
    <x v="1"/>
    <x v="0"/>
    <x v="445"/>
    <n v="340.95"/>
    <n v="16"/>
    <n v="5455.2"/>
  </r>
  <r>
    <x v="8"/>
    <x v="2"/>
    <x v="1"/>
    <x v="0"/>
    <x v="446"/>
    <n v="799.95"/>
    <n v="11"/>
    <n v="8799.4500000000007"/>
  </r>
  <r>
    <x v="5"/>
    <x v="3"/>
    <x v="2"/>
    <x v="1"/>
    <x v="157"/>
    <n v="79.989999999999995"/>
    <n v="8"/>
    <n v="639.91999999999996"/>
  </r>
  <r>
    <x v="3"/>
    <x v="2"/>
    <x v="1"/>
    <x v="3"/>
    <x v="447"/>
    <n v="799.95"/>
    <n v="4"/>
    <n v="3199.8"/>
  </r>
  <r>
    <x v="3"/>
    <x v="4"/>
    <x v="1"/>
    <x v="1"/>
    <x v="20"/>
    <n v="340.95"/>
    <n v="7"/>
    <n v="2386.65"/>
  </r>
  <r>
    <x v="4"/>
    <x v="0"/>
    <x v="3"/>
    <x v="1"/>
    <x v="41"/>
    <n v="340.95"/>
    <n v="9"/>
    <n v="3068.5499999999997"/>
  </r>
  <r>
    <x v="4"/>
    <x v="4"/>
    <x v="3"/>
    <x v="2"/>
    <x v="383"/>
    <n v="340.95"/>
    <n v="4"/>
    <n v="1363.8"/>
  </r>
  <r>
    <x v="3"/>
    <x v="3"/>
    <x v="1"/>
    <x v="0"/>
    <x v="268"/>
    <n v="79.989999999999995"/>
    <n v="12"/>
    <n v="959.87999999999988"/>
  </r>
  <r>
    <x v="8"/>
    <x v="3"/>
    <x v="1"/>
    <x v="4"/>
    <x v="448"/>
    <n v="79.989999999999995"/>
    <n v="12"/>
    <n v="959.87999999999988"/>
  </r>
  <r>
    <x v="9"/>
    <x v="4"/>
    <x v="1"/>
    <x v="1"/>
    <x v="376"/>
    <n v="340.95"/>
    <n v="5"/>
    <n v="1704.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3" minRefreshableVersion="3" useAutoFormatting="1" itemPrintTitles="1" createdVersion="6" indent="0" compact="0" compactData="0" multipleFieldFilters="0">
  <location ref="K25:Q39" firstHeaderRow="1" firstDataRow="2" firstDataCol="1"/>
  <pivotFields count="8">
    <pivotField axis="axisRow" compact="0" outline="0" showAll="0" defaultSubtotal="0">
      <items count="12">
        <item x="8"/>
        <item x="11"/>
        <item x="0"/>
        <item x="10"/>
        <item x="2"/>
        <item x="1"/>
        <item x="6"/>
        <item x="9"/>
        <item x="7"/>
        <item x="4"/>
        <item x="5"/>
        <item x="3"/>
      </items>
    </pivotField>
    <pivotField axis="axisCol" compact="0" outline="0" showAll="0" defaultSubtotal="0">
      <items count="5">
        <item x="1"/>
        <item x="3"/>
        <item x="4"/>
        <item x="2"/>
        <item x="0"/>
      </items>
    </pivotField>
    <pivotField compact="0" outline="0" showAll="0" defaultSubtotal="0">
      <items count="4">
        <item x="1"/>
        <item x="0"/>
        <item x="3"/>
        <item x="2"/>
      </items>
    </pivotField>
    <pivotField compact="0" outline="0" showAll="0" defaultSubtotal="0">
      <items count="5">
        <item x="0"/>
        <item x="3"/>
        <item x="2"/>
        <item x="4"/>
        <item x="1"/>
      </items>
    </pivotField>
    <pivotField compact="0" numFmtId="14" outline="0" showAll="0" defaultSubtotal="0">
      <items count="449">
        <item x="243"/>
        <item x="235"/>
        <item x="210"/>
        <item x="13"/>
        <item x="149"/>
        <item x="119"/>
        <item x="21"/>
        <item x="103"/>
        <item x="366"/>
        <item x="327"/>
        <item x="232"/>
        <item x="237"/>
        <item x="430"/>
        <item x="259"/>
        <item x="78"/>
        <item x="407"/>
        <item x="94"/>
        <item x="85"/>
        <item x="217"/>
        <item x="382"/>
        <item x="304"/>
        <item x="289"/>
        <item x="218"/>
        <item x="84"/>
        <item x="57"/>
        <item x="190"/>
        <item x="192"/>
        <item x="212"/>
        <item x="197"/>
        <item x="130"/>
        <item x="184"/>
        <item x="385"/>
        <item x="75"/>
        <item x="361"/>
        <item x="299"/>
        <item x="444"/>
        <item x="49"/>
        <item x="230"/>
        <item x="380"/>
        <item x="31"/>
        <item x="8"/>
        <item x="38"/>
        <item x="77"/>
        <item x="66"/>
        <item x="377"/>
        <item x="418"/>
        <item x="396"/>
        <item x="445"/>
        <item x="272"/>
        <item x="364"/>
        <item x="250"/>
        <item x="365"/>
        <item x="224"/>
        <item x="63"/>
        <item x="34"/>
        <item x="249"/>
        <item x="227"/>
        <item x="17"/>
        <item x="215"/>
        <item x="442"/>
        <item x="48"/>
        <item x="61"/>
        <item x="257"/>
        <item x="188"/>
        <item x="346"/>
        <item x="342"/>
        <item x="379"/>
        <item x="236"/>
        <item x="301"/>
        <item x="264"/>
        <item x="337"/>
        <item x="29"/>
        <item x="282"/>
        <item x="252"/>
        <item x="317"/>
        <item x="196"/>
        <item x="175"/>
        <item x="410"/>
        <item x="330"/>
        <item x="310"/>
        <item x="155"/>
        <item x="397"/>
        <item x="419"/>
        <item x="7"/>
        <item x="182"/>
        <item x="135"/>
        <item x="170"/>
        <item x="285"/>
        <item x="303"/>
        <item x="242"/>
        <item x="52"/>
        <item x="95"/>
        <item x="436"/>
        <item x="271"/>
        <item x="121"/>
        <item x="309"/>
        <item x="167"/>
        <item x="22"/>
        <item x="411"/>
        <item x="82"/>
        <item x="274"/>
        <item x="116"/>
        <item x="248"/>
        <item x="30"/>
        <item x="98"/>
        <item x="255"/>
        <item x="183"/>
        <item x="241"/>
        <item x="137"/>
        <item x="109"/>
        <item x="2"/>
        <item x="372"/>
        <item x="6"/>
        <item x="296"/>
        <item x="288"/>
        <item x="275"/>
        <item x="14"/>
        <item x="329"/>
        <item x="422"/>
        <item x="161"/>
        <item x="358"/>
        <item x="404"/>
        <item x="28"/>
        <item x="152"/>
        <item x="281"/>
        <item x="131"/>
        <item x="335"/>
        <item x="46"/>
        <item x="368"/>
        <item x="194"/>
        <item x="440"/>
        <item x="443"/>
        <item x="320"/>
        <item x="45"/>
        <item x="429"/>
        <item x="113"/>
        <item x="1"/>
        <item x="81"/>
        <item x="313"/>
        <item x="406"/>
        <item x="421"/>
        <item x="112"/>
        <item x="302"/>
        <item x="173"/>
        <item x="387"/>
        <item x="53"/>
        <item x="447"/>
        <item x="268"/>
        <item x="163"/>
        <item x="129"/>
        <item x="448"/>
        <item x="126"/>
        <item x="352"/>
        <item x="405"/>
        <item x="59"/>
        <item x="89"/>
        <item x="107"/>
        <item x="101"/>
        <item x="16"/>
        <item x="239"/>
        <item x="339"/>
        <item x="71"/>
        <item x="409"/>
        <item x="307"/>
        <item x="90"/>
        <item x="138"/>
        <item x="441"/>
        <item x="374"/>
        <item x="108"/>
        <item x="290"/>
        <item x="67"/>
        <item x="68"/>
        <item x="373"/>
        <item x="56"/>
        <item x="336"/>
        <item x="345"/>
        <item x="83"/>
        <item x="87"/>
        <item x="244"/>
        <item x="40"/>
        <item x="355"/>
        <item x="162"/>
        <item x="216"/>
        <item x="136"/>
        <item x="134"/>
        <item x="353"/>
        <item x="351"/>
        <item x="273"/>
        <item x="19"/>
        <item x="179"/>
        <item x="256"/>
        <item x="200"/>
        <item x="295"/>
        <item x="111"/>
        <item x="114"/>
        <item x="168"/>
        <item x="79"/>
        <item x="36"/>
        <item x="292"/>
        <item x="117"/>
        <item x="340"/>
        <item x="42"/>
        <item x="102"/>
        <item x="176"/>
        <item x="319"/>
        <item x="0"/>
        <item x="204"/>
        <item x="437"/>
        <item x="389"/>
        <item x="384"/>
        <item x="222"/>
        <item x="88"/>
        <item x="214"/>
        <item x="297"/>
        <item x="417"/>
        <item x="240"/>
        <item x="413"/>
        <item x="25"/>
        <item x="298"/>
        <item x="398"/>
        <item x="123"/>
        <item x="39"/>
        <item x="12"/>
        <item x="341"/>
        <item x="41"/>
        <item x="5"/>
        <item x="64"/>
        <item x="277"/>
        <item x="284"/>
        <item x="316"/>
        <item x="207"/>
        <item x="100"/>
        <item x="174"/>
        <item x="318"/>
        <item x="187"/>
        <item x="344"/>
        <item x="80"/>
        <item x="55"/>
        <item x="106"/>
        <item x="414"/>
        <item x="169"/>
        <item x="338"/>
        <item x="399"/>
        <item x="58"/>
        <item x="154"/>
        <item x="4"/>
        <item x="291"/>
        <item x="332"/>
        <item x="76"/>
        <item x="205"/>
        <item x="247"/>
        <item x="26"/>
        <item x="359"/>
        <item x="208"/>
        <item x="392"/>
        <item x="283"/>
        <item x="280"/>
        <item x="269"/>
        <item x="191"/>
        <item x="254"/>
        <item x="428"/>
        <item x="266"/>
        <item x="408"/>
        <item x="412"/>
        <item x="99"/>
        <item x="286"/>
        <item x="151"/>
        <item x="65"/>
        <item x="383"/>
        <item x="201"/>
        <item x="219"/>
        <item x="434"/>
        <item x="431"/>
        <item x="245"/>
        <item x="370"/>
        <item x="326"/>
        <item x="362"/>
        <item x="141"/>
        <item x="209"/>
        <item x="349"/>
        <item x="220"/>
        <item x="62"/>
        <item x="199"/>
        <item x="328"/>
        <item x="47"/>
        <item x="253"/>
        <item x="142"/>
        <item x="91"/>
        <item x="262"/>
        <item x="347"/>
        <item x="120"/>
        <item x="367"/>
        <item x="223"/>
        <item x="426"/>
        <item x="322"/>
        <item x="375"/>
        <item x="228"/>
        <item x="403"/>
        <item x="267"/>
        <item x="27"/>
        <item x="159"/>
        <item x="73"/>
        <item x="354"/>
        <item x="33"/>
        <item x="229"/>
        <item x="115"/>
        <item x="23"/>
        <item x="388"/>
        <item x="314"/>
        <item x="127"/>
        <item x="348"/>
        <item x="206"/>
        <item x="425"/>
        <item x="11"/>
        <item x="18"/>
        <item x="394"/>
        <item x="146"/>
        <item x="233"/>
        <item x="427"/>
        <item x="24"/>
        <item x="105"/>
        <item x="70"/>
        <item x="15"/>
        <item x="261"/>
        <item x="226"/>
        <item x="189"/>
        <item x="311"/>
        <item x="305"/>
        <item x="432"/>
        <item x="276"/>
        <item x="360"/>
        <item x="185"/>
        <item x="376"/>
        <item x="139"/>
        <item x="157"/>
        <item x="221"/>
        <item x="400"/>
        <item x="231"/>
        <item x="20"/>
        <item x="158"/>
        <item x="378"/>
        <item x="133"/>
        <item x="234"/>
        <item x="433"/>
        <item x="171"/>
        <item x="147"/>
        <item x="166"/>
        <item x="386"/>
        <item x="395"/>
        <item x="293"/>
        <item x="333"/>
        <item x="323"/>
        <item x="315"/>
        <item x="195"/>
        <item x="122"/>
        <item x="435"/>
        <item x="270"/>
        <item x="258"/>
        <item x="401"/>
        <item x="43"/>
        <item x="181"/>
        <item x="420"/>
        <item x="251"/>
        <item x="164"/>
        <item x="132"/>
        <item x="3"/>
        <item x="110"/>
        <item x="10"/>
        <item x="145"/>
        <item x="156"/>
        <item x="294"/>
        <item x="202"/>
        <item x="9"/>
        <item x="334"/>
        <item x="263"/>
        <item x="306"/>
        <item x="438"/>
        <item x="279"/>
        <item x="439"/>
        <item x="172"/>
        <item x="312"/>
        <item x="93"/>
        <item x="74"/>
        <item x="96"/>
        <item x="369"/>
        <item x="125"/>
        <item x="69"/>
        <item x="246"/>
        <item x="363"/>
        <item x="203"/>
        <item x="193"/>
        <item x="128"/>
        <item x="140"/>
        <item x="177"/>
        <item x="118"/>
        <item x="390"/>
        <item x="97"/>
        <item x="143"/>
        <item x="415"/>
        <item x="356"/>
        <item x="393"/>
        <item x="331"/>
        <item x="260"/>
        <item x="371"/>
        <item x="446"/>
        <item x="72"/>
        <item x="178"/>
        <item x="381"/>
        <item x="186"/>
        <item x="416"/>
        <item x="44"/>
        <item x="424"/>
        <item x="265"/>
        <item x="60"/>
        <item x="144"/>
        <item x="104"/>
        <item x="148"/>
        <item x="278"/>
        <item x="308"/>
        <item x="153"/>
        <item x="324"/>
        <item x="391"/>
        <item x="300"/>
        <item x="287"/>
        <item x="402"/>
        <item x="423"/>
        <item x="213"/>
        <item x="50"/>
        <item x="165"/>
        <item x="150"/>
        <item x="343"/>
        <item x="51"/>
        <item x="325"/>
        <item x="37"/>
        <item x="238"/>
        <item x="160"/>
        <item x="198"/>
        <item x="92"/>
        <item x="86"/>
        <item x="321"/>
        <item x="32"/>
        <item x="124"/>
        <item x="211"/>
        <item x="350"/>
        <item x="180"/>
        <item x="54"/>
        <item x="225"/>
        <item x="357"/>
        <item x="35"/>
      </items>
    </pivotField>
    <pivotField compact="0" numFmtId="43" outline="0" showAll="0" defaultSubtotal="0"/>
    <pivotField compact="0" numFmtId="164" outline="0" showAll="0" defaultSubtotal="0"/>
    <pivotField dataField="1" compact="0" numFmtId="44" outline="0" showAll="0" defaultSubtota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Total Cost" fld="7" baseField="0" baseItem="0" numFmtId="3"/>
  </dataFields>
  <pivotTableStyleInfo name="PivotStyleDark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3" minRefreshableVersion="3" useAutoFormatting="1" itemPrintTitles="1" createdVersion="6" indent="0" compact="0" compactData="0" multipleFieldFilters="0">
  <location ref="K2:K3" firstHeaderRow="1" firstDataRow="1" firstDataCol="0"/>
  <pivotFields count="8">
    <pivotField compact="0" outline="0" showAll="0" defaultSubtotal="0">
      <items count="12">
        <item x="8"/>
        <item x="11"/>
        <item x="0"/>
        <item x="10"/>
        <item x="2"/>
        <item x="1"/>
        <item x="6"/>
        <item x="9"/>
        <item x="7"/>
        <item x="4"/>
        <item x="5"/>
        <item x="3"/>
      </items>
    </pivotField>
    <pivotField compact="0" outline="0" showAll="0" defaultSubtotal="0">
      <items count="5">
        <item x="1"/>
        <item x="3"/>
        <item x="4"/>
        <item x="2"/>
        <item x="0"/>
      </items>
    </pivotField>
    <pivotField compact="0" outline="0" showAll="0" defaultSubtotal="0">
      <items count="4">
        <item x="1"/>
        <item x="0"/>
        <item x="3"/>
        <item x="2"/>
      </items>
    </pivotField>
    <pivotField compact="0" outline="0" showAll="0" defaultSubtotal="0">
      <items count="5">
        <item x="0"/>
        <item x="3"/>
        <item x="2"/>
        <item x="4"/>
        <item x="1"/>
      </items>
    </pivotField>
    <pivotField compact="0" numFmtId="14" outline="0" showAll="0" defaultSubtotal="0">
      <items count="449">
        <item x="243"/>
        <item x="235"/>
        <item x="210"/>
        <item x="13"/>
        <item x="149"/>
        <item x="119"/>
        <item x="21"/>
        <item x="103"/>
        <item x="366"/>
        <item x="327"/>
        <item x="232"/>
        <item x="237"/>
        <item x="430"/>
        <item x="259"/>
        <item x="78"/>
        <item x="407"/>
        <item x="94"/>
        <item x="85"/>
        <item x="217"/>
        <item x="382"/>
        <item x="304"/>
        <item x="289"/>
        <item x="218"/>
        <item x="84"/>
        <item x="57"/>
        <item x="190"/>
        <item x="192"/>
        <item x="212"/>
        <item x="197"/>
        <item x="130"/>
        <item x="184"/>
        <item x="385"/>
        <item x="75"/>
        <item x="361"/>
        <item x="299"/>
        <item x="444"/>
        <item x="49"/>
        <item x="230"/>
        <item x="380"/>
        <item x="31"/>
        <item x="8"/>
        <item x="38"/>
        <item x="77"/>
        <item x="66"/>
        <item x="377"/>
        <item x="418"/>
        <item x="396"/>
        <item x="445"/>
        <item x="272"/>
        <item x="364"/>
        <item x="250"/>
        <item x="365"/>
        <item x="224"/>
        <item x="63"/>
        <item x="34"/>
        <item x="249"/>
        <item x="227"/>
        <item x="17"/>
        <item x="215"/>
        <item x="442"/>
        <item x="48"/>
        <item x="61"/>
        <item x="257"/>
        <item x="188"/>
        <item x="346"/>
        <item x="342"/>
        <item x="379"/>
        <item x="236"/>
        <item x="301"/>
        <item x="264"/>
        <item x="337"/>
        <item x="29"/>
        <item x="282"/>
        <item x="252"/>
        <item x="317"/>
        <item x="196"/>
        <item x="175"/>
        <item x="410"/>
        <item x="330"/>
        <item x="310"/>
        <item x="155"/>
        <item x="397"/>
        <item x="419"/>
        <item x="7"/>
        <item x="182"/>
        <item x="135"/>
        <item x="170"/>
        <item x="285"/>
        <item x="303"/>
        <item x="242"/>
        <item x="52"/>
        <item x="95"/>
        <item x="436"/>
        <item x="271"/>
        <item x="121"/>
        <item x="309"/>
        <item x="167"/>
        <item x="22"/>
        <item x="411"/>
        <item x="82"/>
        <item x="274"/>
        <item x="116"/>
        <item x="248"/>
        <item x="30"/>
        <item x="98"/>
        <item x="255"/>
        <item x="183"/>
        <item x="241"/>
        <item x="137"/>
        <item x="109"/>
        <item x="2"/>
        <item x="372"/>
        <item x="6"/>
        <item x="296"/>
        <item x="288"/>
        <item x="275"/>
        <item x="14"/>
        <item x="329"/>
        <item x="422"/>
        <item x="161"/>
        <item x="358"/>
        <item x="404"/>
        <item x="28"/>
        <item x="152"/>
        <item x="281"/>
        <item x="131"/>
        <item x="335"/>
        <item x="46"/>
        <item x="368"/>
        <item x="194"/>
        <item x="440"/>
        <item x="443"/>
        <item x="320"/>
        <item x="45"/>
        <item x="429"/>
        <item x="113"/>
        <item x="1"/>
        <item x="81"/>
        <item x="313"/>
        <item x="406"/>
        <item x="421"/>
        <item x="112"/>
        <item x="302"/>
        <item x="173"/>
        <item x="387"/>
        <item x="53"/>
        <item x="447"/>
        <item x="268"/>
        <item x="163"/>
        <item x="129"/>
        <item x="448"/>
        <item x="126"/>
        <item x="352"/>
        <item x="405"/>
        <item x="59"/>
        <item x="89"/>
        <item x="107"/>
        <item x="101"/>
        <item x="16"/>
        <item x="239"/>
        <item x="339"/>
        <item x="71"/>
        <item x="409"/>
        <item x="307"/>
        <item x="90"/>
        <item x="138"/>
        <item x="441"/>
        <item x="374"/>
        <item x="108"/>
        <item x="290"/>
        <item x="67"/>
        <item x="68"/>
        <item x="373"/>
        <item x="56"/>
        <item x="336"/>
        <item x="345"/>
        <item x="83"/>
        <item x="87"/>
        <item x="244"/>
        <item x="40"/>
        <item x="355"/>
        <item x="162"/>
        <item x="216"/>
        <item x="136"/>
        <item x="134"/>
        <item x="353"/>
        <item x="351"/>
        <item x="273"/>
        <item x="19"/>
        <item x="179"/>
        <item x="256"/>
        <item x="200"/>
        <item x="295"/>
        <item x="111"/>
        <item x="114"/>
        <item x="168"/>
        <item x="79"/>
        <item x="36"/>
        <item x="292"/>
        <item x="117"/>
        <item x="340"/>
        <item x="42"/>
        <item x="102"/>
        <item x="176"/>
        <item x="319"/>
        <item x="0"/>
        <item x="204"/>
        <item x="437"/>
        <item x="389"/>
        <item x="384"/>
        <item x="222"/>
        <item x="88"/>
        <item x="214"/>
        <item x="297"/>
        <item x="417"/>
        <item x="240"/>
        <item x="413"/>
        <item x="25"/>
        <item x="298"/>
        <item x="398"/>
        <item x="123"/>
        <item x="39"/>
        <item x="12"/>
        <item x="341"/>
        <item x="41"/>
        <item x="5"/>
        <item x="64"/>
        <item x="277"/>
        <item x="284"/>
        <item x="316"/>
        <item x="207"/>
        <item x="100"/>
        <item x="174"/>
        <item x="318"/>
        <item x="187"/>
        <item x="344"/>
        <item x="80"/>
        <item x="55"/>
        <item x="106"/>
        <item x="414"/>
        <item x="169"/>
        <item x="338"/>
        <item x="399"/>
        <item x="58"/>
        <item x="154"/>
        <item x="4"/>
        <item x="291"/>
        <item x="332"/>
        <item x="76"/>
        <item x="205"/>
        <item x="247"/>
        <item x="26"/>
        <item x="359"/>
        <item x="208"/>
        <item x="392"/>
        <item x="283"/>
        <item x="280"/>
        <item x="269"/>
        <item x="191"/>
        <item x="254"/>
        <item x="428"/>
        <item x="266"/>
        <item x="408"/>
        <item x="412"/>
        <item x="99"/>
        <item x="286"/>
        <item x="151"/>
        <item x="65"/>
        <item x="383"/>
        <item x="201"/>
        <item x="219"/>
        <item x="434"/>
        <item x="431"/>
        <item x="245"/>
        <item x="370"/>
        <item x="326"/>
        <item x="362"/>
        <item x="141"/>
        <item x="209"/>
        <item x="349"/>
        <item x="220"/>
        <item x="62"/>
        <item x="199"/>
        <item x="328"/>
        <item x="47"/>
        <item x="253"/>
        <item x="142"/>
        <item x="91"/>
        <item x="262"/>
        <item x="347"/>
        <item x="120"/>
        <item x="367"/>
        <item x="223"/>
        <item x="426"/>
        <item x="322"/>
        <item x="375"/>
        <item x="228"/>
        <item x="403"/>
        <item x="267"/>
        <item x="27"/>
        <item x="159"/>
        <item x="73"/>
        <item x="354"/>
        <item x="33"/>
        <item x="229"/>
        <item x="115"/>
        <item x="23"/>
        <item x="388"/>
        <item x="314"/>
        <item x="127"/>
        <item x="348"/>
        <item x="206"/>
        <item x="425"/>
        <item x="11"/>
        <item x="18"/>
        <item x="394"/>
        <item x="146"/>
        <item x="233"/>
        <item x="427"/>
        <item x="24"/>
        <item x="105"/>
        <item x="70"/>
        <item x="15"/>
        <item x="261"/>
        <item x="226"/>
        <item x="189"/>
        <item x="311"/>
        <item x="305"/>
        <item x="432"/>
        <item x="276"/>
        <item x="360"/>
        <item x="185"/>
        <item x="376"/>
        <item x="139"/>
        <item x="157"/>
        <item x="221"/>
        <item x="400"/>
        <item x="231"/>
        <item x="20"/>
        <item x="158"/>
        <item x="378"/>
        <item x="133"/>
        <item x="234"/>
        <item x="433"/>
        <item x="171"/>
        <item x="147"/>
        <item x="166"/>
        <item x="386"/>
        <item x="395"/>
        <item x="293"/>
        <item x="333"/>
        <item x="323"/>
        <item x="315"/>
        <item x="195"/>
        <item x="122"/>
        <item x="435"/>
        <item x="270"/>
        <item x="258"/>
        <item x="401"/>
        <item x="43"/>
        <item x="181"/>
        <item x="420"/>
        <item x="251"/>
        <item x="164"/>
        <item x="132"/>
        <item x="3"/>
        <item x="110"/>
        <item x="10"/>
        <item x="145"/>
        <item x="156"/>
        <item x="294"/>
        <item x="202"/>
        <item x="9"/>
        <item x="334"/>
        <item x="263"/>
        <item x="306"/>
        <item x="438"/>
        <item x="279"/>
        <item x="439"/>
        <item x="172"/>
        <item x="312"/>
        <item x="93"/>
        <item x="74"/>
        <item x="96"/>
        <item x="369"/>
        <item x="125"/>
        <item x="69"/>
        <item x="246"/>
        <item x="363"/>
        <item x="203"/>
        <item x="193"/>
        <item x="128"/>
        <item x="140"/>
        <item x="177"/>
        <item x="118"/>
        <item x="390"/>
        <item x="97"/>
        <item x="143"/>
        <item x="415"/>
        <item x="356"/>
        <item x="393"/>
        <item x="331"/>
        <item x="260"/>
        <item x="371"/>
        <item x="446"/>
        <item x="72"/>
        <item x="178"/>
        <item x="381"/>
        <item x="186"/>
        <item x="416"/>
        <item x="44"/>
        <item x="424"/>
        <item x="265"/>
        <item x="60"/>
        <item x="144"/>
        <item x="104"/>
        <item x="148"/>
        <item x="278"/>
        <item x="308"/>
        <item x="153"/>
        <item x="324"/>
        <item x="391"/>
        <item x="300"/>
        <item x="287"/>
        <item x="402"/>
        <item x="423"/>
        <item x="213"/>
        <item x="50"/>
        <item x="165"/>
        <item x="150"/>
        <item x="343"/>
        <item x="51"/>
        <item x="325"/>
        <item x="37"/>
        <item x="238"/>
        <item x="160"/>
        <item x="198"/>
        <item x="92"/>
        <item x="86"/>
        <item x="321"/>
        <item x="32"/>
        <item x="124"/>
        <item x="211"/>
        <item x="350"/>
        <item x="180"/>
        <item x="54"/>
        <item x="225"/>
        <item x="357"/>
        <item x="35"/>
      </items>
    </pivotField>
    <pivotField compact="0" numFmtId="43" outline="0" showAll="0" defaultSubtotal="0"/>
    <pivotField dataField="1" compact="0" numFmtId="164" outline="0" showAll="0" defaultSubtotal="0"/>
    <pivotField compact="0" numFmtId="44" outline="0" showAll="0" defaultSubtotal="0"/>
  </pivotFields>
  <rowItems count="1">
    <i/>
  </rowItems>
  <colItems count="1">
    <i/>
  </colItems>
  <dataFields count="1">
    <dataField name="Sum of No.Items" fld="6" baseField="0" baseItem="0"/>
  </dataFields>
  <pivotTableStyleInfo name="PivotStyleDark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id="1" name="Table1" displayName="Table1" ref="A1:K742" totalsRowShown="0" headerRowBorderDxfId="12" tableBorderDxfId="11">
  <autoFilter ref="A1:K742">
    <filterColumn colId="10"/>
  </autoFilter>
  <sortState ref="A2:J742">
    <sortCondition ref="A2:A742"/>
  </sortState>
  <tableColumns count="11">
    <tableColumn id="1" name="Employee Name" dataDxfId="10" dataCellStyle="Normal 2 2"/>
    <tableColumn id="2" name="Building" dataDxfId="9" dataCellStyle="Normal 2 2"/>
    <tableColumn id="3" name="Department" dataDxfId="8" dataCellStyle="Normal 2 2"/>
    <tableColumn id="4" name="Status" dataDxfId="7" dataCellStyle="Normal 2 2"/>
    <tableColumn id="5" name="Hire Date" dataDxfId="6" dataCellStyle="Normal 2 2"/>
    <tableColumn id="6" name="Years" dataDxfId="5" dataCellStyle="Comma 2">
      <calculatedColumnFormula>DATEDIF(E2,TODAY(),"Y")</calculatedColumnFormula>
    </tableColumn>
    <tableColumn id="7" name="Benefits" dataDxfId="4" dataCellStyle="Comma 2"/>
    <tableColumn id="8" name="Salary" dataDxfId="3" dataCellStyle="Comma 2"/>
    <tableColumn id="9" name="Job Rating" dataDxfId="2" dataCellStyle="Normal 2 2"/>
    <tableColumn id="10" name="New Salary" dataDxfId="1" dataCellStyle="Comma 4">
      <calculatedColumnFormula>ROUND(H2*$L$1+H2,0)</calculatedColumnFormula>
    </tableColumn>
    <tableColumn id="11" name="Hike" dataDxfId="0" dataCellStyle="Normal 2 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B3" sqref="B3"/>
    </sheetView>
  </sheetViews>
  <sheetFormatPr defaultRowHeight="15"/>
  <cols>
    <col min="1" max="1" width="21.85546875" bestFit="1" customWidth="1"/>
  </cols>
  <sheetData>
    <row r="1" spans="1:5">
      <c r="A1" t="s">
        <v>1527</v>
      </c>
    </row>
    <row r="2" spans="1:5">
      <c r="A2" t="s">
        <v>1549</v>
      </c>
      <c r="B2" t="s">
        <v>1550</v>
      </c>
    </row>
    <row r="3" spans="1:5">
      <c r="A3" t="s">
        <v>1528</v>
      </c>
      <c r="B3" t="s">
        <v>1537</v>
      </c>
    </row>
    <row r="4" spans="1:5">
      <c r="A4" t="s">
        <v>1532</v>
      </c>
      <c r="B4" t="s">
        <v>1533</v>
      </c>
    </row>
    <row r="5" spans="1:5">
      <c r="B5" t="s">
        <v>1534</v>
      </c>
    </row>
    <row r="6" spans="1:5">
      <c r="B6" t="s">
        <v>1535</v>
      </c>
    </row>
    <row r="7" spans="1:5">
      <c r="B7" t="s">
        <v>1536</v>
      </c>
    </row>
    <row r="8" spans="1:5">
      <c r="A8" t="s">
        <v>1538</v>
      </c>
    </row>
    <row r="9" spans="1:5">
      <c r="A9" t="s">
        <v>1539</v>
      </c>
      <c r="B9" t="s">
        <v>1542</v>
      </c>
    </row>
    <row r="10" spans="1:5">
      <c r="A10" t="s">
        <v>1540</v>
      </c>
    </row>
    <row r="11" spans="1:5">
      <c r="A11" t="s">
        <v>1541</v>
      </c>
    </row>
    <row r="12" spans="1:5">
      <c r="A12" t="s">
        <v>1543</v>
      </c>
      <c r="B12" t="s">
        <v>1544</v>
      </c>
      <c r="C12" t="s">
        <v>1545</v>
      </c>
      <c r="D12" t="s">
        <v>1546</v>
      </c>
      <c r="E12" t="s">
        <v>1547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  <pageSetUpPr autoPageBreaks="0"/>
  </sheetPr>
  <dimension ref="A1:I15"/>
  <sheetViews>
    <sheetView zoomScale="136" zoomScaleNormal="136" zoomScalePageLayoutView="190" workbookViewId="0">
      <selection sqref="A1:I1"/>
    </sheetView>
  </sheetViews>
  <sheetFormatPr defaultColWidth="9" defaultRowHeight="12.75"/>
  <cols>
    <col min="1" max="16384" width="9" style="55"/>
  </cols>
  <sheetData>
    <row r="1" spans="1:9" s="139" customFormat="1" ht="33.75">
      <c r="A1" s="5" t="s">
        <v>1525</v>
      </c>
      <c r="B1" s="5"/>
      <c r="C1" s="5"/>
      <c r="D1" s="5"/>
      <c r="E1" s="5"/>
      <c r="F1" s="5"/>
      <c r="G1" s="5"/>
      <c r="H1" s="5"/>
      <c r="I1" s="5"/>
    </row>
    <row r="2" spans="1:9" s="56" customFormat="1" ht="15">
      <c r="A2" s="3" t="s">
        <v>1293</v>
      </c>
      <c r="B2" s="3"/>
      <c r="C2" s="3"/>
      <c r="D2" s="3"/>
      <c r="E2" s="3"/>
      <c r="F2" s="3"/>
      <c r="G2" s="3"/>
      <c r="H2" s="3"/>
      <c r="I2" s="3"/>
    </row>
    <row r="3" spans="1:9" s="56" customFormat="1" ht="15">
      <c r="B3" s="6" t="s">
        <v>302</v>
      </c>
      <c r="C3" s="6" t="s">
        <v>303</v>
      </c>
      <c r="D3" s="6" t="s">
        <v>304</v>
      </c>
      <c r="E3" s="6" t="s">
        <v>305</v>
      </c>
      <c r="F3" s="6" t="s">
        <v>306</v>
      </c>
      <c r="G3" s="6" t="s">
        <v>307</v>
      </c>
      <c r="H3" s="6" t="s">
        <v>5</v>
      </c>
      <c r="I3" s="6" t="s">
        <v>1526</v>
      </c>
    </row>
    <row r="4" spans="1:9" s="56" customFormat="1" ht="15">
      <c r="A4" s="56" t="s">
        <v>97</v>
      </c>
      <c r="B4" s="108">
        <v>121.2</v>
      </c>
      <c r="C4" s="108">
        <v>181.4</v>
      </c>
      <c r="D4" s="108">
        <v>262.2</v>
      </c>
      <c r="E4" s="108">
        <v>241.1</v>
      </c>
      <c r="F4" s="108">
        <v>301.2</v>
      </c>
      <c r="G4" s="108">
        <v>501.4</v>
      </c>
      <c r="H4" s="109">
        <v>1601.4</v>
      </c>
      <c r="I4" s="109">
        <f>AVERAGE(B4:G4)</f>
        <v>268.08333333333331</v>
      </c>
    </row>
    <row r="5" spans="1:9" s="56" customFormat="1" ht="15">
      <c r="A5" s="56" t="s">
        <v>308</v>
      </c>
      <c r="B5" s="112">
        <v>106</v>
      </c>
      <c r="C5" s="112">
        <v>133.6</v>
      </c>
      <c r="D5" s="112">
        <v>121.9</v>
      </c>
      <c r="E5" s="112">
        <v>232</v>
      </c>
      <c r="F5" s="112">
        <v>267.5</v>
      </c>
      <c r="G5" s="112">
        <v>353.3</v>
      </c>
      <c r="H5" s="112">
        <v>1183.8</v>
      </c>
      <c r="I5" s="112">
        <f>AVERAGE(B5:G5)</f>
        <v>202.38333333333333</v>
      </c>
    </row>
    <row r="6" spans="1:9" s="56" customFormat="1" ht="15">
      <c r="A6" s="56" t="s">
        <v>309</v>
      </c>
      <c r="B6" s="112">
        <f t="shared" ref="B6:G6" si="0">B4-B5</f>
        <v>15.200000000000003</v>
      </c>
      <c r="C6" s="112">
        <f t="shared" si="0"/>
        <v>47.800000000000011</v>
      </c>
      <c r="D6" s="112">
        <f t="shared" si="0"/>
        <v>140.29999999999998</v>
      </c>
      <c r="E6" s="112">
        <f t="shared" si="0"/>
        <v>9.0999999999999943</v>
      </c>
      <c r="F6" s="112">
        <f t="shared" si="0"/>
        <v>33.699999999999989</v>
      </c>
      <c r="G6" s="112">
        <f t="shared" si="0"/>
        <v>148.09999999999997</v>
      </c>
      <c r="H6" s="112">
        <f>SUM(B6:G6)</f>
        <v>394.19999999999993</v>
      </c>
      <c r="I6" s="112">
        <f>AVERAGE(B6:G6)</f>
        <v>65.699999999999989</v>
      </c>
    </row>
    <row r="7" spans="1:9" s="56" customFormat="1" ht="15">
      <c r="A7" s="56" t="s">
        <v>310</v>
      </c>
      <c r="B7" s="112">
        <f>B6</f>
        <v>15.200000000000003</v>
      </c>
      <c r="C7" s="112">
        <f>C6+B7</f>
        <v>63.000000000000014</v>
      </c>
      <c r="D7" s="112">
        <f>D6+C7</f>
        <v>203.3</v>
      </c>
      <c r="E7" s="112">
        <f>E6+D7</f>
        <v>212.4</v>
      </c>
      <c r="F7" s="112">
        <f>F6+E7</f>
        <v>246.1</v>
      </c>
      <c r="G7" s="112">
        <f>G6+F7</f>
        <v>394.19999999999993</v>
      </c>
      <c r="H7" s="112"/>
      <c r="I7" s="150"/>
    </row>
    <row r="8" spans="1:9" s="56" customFormat="1" ht="15"/>
    <row r="9" spans="1:9" s="56" customFormat="1" ht="15">
      <c r="A9" s="56" t="s">
        <v>311</v>
      </c>
      <c r="C9" s="151">
        <f t="shared" ref="C9:G11" si="1">(C4-B4)/B4</f>
        <v>0.49669966996699672</v>
      </c>
      <c r="D9" s="151">
        <f t="shared" si="1"/>
        <v>0.44542447629547949</v>
      </c>
      <c r="E9" s="151">
        <f t="shared" si="1"/>
        <v>-8.0472921434019809E-2</v>
      </c>
      <c r="F9" s="151">
        <f t="shared" si="1"/>
        <v>0.24927416009954373</v>
      </c>
      <c r="G9" s="151">
        <f t="shared" si="1"/>
        <v>0.66467463479415667</v>
      </c>
      <c r="H9" s="151">
        <f>(G4-B4)/B4</f>
        <v>3.1369636963696368</v>
      </c>
      <c r="I9" s="152">
        <f>(G4/B4)^(1/5)-1</f>
        <v>0.32842286448119817</v>
      </c>
    </row>
    <row r="10" spans="1:9" ht="15">
      <c r="A10" s="56" t="s">
        <v>313</v>
      </c>
      <c r="B10" s="56"/>
      <c r="C10" s="151">
        <f t="shared" si="1"/>
        <v>0.26037735849056598</v>
      </c>
      <c r="D10" s="151">
        <f t="shared" si="1"/>
        <v>-8.7574850299401111E-2</v>
      </c>
      <c r="E10" s="151">
        <f t="shared" si="1"/>
        <v>0.90319934372436417</v>
      </c>
      <c r="F10" s="151">
        <f t="shared" si="1"/>
        <v>0.15301724137931033</v>
      </c>
      <c r="G10" s="151">
        <f t="shared" si="1"/>
        <v>0.32074766355140188</v>
      </c>
      <c r="H10" s="151">
        <f>(G5-B5)/B5</f>
        <v>2.3330188679245283</v>
      </c>
      <c r="I10" s="152">
        <f>(G5/B5)^(1/5)-1</f>
        <v>0.27223563073469292</v>
      </c>
    </row>
    <row r="11" spans="1:9" ht="15">
      <c r="A11" s="56" t="s">
        <v>312</v>
      </c>
      <c r="B11" s="56"/>
      <c r="C11" s="151">
        <f t="shared" si="1"/>
        <v>2.1447368421052633</v>
      </c>
      <c r="D11" s="151">
        <f t="shared" si="1"/>
        <v>1.9351464435146433</v>
      </c>
      <c r="E11" s="151">
        <f t="shared" si="1"/>
        <v>-0.93513898788310768</v>
      </c>
      <c r="F11" s="151">
        <f t="shared" si="1"/>
        <v>2.7032967032967044</v>
      </c>
      <c r="G11" s="151">
        <f t="shared" si="1"/>
        <v>3.3946587537091992</v>
      </c>
      <c r="H11" s="151">
        <f>(G6-B6)/B6</f>
        <v>8.7434210526315752</v>
      </c>
      <c r="I11" s="152">
        <f>(G6/B6)^(1/5)-1</f>
        <v>0.5766754090688202</v>
      </c>
    </row>
    <row r="12" spans="1:9" ht="15">
      <c r="A12" s="56"/>
      <c r="B12" s="56"/>
      <c r="C12" s="56"/>
      <c r="D12" s="56"/>
      <c r="E12" s="56"/>
      <c r="F12" s="56"/>
      <c r="G12" s="56"/>
      <c r="H12" s="56"/>
      <c r="I12" s="56"/>
    </row>
    <row r="13" spans="1:9" ht="15">
      <c r="A13" s="56" t="s">
        <v>314</v>
      </c>
      <c r="B13" s="58">
        <f t="shared" ref="B13:H13" si="2">B4/B5</f>
        <v>1.1433962264150943</v>
      </c>
      <c r="C13" s="58">
        <f t="shared" si="2"/>
        <v>1.3577844311377247</v>
      </c>
      <c r="D13" s="58">
        <f t="shared" si="2"/>
        <v>2.1509433962264151</v>
      </c>
      <c r="E13" s="58">
        <f t="shared" si="2"/>
        <v>1.0392241379310345</v>
      </c>
      <c r="F13" s="58">
        <f t="shared" si="2"/>
        <v>1.1259813084112149</v>
      </c>
      <c r="G13" s="58">
        <f t="shared" si="2"/>
        <v>1.4191904896688365</v>
      </c>
      <c r="H13" s="58">
        <f t="shared" si="2"/>
        <v>1.3527622909275216</v>
      </c>
      <c r="I13" s="56"/>
    </row>
    <row r="14" spans="1:9" ht="15">
      <c r="A14" s="56" t="s">
        <v>315</v>
      </c>
      <c r="B14" s="58">
        <f t="shared" ref="B14:H14" si="3">B4/B6</f>
        <v>7.9736842105263142</v>
      </c>
      <c r="C14" s="58">
        <f t="shared" si="3"/>
        <v>3.794979079497907</v>
      </c>
      <c r="D14" s="58">
        <f t="shared" si="3"/>
        <v>1.8688524590163935</v>
      </c>
      <c r="E14" s="58">
        <f t="shared" si="3"/>
        <v>26.494505494505511</v>
      </c>
      <c r="F14" s="58">
        <f t="shared" si="3"/>
        <v>8.9376854599406563</v>
      </c>
      <c r="G14" s="58">
        <f t="shared" si="3"/>
        <v>3.3855503038487513</v>
      </c>
      <c r="H14" s="58">
        <f t="shared" si="3"/>
        <v>4.0624048706240492</v>
      </c>
      <c r="I14" s="56"/>
    </row>
    <row r="15" spans="1:9" ht="15">
      <c r="A15" s="56" t="s">
        <v>316</v>
      </c>
      <c r="B15" s="58">
        <f t="shared" ref="B15:H15" si="4">B5/B6</f>
        <v>6.9736842105263142</v>
      </c>
      <c r="C15" s="58">
        <f t="shared" si="4"/>
        <v>2.794979079497907</v>
      </c>
      <c r="D15" s="58">
        <f t="shared" si="4"/>
        <v>0.86885245901639363</v>
      </c>
      <c r="E15" s="58">
        <f t="shared" si="4"/>
        <v>25.494505494505511</v>
      </c>
      <c r="F15" s="58">
        <f t="shared" si="4"/>
        <v>7.9376854599406554</v>
      </c>
      <c r="G15" s="58">
        <f t="shared" si="4"/>
        <v>2.3855503038487513</v>
      </c>
      <c r="H15" s="58">
        <f t="shared" si="4"/>
        <v>3.003044140030442</v>
      </c>
      <c r="I15" s="56"/>
    </row>
  </sheetData>
  <mergeCells count="2">
    <mergeCell ref="A1:I1"/>
    <mergeCell ref="A2:I2"/>
  </mergeCells>
  <phoneticPr fontId="27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9FF99"/>
    <pageSetUpPr autoPageBreaks="0"/>
  </sheetPr>
  <dimension ref="A1:R34"/>
  <sheetViews>
    <sheetView zoomScale="107" zoomScaleNormal="107" zoomScalePageLayoutView="190" workbookViewId="0">
      <selection sqref="A1:R1"/>
    </sheetView>
  </sheetViews>
  <sheetFormatPr defaultColWidth="9" defaultRowHeight="15"/>
  <cols>
    <col min="1" max="1" width="16.7109375" style="56" bestFit="1" customWidth="1"/>
    <col min="2" max="17" width="9" style="56" bestFit="1" customWidth="1"/>
    <col min="18" max="18" width="10.28515625" style="56" bestFit="1" customWidth="1"/>
    <col min="19" max="16384" width="9" style="56"/>
  </cols>
  <sheetData>
    <row r="1" spans="1:18" ht="30">
      <c r="A1" s="1" t="s">
        <v>353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6.5" thickBot="1">
      <c r="A2" s="121">
        <f>R34</f>
        <v>924858</v>
      </c>
      <c r="B2" s="59" t="s">
        <v>302</v>
      </c>
      <c r="C2" s="59" t="s">
        <v>303</v>
      </c>
      <c r="D2" s="59" t="s">
        <v>304</v>
      </c>
      <c r="E2" s="122" t="s">
        <v>317</v>
      </c>
      <c r="F2" s="59" t="s">
        <v>305</v>
      </c>
      <c r="G2" s="59" t="s">
        <v>306</v>
      </c>
      <c r="H2" s="59" t="s">
        <v>307</v>
      </c>
      <c r="I2" s="122" t="s">
        <v>318</v>
      </c>
      <c r="J2" s="59" t="s">
        <v>319</v>
      </c>
      <c r="K2" s="59" t="s">
        <v>320</v>
      </c>
      <c r="L2" s="59" t="s">
        <v>321</v>
      </c>
      <c r="M2" s="122" t="s">
        <v>322</v>
      </c>
      <c r="N2" s="59" t="s">
        <v>323</v>
      </c>
      <c r="O2" s="59" t="s">
        <v>324</v>
      </c>
      <c r="P2" s="59" t="s">
        <v>325</v>
      </c>
      <c r="Q2" s="122" t="s">
        <v>326</v>
      </c>
      <c r="R2" s="60" t="s">
        <v>327</v>
      </c>
    </row>
    <row r="3" spans="1:18">
      <c r="A3" s="61" t="s">
        <v>328</v>
      </c>
      <c r="B3" s="62">
        <v>0.01</v>
      </c>
      <c r="C3" s="62"/>
      <c r="D3" s="62"/>
      <c r="E3" s="63"/>
      <c r="F3" s="64">
        <v>0.03</v>
      </c>
      <c r="G3" s="64"/>
      <c r="H3" s="64"/>
      <c r="I3" s="63"/>
      <c r="J3" s="64">
        <v>0.02</v>
      </c>
      <c r="K3" s="64"/>
      <c r="L3" s="64"/>
      <c r="M3" s="63"/>
      <c r="N3" s="64">
        <v>0.03</v>
      </c>
      <c r="O3" s="64"/>
      <c r="P3" s="64"/>
      <c r="Q3" s="63"/>
      <c r="R3" s="65"/>
    </row>
    <row r="4" spans="1:18">
      <c r="A4" s="66" t="s">
        <v>97</v>
      </c>
      <c r="B4" s="67">
        <v>173000</v>
      </c>
      <c r="C4" s="67">
        <f>ROUND(B4*(1+$B$3),-1)</f>
        <v>174730</v>
      </c>
      <c r="D4" s="67">
        <f>ROUND(C4*(1+$B$3),-1)</f>
        <v>176480</v>
      </c>
      <c r="E4" s="68">
        <f>SUM(B4:D4)</f>
        <v>524210</v>
      </c>
      <c r="F4" s="67">
        <f>ROUND(D4*(1+$F$3),-1)</f>
        <v>181770</v>
      </c>
      <c r="G4" s="67">
        <f>ROUND(F4*(1+$F$3),-1)</f>
        <v>187220</v>
      </c>
      <c r="H4" s="67">
        <f>ROUND(G4*(1+$F$3),-1)</f>
        <v>192840</v>
      </c>
      <c r="I4" s="68">
        <f>SUM(F4:H4)</f>
        <v>561830</v>
      </c>
      <c r="J4" s="67">
        <f>ROUND(H4*(1+$J$3),-1)</f>
        <v>196700</v>
      </c>
      <c r="K4" s="67">
        <f>ROUND(J4*(1+$J$3),-1)</f>
        <v>200630</v>
      </c>
      <c r="L4" s="67">
        <f>ROUND(K4*(1+$J$3),-1)</f>
        <v>204640</v>
      </c>
      <c r="M4" s="68">
        <f>SUM(J4:L4)</f>
        <v>601970</v>
      </c>
      <c r="N4" s="67">
        <f>ROUND(L4*(1+$N$3),-1)</f>
        <v>210780</v>
      </c>
      <c r="O4" s="67">
        <f>ROUND(N4*(1+$N$3),-1)</f>
        <v>217100</v>
      </c>
      <c r="P4" s="67">
        <f>ROUND(O4*(1+$N$3),-1)</f>
        <v>223610</v>
      </c>
      <c r="Q4" s="68">
        <f>SUM(N4:P4)</f>
        <v>651490</v>
      </c>
      <c r="R4" s="69">
        <f t="shared" ref="R4:R6" si="0">SUM(E4,I4,M4,Q4)</f>
        <v>2339500</v>
      </c>
    </row>
    <row r="5" spans="1:18">
      <c r="A5" s="66" t="s">
        <v>329</v>
      </c>
      <c r="B5" s="70">
        <v>28700</v>
      </c>
      <c r="C5" s="70">
        <f>ROUND(B5*(1+$B$3),-1)</f>
        <v>28990</v>
      </c>
      <c r="D5" s="70">
        <f>ROUND(C5*(1+$B$3),-1)</f>
        <v>29280</v>
      </c>
      <c r="E5" s="71">
        <f>SUM(B5:D5)</f>
        <v>86970</v>
      </c>
      <c r="F5" s="70">
        <f>ROUND(D5*(1+$F$3),-1)</f>
        <v>30160</v>
      </c>
      <c r="G5" s="70">
        <f>ROUND(F5*(1+$F$3),-1)</f>
        <v>31060</v>
      </c>
      <c r="H5" s="70">
        <f>ROUND(G5*(1+$F$3),-1)</f>
        <v>31990</v>
      </c>
      <c r="I5" s="71">
        <f>SUM(F5:H5)</f>
        <v>93210</v>
      </c>
      <c r="J5" s="70">
        <f>ROUND(H5*(1+$J$3),-1)</f>
        <v>32630</v>
      </c>
      <c r="K5" s="70">
        <f>ROUND(J5*(1+$J$3),-1)</f>
        <v>33280</v>
      </c>
      <c r="L5" s="70">
        <f>ROUND(K5*(1+$J$3),-1)</f>
        <v>33950</v>
      </c>
      <c r="M5" s="71">
        <f>SUM(J5:L5)</f>
        <v>99860</v>
      </c>
      <c r="N5" s="70">
        <f>ROUND(L5*(1+$N$3),-1)</f>
        <v>34970</v>
      </c>
      <c r="O5" s="70">
        <f>ROUND(N5*(1+$N$3),-1)</f>
        <v>36020</v>
      </c>
      <c r="P5" s="70">
        <f>ROUND(O5*(1+$N$3),-1)</f>
        <v>37100</v>
      </c>
      <c r="Q5" s="71">
        <f>SUM(N5:P5)</f>
        <v>108090</v>
      </c>
      <c r="R5" s="72">
        <f t="shared" si="0"/>
        <v>388130</v>
      </c>
    </row>
    <row r="6" spans="1:18" ht="15.75" thickBot="1">
      <c r="A6" s="73" t="s">
        <v>328</v>
      </c>
      <c r="B6" s="74">
        <f>SUM(B4:B5)</f>
        <v>201700</v>
      </c>
      <c r="C6" s="74">
        <f t="shared" ref="C6:Q6" si="1">SUM(C4:C5)</f>
        <v>203720</v>
      </c>
      <c r="D6" s="74">
        <f t="shared" si="1"/>
        <v>205760</v>
      </c>
      <c r="E6" s="75">
        <f t="shared" si="1"/>
        <v>611180</v>
      </c>
      <c r="F6" s="74">
        <f t="shared" si="1"/>
        <v>211930</v>
      </c>
      <c r="G6" s="74">
        <f t="shared" si="1"/>
        <v>218280</v>
      </c>
      <c r="H6" s="74">
        <f t="shared" si="1"/>
        <v>224830</v>
      </c>
      <c r="I6" s="75">
        <f t="shared" si="1"/>
        <v>655040</v>
      </c>
      <c r="J6" s="74">
        <f t="shared" si="1"/>
        <v>229330</v>
      </c>
      <c r="K6" s="74">
        <f t="shared" si="1"/>
        <v>233910</v>
      </c>
      <c r="L6" s="74">
        <f t="shared" si="1"/>
        <v>238590</v>
      </c>
      <c r="M6" s="75">
        <f t="shared" si="1"/>
        <v>701830</v>
      </c>
      <c r="N6" s="74">
        <f t="shared" si="1"/>
        <v>245750</v>
      </c>
      <c r="O6" s="74">
        <f t="shared" si="1"/>
        <v>253120</v>
      </c>
      <c r="P6" s="74">
        <f t="shared" si="1"/>
        <v>260710</v>
      </c>
      <c r="Q6" s="75">
        <f t="shared" si="1"/>
        <v>759580</v>
      </c>
      <c r="R6" s="76">
        <f t="shared" si="0"/>
        <v>2727630</v>
      </c>
    </row>
    <row r="7" spans="1:18">
      <c r="A7" s="77"/>
      <c r="B7" s="78"/>
      <c r="C7" s="78"/>
      <c r="D7" s="78"/>
      <c r="E7" s="79"/>
      <c r="F7" s="78"/>
      <c r="G7" s="78"/>
      <c r="H7" s="78"/>
      <c r="I7" s="79"/>
      <c r="J7" s="78"/>
      <c r="K7" s="78"/>
      <c r="L7" s="78"/>
      <c r="M7" s="79"/>
      <c r="N7" s="78"/>
      <c r="O7" s="78"/>
      <c r="P7" s="78"/>
      <c r="Q7" s="79"/>
      <c r="R7" s="80"/>
    </row>
    <row r="8" spans="1:18">
      <c r="A8" s="61" t="s">
        <v>330</v>
      </c>
      <c r="B8" s="67"/>
      <c r="C8" s="67"/>
      <c r="D8" s="67"/>
      <c r="E8" s="81"/>
      <c r="F8" s="67"/>
      <c r="G8" s="67"/>
      <c r="H8" s="67"/>
      <c r="I8" s="81"/>
      <c r="J8" s="67"/>
      <c r="K8" s="67"/>
      <c r="L8" s="67"/>
      <c r="M8" s="81"/>
      <c r="N8" s="67"/>
      <c r="O8" s="67"/>
      <c r="P8" s="67"/>
      <c r="Q8" s="81"/>
      <c r="R8" s="82"/>
    </row>
    <row r="9" spans="1:18">
      <c r="A9" s="66" t="s">
        <v>331</v>
      </c>
      <c r="B9" s="67">
        <v>79400</v>
      </c>
      <c r="C9" s="67">
        <f t="shared" ref="C9:D11" si="2">ROUND(B9*(1+$B$3),-1)</f>
        <v>80190</v>
      </c>
      <c r="D9" s="67">
        <f t="shared" si="2"/>
        <v>80990</v>
      </c>
      <c r="E9" s="68">
        <f>SUM(B9:D9)</f>
        <v>240580</v>
      </c>
      <c r="F9" s="67">
        <f>ROUND(D9*(1+$F$3),-1)</f>
        <v>83420</v>
      </c>
      <c r="G9" s="67">
        <f t="shared" ref="G9:H11" si="3">ROUND(F9*(1+$F$3),-1)</f>
        <v>85920</v>
      </c>
      <c r="H9" s="67">
        <f t="shared" si="3"/>
        <v>88500</v>
      </c>
      <c r="I9" s="68">
        <f>SUM(F9:H9)</f>
        <v>257840</v>
      </c>
      <c r="J9" s="67">
        <f>ROUND(H9*(1+$J$3),-1)</f>
        <v>90270</v>
      </c>
      <c r="K9" s="67">
        <f t="shared" ref="K9:L11" si="4">ROUND(J9*(1+$J$3),-1)</f>
        <v>92080</v>
      </c>
      <c r="L9" s="67">
        <f t="shared" si="4"/>
        <v>93920</v>
      </c>
      <c r="M9" s="68">
        <f>SUM(J9:L9)</f>
        <v>276270</v>
      </c>
      <c r="N9" s="67">
        <f>ROUND(L9*(1+$N$3),-1)</f>
        <v>96740</v>
      </c>
      <c r="O9" s="67">
        <f t="shared" ref="O9:P11" si="5">ROUND(N9*(1+$N$3),-1)</f>
        <v>99640</v>
      </c>
      <c r="P9" s="67">
        <f t="shared" si="5"/>
        <v>102630</v>
      </c>
      <c r="Q9" s="68">
        <f>SUM(N9:P9)</f>
        <v>299010</v>
      </c>
      <c r="R9" s="69">
        <f t="shared" ref="R9:R13" si="6">SUM(E9,I9,M9,Q9)</f>
        <v>1073700</v>
      </c>
    </row>
    <row r="10" spans="1:18">
      <c r="A10" s="66" t="s">
        <v>332</v>
      </c>
      <c r="B10" s="83">
        <v>1300</v>
      </c>
      <c r="C10" s="70">
        <f t="shared" si="2"/>
        <v>1310</v>
      </c>
      <c r="D10" s="70">
        <f t="shared" si="2"/>
        <v>1320</v>
      </c>
      <c r="E10" s="84">
        <f>SUM(B10:D10)</f>
        <v>3930</v>
      </c>
      <c r="F10" s="70">
        <f>ROUND(D10*(1+$F$3),-1)</f>
        <v>1360</v>
      </c>
      <c r="G10" s="70">
        <f t="shared" si="3"/>
        <v>1400</v>
      </c>
      <c r="H10" s="70">
        <f t="shared" si="3"/>
        <v>1440</v>
      </c>
      <c r="I10" s="84">
        <f>SUM(F10:H10)</f>
        <v>4200</v>
      </c>
      <c r="J10" s="70">
        <f>ROUND(H10*(1+$J$3),-1)</f>
        <v>1470</v>
      </c>
      <c r="K10" s="70">
        <f t="shared" si="4"/>
        <v>1500</v>
      </c>
      <c r="L10" s="70">
        <f t="shared" si="4"/>
        <v>1530</v>
      </c>
      <c r="M10" s="84">
        <f>SUM(J10:L10)</f>
        <v>4500</v>
      </c>
      <c r="N10" s="70">
        <f>ROUND(L10*(1+$N$3),-1)</f>
        <v>1580</v>
      </c>
      <c r="O10" s="70">
        <f t="shared" si="5"/>
        <v>1630</v>
      </c>
      <c r="P10" s="70">
        <f t="shared" si="5"/>
        <v>1680</v>
      </c>
      <c r="Q10" s="84">
        <f>SUM(N10:P10)</f>
        <v>4890</v>
      </c>
      <c r="R10" s="85">
        <f t="shared" si="6"/>
        <v>17520</v>
      </c>
    </row>
    <row r="11" spans="1:18">
      <c r="A11" s="66" t="s">
        <v>333</v>
      </c>
      <c r="B11" s="86">
        <v>500</v>
      </c>
      <c r="C11" s="70">
        <f t="shared" si="2"/>
        <v>510</v>
      </c>
      <c r="D11" s="70">
        <f t="shared" si="2"/>
        <v>520</v>
      </c>
      <c r="E11" s="71">
        <f>SUM(B11:D11)</f>
        <v>1530</v>
      </c>
      <c r="F11" s="70">
        <f>ROUND(D11*(1+$F$3),-1)</f>
        <v>540</v>
      </c>
      <c r="G11" s="70">
        <f t="shared" si="3"/>
        <v>560</v>
      </c>
      <c r="H11" s="70">
        <f t="shared" si="3"/>
        <v>580</v>
      </c>
      <c r="I11" s="71">
        <f>SUM(F11:H11)</f>
        <v>1680</v>
      </c>
      <c r="J11" s="70">
        <f>ROUND(H11*(1+$J$3),-1)</f>
        <v>590</v>
      </c>
      <c r="K11" s="70">
        <f t="shared" si="4"/>
        <v>600</v>
      </c>
      <c r="L11" s="70">
        <f t="shared" si="4"/>
        <v>610</v>
      </c>
      <c r="M11" s="71">
        <f>SUM(J11:L11)</f>
        <v>1800</v>
      </c>
      <c r="N11" s="70">
        <f>ROUND(L11*(1+$N$3),-1)</f>
        <v>630</v>
      </c>
      <c r="O11" s="70">
        <f t="shared" si="5"/>
        <v>650</v>
      </c>
      <c r="P11" s="70">
        <f t="shared" si="5"/>
        <v>670</v>
      </c>
      <c r="Q11" s="71">
        <f>SUM(N11:P11)</f>
        <v>1950</v>
      </c>
      <c r="R11" s="72">
        <f t="shared" si="6"/>
        <v>6960</v>
      </c>
    </row>
    <row r="12" spans="1:18" ht="15.75" thickBot="1">
      <c r="A12" s="73" t="s">
        <v>334</v>
      </c>
      <c r="B12" s="87">
        <f t="shared" ref="B12:Q12" si="7">SUM(B9:B11)</f>
        <v>81200</v>
      </c>
      <c r="C12" s="74">
        <f t="shared" si="7"/>
        <v>82010</v>
      </c>
      <c r="D12" s="74">
        <f t="shared" si="7"/>
        <v>82830</v>
      </c>
      <c r="E12" s="75">
        <f t="shared" si="7"/>
        <v>246040</v>
      </c>
      <c r="F12" s="74">
        <f t="shared" si="7"/>
        <v>85320</v>
      </c>
      <c r="G12" s="74">
        <f t="shared" si="7"/>
        <v>87880</v>
      </c>
      <c r="H12" s="74">
        <f t="shared" si="7"/>
        <v>90520</v>
      </c>
      <c r="I12" s="75">
        <f t="shared" si="7"/>
        <v>263720</v>
      </c>
      <c r="J12" s="74">
        <f t="shared" si="7"/>
        <v>92330</v>
      </c>
      <c r="K12" s="74">
        <f t="shared" si="7"/>
        <v>94180</v>
      </c>
      <c r="L12" s="74">
        <f t="shared" si="7"/>
        <v>96060</v>
      </c>
      <c r="M12" s="75">
        <f t="shared" si="7"/>
        <v>282570</v>
      </c>
      <c r="N12" s="74">
        <f t="shared" si="7"/>
        <v>98950</v>
      </c>
      <c r="O12" s="74">
        <f t="shared" si="7"/>
        <v>101920</v>
      </c>
      <c r="P12" s="74">
        <f t="shared" si="7"/>
        <v>104980</v>
      </c>
      <c r="Q12" s="75">
        <f t="shared" si="7"/>
        <v>305850</v>
      </c>
      <c r="R12" s="76">
        <f t="shared" si="6"/>
        <v>1098180</v>
      </c>
    </row>
    <row r="13" spans="1:18" ht="15.75" thickBot="1">
      <c r="A13" s="61" t="s">
        <v>335</v>
      </c>
      <c r="B13" s="88">
        <f t="shared" ref="B13:Q13" si="8">B6-B12</f>
        <v>120500</v>
      </c>
      <c r="C13" s="89">
        <f t="shared" si="8"/>
        <v>121710</v>
      </c>
      <c r="D13" s="89">
        <f t="shared" si="8"/>
        <v>122930</v>
      </c>
      <c r="E13" s="90">
        <f t="shared" si="8"/>
        <v>365140</v>
      </c>
      <c r="F13" s="89">
        <f t="shared" si="8"/>
        <v>126610</v>
      </c>
      <c r="G13" s="89">
        <f t="shared" si="8"/>
        <v>130400</v>
      </c>
      <c r="H13" s="89">
        <f t="shared" si="8"/>
        <v>134310</v>
      </c>
      <c r="I13" s="90">
        <f t="shared" si="8"/>
        <v>391320</v>
      </c>
      <c r="J13" s="89">
        <f t="shared" si="8"/>
        <v>137000</v>
      </c>
      <c r="K13" s="89">
        <f t="shared" si="8"/>
        <v>139730</v>
      </c>
      <c r="L13" s="89">
        <f t="shared" si="8"/>
        <v>142530</v>
      </c>
      <c r="M13" s="90">
        <f t="shared" si="8"/>
        <v>419260</v>
      </c>
      <c r="N13" s="89">
        <f t="shared" si="8"/>
        <v>146800</v>
      </c>
      <c r="O13" s="89">
        <f t="shared" si="8"/>
        <v>151200</v>
      </c>
      <c r="P13" s="89">
        <f t="shared" si="8"/>
        <v>155730</v>
      </c>
      <c r="Q13" s="90">
        <f t="shared" si="8"/>
        <v>453730</v>
      </c>
      <c r="R13" s="91">
        <f t="shared" si="6"/>
        <v>1629450</v>
      </c>
    </row>
    <row r="14" spans="1:18" ht="15.75" thickTop="1">
      <c r="A14" s="92"/>
      <c r="B14" s="67"/>
      <c r="C14" s="67"/>
      <c r="D14" s="67"/>
      <c r="E14" s="93"/>
      <c r="F14" s="67"/>
      <c r="G14" s="67"/>
      <c r="H14" s="67"/>
      <c r="I14" s="93"/>
      <c r="J14" s="67"/>
      <c r="K14" s="67"/>
      <c r="L14" s="67"/>
      <c r="M14" s="93"/>
      <c r="N14" s="67"/>
      <c r="O14" s="67"/>
      <c r="P14" s="67"/>
      <c r="Q14" s="93"/>
      <c r="R14" s="94"/>
    </row>
    <row r="15" spans="1:18">
      <c r="A15" s="61" t="s">
        <v>308</v>
      </c>
      <c r="B15" s="67"/>
      <c r="C15" s="67"/>
      <c r="D15" s="67"/>
      <c r="E15" s="81"/>
      <c r="F15" s="67"/>
      <c r="G15" s="67"/>
      <c r="H15" s="67"/>
      <c r="I15" s="81"/>
      <c r="J15" s="67"/>
      <c r="K15" s="67"/>
      <c r="L15" s="67"/>
      <c r="M15" s="81"/>
      <c r="N15" s="67"/>
      <c r="O15" s="67"/>
      <c r="P15" s="67"/>
      <c r="Q15" s="81"/>
      <c r="R15" s="82"/>
    </row>
    <row r="16" spans="1:18">
      <c r="A16" s="95" t="s">
        <v>336</v>
      </c>
      <c r="B16" s="96">
        <v>18400</v>
      </c>
      <c r="C16" s="67">
        <f t="shared" ref="C16:D31" si="9">ROUND(B16*(1+$B$3),-1)</f>
        <v>18580</v>
      </c>
      <c r="D16" s="67">
        <f t="shared" si="9"/>
        <v>18770</v>
      </c>
      <c r="E16" s="68">
        <f t="shared" ref="E16:E31" si="10">SUM(B16:D16)</f>
        <v>55750</v>
      </c>
      <c r="F16" s="67">
        <f t="shared" ref="F16:F31" si="11">ROUND(D16*(1+$F$3),-1)</f>
        <v>19330</v>
      </c>
      <c r="G16" s="67">
        <f t="shared" ref="G16:H31" si="12">ROUND(F16*(1+$F$3),-1)</f>
        <v>19910</v>
      </c>
      <c r="H16" s="67">
        <f t="shared" si="12"/>
        <v>20510</v>
      </c>
      <c r="I16" s="68">
        <f t="shared" ref="I16:I31" si="13">SUM(F16:H16)</f>
        <v>59750</v>
      </c>
      <c r="J16" s="67">
        <f t="shared" ref="J16:J31" si="14">ROUND(H16*(1+$J$3),-1)</f>
        <v>20920</v>
      </c>
      <c r="K16" s="67">
        <f t="shared" ref="K16:L31" si="15">ROUND(J16*(1+$J$3),-1)</f>
        <v>21340</v>
      </c>
      <c r="L16" s="67">
        <f t="shared" si="15"/>
        <v>21770</v>
      </c>
      <c r="M16" s="68">
        <f t="shared" ref="M16:M31" si="16">SUM(J16:L16)</f>
        <v>64030</v>
      </c>
      <c r="N16" s="67">
        <f t="shared" ref="N16:N31" si="17">ROUND(L16*(1+$N$3),-1)</f>
        <v>22420</v>
      </c>
      <c r="O16" s="67">
        <f t="shared" ref="O16:P31" si="18">ROUND(N16*(1+$N$3),-1)</f>
        <v>23090</v>
      </c>
      <c r="P16" s="67">
        <f t="shared" si="18"/>
        <v>23780</v>
      </c>
      <c r="Q16" s="68">
        <f t="shared" ref="Q16:Q31" si="19">SUM(N16:P16)</f>
        <v>69290</v>
      </c>
      <c r="R16" s="69">
        <f t="shared" ref="R16:R32" si="20">SUM(E16,I16,M16,Q16)</f>
        <v>248820</v>
      </c>
    </row>
    <row r="17" spans="1:18">
      <c r="A17" s="95" t="s">
        <v>337</v>
      </c>
      <c r="B17" s="97">
        <v>175</v>
      </c>
      <c r="C17" s="70">
        <f t="shared" si="9"/>
        <v>180</v>
      </c>
      <c r="D17" s="70">
        <f t="shared" si="9"/>
        <v>180</v>
      </c>
      <c r="E17" s="84">
        <f t="shared" si="10"/>
        <v>535</v>
      </c>
      <c r="F17" s="70">
        <f t="shared" si="11"/>
        <v>190</v>
      </c>
      <c r="G17" s="70">
        <f t="shared" si="12"/>
        <v>200</v>
      </c>
      <c r="H17" s="70">
        <f t="shared" si="12"/>
        <v>210</v>
      </c>
      <c r="I17" s="84">
        <f t="shared" si="13"/>
        <v>600</v>
      </c>
      <c r="J17" s="70">
        <f t="shared" si="14"/>
        <v>210</v>
      </c>
      <c r="K17" s="70">
        <f t="shared" si="15"/>
        <v>210</v>
      </c>
      <c r="L17" s="70">
        <f t="shared" si="15"/>
        <v>210</v>
      </c>
      <c r="M17" s="84">
        <f t="shared" si="16"/>
        <v>630</v>
      </c>
      <c r="N17" s="70">
        <f t="shared" si="17"/>
        <v>220</v>
      </c>
      <c r="O17" s="70">
        <f t="shared" si="18"/>
        <v>230</v>
      </c>
      <c r="P17" s="70">
        <f t="shared" si="18"/>
        <v>240</v>
      </c>
      <c r="Q17" s="84">
        <f t="shared" si="19"/>
        <v>690</v>
      </c>
      <c r="R17" s="85">
        <f t="shared" si="20"/>
        <v>2455</v>
      </c>
    </row>
    <row r="18" spans="1:18">
      <c r="A18" s="95" t="s">
        <v>338</v>
      </c>
      <c r="B18" s="97">
        <v>200</v>
      </c>
      <c r="C18" s="70">
        <f t="shared" si="9"/>
        <v>200</v>
      </c>
      <c r="D18" s="70">
        <f t="shared" si="9"/>
        <v>200</v>
      </c>
      <c r="E18" s="84">
        <f t="shared" si="10"/>
        <v>600</v>
      </c>
      <c r="F18" s="70">
        <f t="shared" si="11"/>
        <v>210</v>
      </c>
      <c r="G18" s="70">
        <f t="shared" si="12"/>
        <v>220</v>
      </c>
      <c r="H18" s="70">
        <f t="shared" si="12"/>
        <v>230</v>
      </c>
      <c r="I18" s="84">
        <f t="shared" si="13"/>
        <v>660</v>
      </c>
      <c r="J18" s="70">
        <f t="shared" si="14"/>
        <v>230</v>
      </c>
      <c r="K18" s="70">
        <f t="shared" si="15"/>
        <v>230</v>
      </c>
      <c r="L18" s="70">
        <f t="shared" si="15"/>
        <v>230</v>
      </c>
      <c r="M18" s="84">
        <f t="shared" si="16"/>
        <v>690</v>
      </c>
      <c r="N18" s="70">
        <f t="shared" si="17"/>
        <v>240</v>
      </c>
      <c r="O18" s="70">
        <f t="shared" si="18"/>
        <v>250</v>
      </c>
      <c r="P18" s="70">
        <f t="shared" si="18"/>
        <v>260</v>
      </c>
      <c r="Q18" s="84">
        <f t="shared" si="19"/>
        <v>750</v>
      </c>
      <c r="R18" s="85">
        <f t="shared" si="20"/>
        <v>2700</v>
      </c>
    </row>
    <row r="19" spans="1:18">
      <c r="A19" s="95" t="s">
        <v>339</v>
      </c>
      <c r="B19" s="97">
        <v>162</v>
      </c>
      <c r="C19" s="70">
        <f t="shared" si="9"/>
        <v>160</v>
      </c>
      <c r="D19" s="70">
        <f t="shared" si="9"/>
        <v>160</v>
      </c>
      <c r="E19" s="84">
        <f t="shared" si="10"/>
        <v>482</v>
      </c>
      <c r="F19" s="70">
        <f t="shared" si="11"/>
        <v>160</v>
      </c>
      <c r="G19" s="70">
        <f t="shared" si="12"/>
        <v>160</v>
      </c>
      <c r="H19" s="70">
        <f t="shared" si="12"/>
        <v>160</v>
      </c>
      <c r="I19" s="84">
        <f t="shared" si="13"/>
        <v>480</v>
      </c>
      <c r="J19" s="70">
        <f t="shared" si="14"/>
        <v>160</v>
      </c>
      <c r="K19" s="70">
        <f t="shared" si="15"/>
        <v>160</v>
      </c>
      <c r="L19" s="70">
        <f t="shared" si="15"/>
        <v>160</v>
      </c>
      <c r="M19" s="84">
        <f t="shared" si="16"/>
        <v>480</v>
      </c>
      <c r="N19" s="70">
        <f t="shared" si="17"/>
        <v>160</v>
      </c>
      <c r="O19" s="70">
        <f t="shared" si="18"/>
        <v>160</v>
      </c>
      <c r="P19" s="70">
        <f t="shared" si="18"/>
        <v>160</v>
      </c>
      <c r="Q19" s="84">
        <f t="shared" si="19"/>
        <v>480</v>
      </c>
      <c r="R19" s="85">
        <f t="shared" si="20"/>
        <v>1922</v>
      </c>
    </row>
    <row r="20" spans="1:18">
      <c r="A20" s="95" t="s">
        <v>340</v>
      </c>
      <c r="B20" s="97">
        <v>200</v>
      </c>
      <c r="C20" s="70">
        <f t="shared" si="9"/>
        <v>200</v>
      </c>
      <c r="D20" s="70">
        <f t="shared" si="9"/>
        <v>200</v>
      </c>
      <c r="E20" s="84">
        <f t="shared" si="10"/>
        <v>600</v>
      </c>
      <c r="F20" s="70">
        <f t="shared" si="11"/>
        <v>210</v>
      </c>
      <c r="G20" s="70">
        <f t="shared" si="12"/>
        <v>220</v>
      </c>
      <c r="H20" s="70">
        <f t="shared" si="12"/>
        <v>230</v>
      </c>
      <c r="I20" s="84">
        <f t="shared" si="13"/>
        <v>660</v>
      </c>
      <c r="J20" s="70">
        <f t="shared" si="14"/>
        <v>230</v>
      </c>
      <c r="K20" s="70">
        <f t="shared" si="15"/>
        <v>230</v>
      </c>
      <c r="L20" s="70">
        <f t="shared" si="15"/>
        <v>230</v>
      </c>
      <c r="M20" s="84">
        <f t="shared" si="16"/>
        <v>690</v>
      </c>
      <c r="N20" s="70">
        <f t="shared" si="17"/>
        <v>240</v>
      </c>
      <c r="O20" s="70">
        <f t="shared" si="18"/>
        <v>250</v>
      </c>
      <c r="P20" s="70">
        <f t="shared" si="18"/>
        <v>260</v>
      </c>
      <c r="Q20" s="84">
        <f t="shared" si="19"/>
        <v>750</v>
      </c>
      <c r="R20" s="85">
        <f t="shared" si="20"/>
        <v>2700</v>
      </c>
    </row>
    <row r="21" spans="1:18">
      <c r="A21" s="95" t="s">
        <v>341</v>
      </c>
      <c r="B21" s="97">
        <v>3800</v>
      </c>
      <c r="C21" s="70">
        <f t="shared" si="9"/>
        <v>3840</v>
      </c>
      <c r="D21" s="70">
        <f t="shared" si="9"/>
        <v>3880</v>
      </c>
      <c r="E21" s="84">
        <f t="shared" si="10"/>
        <v>11520</v>
      </c>
      <c r="F21" s="70">
        <f t="shared" si="11"/>
        <v>4000</v>
      </c>
      <c r="G21" s="70">
        <f t="shared" si="12"/>
        <v>4120</v>
      </c>
      <c r="H21" s="70">
        <f t="shared" si="12"/>
        <v>4240</v>
      </c>
      <c r="I21" s="84">
        <f t="shared" si="13"/>
        <v>12360</v>
      </c>
      <c r="J21" s="70">
        <f t="shared" si="14"/>
        <v>4320</v>
      </c>
      <c r="K21" s="70">
        <f t="shared" si="15"/>
        <v>4410</v>
      </c>
      <c r="L21" s="70">
        <f t="shared" si="15"/>
        <v>4500</v>
      </c>
      <c r="M21" s="84">
        <f t="shared" si="16"/>
        <v>13230</v>
      </c>
      <c r="N21" s="70">
        <f t="shared" si="17"/>
        <v>4640</v>
      </c>
      <c r="O21" s="70">
        <f t="shared" si="18"/>
        <v>4780</v>
      </c>
      <c r="P21" s="70">
        <f t="shared" si="18"/>
        <v>4920</v>
      </c>
      <c r="Q21" s="84">
        <f t="shared" si="19"/>
        <v>14340</v>
      </c>
      <c r="R21" s="85">
        <f t="shared" si="20"/>
        <v>51450</v>
      </c>
    </row>
    <row r="22" spans="1:18">
      <c r="A22" s="95" t="s">
        <v>342</v>
      </c>
      <c r="B22" s="97">
        <v>300</v>
      </c>
      <c r="C22" s="70">
        <f t="shared" si="9"/>
        <v>300</v>
      </c>
      <c r="D22" s="70">
        <f t="shared" si="9"/>
        <v>300</v>
      </c>
      <c r="E22" s="84">
        <f t="shared" si="10"/>
        <v>900</v>
      </c>
      <c r="F22" s="70">
        <f t="shared" si="11"/>
        <v>310</v>
      </c>
      <c r="G22" s="70">
        <f t="shared" si="12"/>
        <v>320</v>
      </c>
      <c r="H22" s="70">
        <f t="shared" si="12"/>
        <v>330</v>
      </c>
      <c r="I22" s="84">
        <f t="shared" si="13"/>
        <v>960</v>
      </c>
      <c r="J22" s="70">
        <f t="shared" si="14"/>
        <v>340</v>
      </c>
      <c r="K22" s="70">
        <f t="shared" si="15"/>
        <v>350</v>
      </c>
      <c r="L22" s="70">
        <f t="shared" si="15"/>
        <v>360</v>
      </c>
      <c r="M22" s="84">
        <f t="shared" si="16"/>
        <v>1050</v>
      </c>
      <c r="N22" s="70">
        <f t="shared" si="17"/>
        <v>370</v>
      </c>
      <c r="O22" s="70">
        <f t="shared" si="18"/>
        <v>380</v>
      </c>
      <c r="P22" s="70">
        <f t="shared" si="18"/>
        <v>390</v>
      </c>
      <c r="Q22" s="84">
        <f t="shared" si="19"/>
        <v>1140</v>
      </c>
      <c r="R22" s="85">
        <f t="shared" si="20"/>
        <v>4050</v>
      </c>
    </row>
    <row r="23" spans="1:18">
      <c r="A23" s="95" t="s">
        <v>343</v>
      </c>
      <c r="B23" s="97">
        <v>700</v>
      </c>
      <c r="C23" s="70">
        <f t="shared" si="9"/>
        <v>710</v>
      </c>
      <c r="D23" s="70">
        <f t="shared" si="9"/>
        <v>720</v>
      </c>
      <c r="E23" s="84">
        <f t="shared" si="10"/>
        <v>2130</v>
      </c>
      <c r="F23" s="70">
        <f t="shared" si="11"/>
        <v>740</v>
      </c>
      <c r="G23" s="70">
        <f t="shared" si="12"/>
        <v>760</v>
      </c>
      <c r="H23" s="70">
        <f t="shared" si="12"/>
        <v>780</v>
      </c>
      <c r="I23" s="84">
        <f t="shared" si="13"/>
        <v>2280</v>
      </c>
      <c r="J23" s="70">
        <f t="shared" si="14"/>
        <v>800</v>
      </c>
      <c r="K23" s="70">
        <f t="shared" si="15"/>
        <v>820</v>
      </c>
      <c r="L23" s="70">
        <f t="shared" si="15"/>
        <v>840</v>
      </c>
      <c r="M23" s="84">
        <f t="shared" si="16"/>
        <v>2460</v>
      </c>
      <c r="N23" s="70">
        <f t="shared" si="17"/>
        <v>870</v>
      </c>
      <c r="O23" s="70">
        <f t="shared" si="18"/>
        <v>900</v>
      </c>
      <c r="P23" s="70">
        <f t="shared" si="18"/>
        <v>930</v>
      </c>
      <c r="Q23" s="84">
        <f t="shared" si="19"/>
        <v>2700</v>
      </c>
      <c r="R23" s="85">
        <f t="shared" si="20"/>
        <v>9570</v>
      </c>
    </row>
    <row r="24" spans="1:18">
      <c r="A24" s="95" t="s">
        <v>344</v>
      </c>
      <c r="B24" s="97">
        <v>2300</v>
      </c>
      <c r="C24" s="70">
        <f t="shared" si="9"/>
        <v>2320</v>
      </c>
      <c r="D24" s="70">
        <f t="shared" si="9"/>
        <v>2340</v>
      </c>
      <c r="E24" s="84">
        <f t="shared" si="10"/>
        <v>6960</v>
      </c>
      <c r="F24" s="70">
        <f t="shared" si="11"/>
        <v>2410</v>
      </c>
      <c r="G24" s="70">
        <f t="shared" si="12"/>
        <v>2480</v>
      </c>
      <c r="H24" s="70">
        <f t="shared" si="12"/>
        <v>2550</v>
      </c>
      <c r="I24" s="84">
        <f t="shared" si="13"/>
        <v>7440</v>
      </c>
      <c r="J24" s="70">
        <f t="shared" si="14"/>
        <v>2600</v>
      </c>
      <c r="K24" s="70">
        <f t="shared" si="15"/>
        <v>2650</v>
      </c>
      <c r="L24" s="70">
        <f t="shared" si="15"/>
        <v>2700</v>
      </c>
      <c r="M24" s="84">
        <f t="shared" si="16"/>
        <v>7950</v>
      </c>
      <c r="N24" s="70">
        <f t="shared" si="17"/>
        <v>2780</v>
      </c>
      <c r="O24" s="70">
        <f t="shared" si="18"/>
        <v>2860</v>
      </c>
      <c r="P24" s="70">
        <f t="shared" si="18"/>
        <v>2950</v>
      </c>
      <c r="Q24" s="84">
        <f t="shared" si="19"/>
        <v>8590</v>
      </c>
      <c r="R24" s="85">
        <f t="shared" si="20"/>
        <v>30940</v>
      </c>
    </row>
    <row r="25" spans="1:18">
      <c r="A25" s="95" t="s">
        <v>345</v>
      </c>
      <c r="B25" s="97">
        <v>21600</v>
      </c>
      <c r="C25" s="70">
        <f t="shared" si="9"/>
        <v>21820</v>
      </c>
      <c r="D25" s="70">
        <f t="shared" si="9"/>
        <v>22040</v>
      </c>
      <c r="E25" s="84">
        <f t="shared" si="10"/>
        <v>65460</v>
      </c>
      <c r="F25" s="70">
        <f t="shared" si="11"/>
        <v>22700</v>
      </c>
      <c r="G25" s="70">
        <f t="shared" si="12"/>
        <v>23380</v>
      </c>
      <c r="H25" s="70">
        <f t="shared" si="12"/>
        <v>24080</v>
      </c>
      <c r="I25" s="84">
        <f t="shared" si="13"/>
        <v>70160</v>
      </c>
      <c r="J25" s="70">
        <f t="shared" si="14"/>
        <v>24560</v>
      </c>
      <c r="K25" s="70">
        <f t="shared" si="15"/>
        <v>25050</v>
      </c>
      <c r="L25" s="70">
        <f t="shared" si="15"/>
        <v>25550</v>
      </c>
      <c r="M25" s="84">
        <f t="shared" si="16"/>
        <v>75160</v>
      </c>
      <c r="N25" s="70">
        <f t="shared" si="17"/>
        <v>26320</v>
      </c>
      <c r="O25" s="70">
        <f t="shared" si="18"/>
        <v>27110</v>
      </c>
      <c r="P25" s="70">
        <f t="shared" si="18"/>
        <v>27920</v>
      </c>
      <c r="Q25" s="84">
        <f t="shared" si="19"/>
        <v>81350</v>
      </c>
      <c r="R25" s="85">
        <f t="shared" si="20"/>
        <v>292130</v>
      </c>
    </row>
    <row r="26" spans="1:18">
      <c r="A26" s="95" t="s">
        <v>346</v>
      </c>
      <c r="B26" s="97">
        <v>1100</v>
      </c>
      <c r="C26" s="70">
        <f t="shared" si="9"/>
        <v>1110</v>
      </c>
      <c r="D26" s="70">
        <f t="shared" si="9"/>
        <v>1120</v>
      </c>
      <c r="E26" s="84">
        <f t="shared" si="10"/>
        <v>3330</v>
      </c>
      <c r="F26" s="70">
        <f t="shared" si="11"/>
        <v>1150</v>
      </c>
      <c r="G26" s="70">
        <f t="shared" si="12"/>
        <v>1180</v>
      </c>
      <c r="H26" s="70">
        <f t="shared" si="12"/>
        <v>1220</v>
      </c>
      <c r="I26" s="84">
        <f t="shared" si="13"/>
        <v>3550</v>
      </c>
      <c r="J26" s="70">
        <f t="shared" si="14"/>
        <v>1240</v>
      </c>
      <c r="K26" s="70">
        <f t="shared" si="15"/>
        <v>1260</v>
      </c>
      <c r="L26" s="70">
        <f t="shared" si="15"/>
        <v>1290</v>
      </c>
      <c r="M26" s="84">
        <f t="shared" si="16"/>
        <v>3790</v>
      </c>
      <c r="N26" s="70">
        <f t="shared" si="17"/>
        <v>1330</v>
      </c>
      <c r="O26" s="70">
        <f t="shared" si="18"/>
        <v>1370</v>
      </c>
      <c r="P26" s="70">
        <f t="shared" si="18"/>
        <v>1410</v>
      </c>
      <c r="Q26" s="84">
        <f t="shared" si="19"/>
        <v>4110</v>
      </c>
      <c r="R26" s="85">
        <f t="shared" si="20"/>
        <v>14780</v>
      </c>
    </row>
    <row r="27" spans="1:18">
      <c r="A27" s="95" t="s">
        <v>347</v>
      </c>
      <c r="B27" s="97">
        <v>1300</v>
      </c>
      <c r="C27" s="70">
        <f t="shared" si="9"/>
        <v>1310</v>
      </c>
      <c r="D27" s="70">
        <f t="shared" si="9"/>
        <v>1320</v>
      </c>
      <c r="E27" s="84">
        <f t="shared" si="10"/>
        <v>3930</v>
      </c>
      <c r="F27" s="70">
        <f t="shared" si="11"/>
        <v>1360</v>
      </c>
      <c r="G27" s="70">
        <f t="shared" si="12"/>
        <v>1400</v>
      </c>
      <c r="H27" s="70">
        <f t="shared" si="12"/>
        <v>1440</v>
      </c>
      <c r="I27" s="84">
        <f t="shared" si="13"/>
        <v>4200</v>
      </c>
      <c r="J27" s="70">
        <f t="shared" si="14"/>
        <v>1470</v>
      </c>
      <c r="K27" s="70">
        <f t="shared" si="15"/>
        <v>1500</v>
      </c>
      <c r="L27" s="70">
        <f t="shared" si="15"/>
        <v>1530</v>
      </c>
      <c r="M27" s="84">
        <f t="shared" si="16"/>
        <v>4500</v>
      </c>
      <c r="N27" s="70">
        <f t="shared" si="17"/>
        <v>1580</v>
      </c>
      <c r="O27" s="70">
        <f t="shared" si="18"/>
        <v>1630</v>
      </c>
      <c r="P27" s="70">
        <f t="shared" si="18"/>
        <v>1680</v>
      </c>
      <c r="Q27" s="84">
        <f t="shared" si="19"/>
        <v>4890</v>
      </c>
      <c r="R27" s="85">
        <f t="shared" si="20"/>
        <v>17520</v>
      </c>
    </row>
    <row r="28" spans="1:18">
      <c r="A28" s="95" t="s">
        <v>98</v>
      </c>
      <c r="B28" s="97">
        <v>500</v>
      </c>
      <c r="C28" s="70">
        <f t="shared" si="9"/>
        <v>510</v>
      </c>
      <c r="D28" s="70">
        <f t="shared" si="9"/>
        <v>520</v>
      </c>
      <c r="E28" s="84">
        <f t="shared" si="10"/>
        <v>1530</v>
      </c>
      <c r="F28" s="70">
        <f t="shared" si="11"/>
        <v>540</v>
      </c>
      <c r="G28" s="70">
        <f t="shared" si="12"/>
        <v>560</v>
      </c>
      <c r="H28" s="70">
        <f t="shared" si="12"/>
        <v>580</v>
      </c>
      <c r="I28" s="84">
        <f t="shared" si="13"/>
        <v>1680</v>
      </c>
      <c r="J28" s="70">
        <f t="shared" si="14"/>
        <v>590</v>
      </c>
      <c r="K28" s="70">
        <f t="shared" si="15"/>
        <v>600</v>
      </c>
      <c r="L28" s="70">
        <f t="shared" si="15"/>
        <v>610</v>
      </c>
      <c r="M28" s="84">
        <f t="shared" si="16"/>
        <v>1800</v>
      </c>
      <c r="N28" s="70">
        <f t="shared" si="17"/>
        <v>630</v>
      </c>
      <c r="O28" s="70">
        <f t="shared" si="18"/>
        <v>650</v>
      </c>
      <c r="P28" s="70">
        <f t="shared" si="18"/>
        <v>670</v>
      </c>
      <c r="Q28" s="84">
        <f t="shared" si="19"/>
        <v>1950</v>
      </c>
      <c r="R28" s="85">
        <f t="shared" si="20"/>
        <v>6960</v>
      </c>
    </row>
    <row r="29" spans="1:18">
      <c r="A29" s="95" t="s">
        <v>348</v>
      </c>
      <c r="B29" s="97">
        <v>900</v>
      </c>
      <c r="C29" s="70">
        <f t="shared" si="9"/>
        <v>910</v>
      </c>
      <c r="D29" s="70">
        <f t="shared" si="9"/>
        <v>920</v>
      </c>
      <c r="E29" s="84">
        <f t="shared" si="10"/>
        <v>2730</v>
      </c>
      <c r="F29" s="70">
        <f t="shared" si="11"/>
        <v>950</v>
      </c>
      <c r="G29" s="70">
        <f t="shared" si="12"/>
        <v>980</v>
      </c>
      <c r="H29" s="70">
        <f t="shared" si="12"/>
        <v>1010</v>
      </c>
      <c r="I29" s="84">
        <f t="shared" si="13"/>
        <v>2940</v>
      </c>
      <c r="J29" s="70">
        <f t="shared" si="14"/>
        <v>1030</v>
      </c>
      <c r="K29" s="70">
        <f t="shared" si="15"/>
        <v>1050</v>
      </c>
      <c r="L29" s="70">
        <f t="shared" si="15"/>
        <v>1070</v>
      </c>
      <c r="M29" s="84">
        <f t="shared" si="16"/>
        <v>3150</v>
      </c>
      <c r="N29" s="70">
        <f t="shared" si="17"/>
        <v>1100</v>
      </c>
      <c r="O29" s="70">
        <f t="shared" si="18"/>
        <v>1130</v>
      </c>
      <c r="P29" s="70">
        <f t="shared" si="18"/>
        <v>1160</v>
      </c>
      <c r="Q29" s="84">
        <f t="shared" si="19"/>
        <v>3390</v>
      </c>
      <c r="R29" s="85">
        <f t="shared" si="20"/>
        <v>12210</v>
      </c>
    </row>
    <row r="30" spans="1:18">
      <c r="A30" s="95" t="s">
        <v>349</v>
      </c>
      <c r="B30" s="97">
        <v>300</v>
      </c>
      <c r="C30" s="70">
        <f t="shared" si="9"/>
        <v>300</v>
      </c>
      <c r="D30" s="70">
        <f t="shared" si="9"/>
        <v>300</v>
      </c>
      <c r="E30" s="84">
        <f t="shared" si="10"/>
        <v>900</v>
      </c>
      <c r="F30" s="70">
        <f t="shared" si="11"/>
        <v>310</v>
      </c>
      <c r="G30" s="70">
        <f t="shared" si="12"/>
        <v>320</v>
      </c>
      <c r="H30" s="70">
        <f t="shared" si="12"/>
        <v>330</v>
      </c>
      <c r="I30" s="84">
        <f t="shared" si="13"/>
        <v>960</v>
      </c>
      <c r="J30" s="70">
        <f t="shared" si="14"/>
        <v>340</v>
      </c>
      <c r="K30" s="70">
        <f t="shared" si="15"/>
        <v>350</v>
      </c>
      <c r="L30" s="70">
        <f t="shared" si="15"/>
        <v>360</v>
      </c>
      <c r="M30" s="84">
        <f t="shared" si="16"/>
        <v>1050</v>
      </c>
      <c r="N30" s="70">
        <f t="shared" si="17"/>
        <v>370</v>
      </c>
      <c r="O30" s="70">
        <f t="shared" si="18"/>
        <v>380</v>
      </c>
      <c r="P30" s="70">
        <f t="shared" si="18"/>
        <v>390</v>
      </c>
      <c r="Q30" s="84">
        <f t="shared" si="19"/>
        <v>1140</v>
      </c>
      <c r="R30" s="85">
        <f t="shared" si="20"/>
        <v>4050</v>
      </c>
    </row>
    <row r="31" spans="1:18">
      <c r="A31" s="95" t="s">
        <v>350</v>
      </c>
      <c r="B31" s="97">
        <v>165</v>
      </c>
      <c r="C31" s="70">
        <f t="shared" si="9"/>
        <v>170</v>
      </c>
      <c r="D31" s="70">
        <f t="shared" si="9"/>
        <v>170</v>
      </c>
      <c r="E31" s="71">
        <f t="shared" si="10"/>
        <v>505</v>
      </c>
      <c r="F31" s="70">
        <f t="shared" si="11"/>
        <v>180</v>
      </c>
      <c r="G31" s="70">
        <f t="shared" si="12"/>
        <v>190</v>
      </c>
      <c r="H31" s="70">
        <f t="shared" si="12"/>
        <v>200</v>
      </c>
      <c r="I31" s="71">
        <f t="shared" si="13"/>
        <v>570</v>
      </c>
      <c r="J31" s="70">
        <f t="shared" si="14"/>
        <v>200</v>
      </c>
      <c r="K31" s="70">
        <f t="shared" si="15"/>
        <v>200</v>
      </c>
      <c r="L31" s="70">
        <f t="shared" si="15"/>
        <v>200</v>
      </c>
      <c r="M31" s="71">
        <f t="shared" si="16"/>
        <v>600</v>
      </c>
      <c r="N31" s="70">
        <f t="shared" si="17"/>
        <v>210</v>
      </c>
      <c r="O31" s="70">
        <f t="shared" si="18"/>
        <v>220</v>
      </c>
      <c r="P31" s="70">
        <f t="shared" si="18"/>
        <v>230</v>
      </c>
      <c r="Q31" s="71">
        <f t="shared" si="19"/>
        <v>660</v>
      </c>
      <c r="R31" s="72">
        <f t="shared" si="20"/>
        <v>2335</v>
      </c>
    </row>
    <row r="32" spans="1:18" ht="15.75" thickBot="1">
      <c r="A32" s="98" t="s">
        <v>351</v>
      </c>
      <c r="B32" s="89">
        <f t="shared" ref="B32:Q32" si="21">SUM(B16:B31)</f>
        <v>52102</v>
      </c>
      <c r="C32" s="89">
        <f t="shared" si="21"/>
        <v>52620</v>
      </c>
      <c r="D32" s="89">
        <f t="shared" si="21"/>
        <v>53140</v>
      </c>
      <c r="E32" s="99">
        <f t="shared" si="21"/>
        <v>157862</v>
      </c>
      <c r="F32" s="89">
        <f t="shared" si="21"/>
        <v>54750</v>
      </c>
      <c r="G32" s="89">
        <f t="shared" si="21"/>
        <v>56400</v>
      </c>
      <c r="H32" s="89">
        <f t="shared" si="21"/>
        <v>58100</v>
      </c>
      <c r="I32" s="99">
        <f t="shared" si="21"/>
        <v>169250</v>
      </c>
      <c r="J32" s="89">
        <f t="shared" si="21"/>
        <v>59240</v>
      </c>
      <c r="K32" s="89">
        <f t="shared" si="21"/>
        <v>60410</v>
      </c>
      <c r="L32" s="89">
        <f t="shared" si="21"/>
        <v>61610</v>
      </c>
      <c r="M32" s="99">
        <f t="shared" si="21"/>
        <v>181260</v>
      </c>
      <c r="N32" s="89">
        <f t="shared" si="21"/>
        <v>63480</v>
      </c>
      <c r="O32" s="89">
        <f t="shared" si="21"/>
        <v>65390</v>
      </c>
      <c r="P32" s="89">
        <f t="shared" si="21"/>
        <v>67350</v>
      </c>
      <c r="Q32" s="99">
        <f t="shared" si="21"/>
        <v>196220</v>
      </c>
      <c r="R32" s="100">
        <f t="shared" si="20"/>
        <v>704592</v>
      </c>
    </row>
    <row r="33" spans="1:18" ht="15.75" thickTop="1">
      <c r="A33" s="101"/>
      <c r="B33" s="67"/>
      <c r="C33" s="67"/>
      <c r="D33" s="67"/>
      <c r="E33" s="102"/>
      <c r="F33" s="67"/>
      <c r="G33" s="67"/>
      <c r="H33" s="67"/>
      <c r="I33" s="102"/>
      <c r="J33" s="67"/>
      <c r="K33" s="67"/>
      <c r="L33" s="67"/>
      <c r="M33" s="102"/>
      <c r="N33" s="67"/>
      <c r="O33" s="67"/>
      <c r="P33" s="67"/>
      <c r="Q33" s="102"/>
      <c r="R33" s="103"/>
    </row>
    <row r="34" spans="1:18">
      <c r="A34" s="104" t="s">
        <v>352</v>
      </c>
      <c r="B34" s="105">
        <f t="shared" ref="B34:Q34" si="22">B13-B32</f>
        <v>68398</v>
      </c>
      <c r="C34" s="105">
        <f t="shared" si="22"/>
        <v>69090</v>
      </c>
      <c r="D34" s="105">
        <f t="shared" si="22"/>
        <v>69790</v>
      </c>
      <c r="E34" s="106">
        <f t="shared" si="22"/>
        <v>207278</v>
      </c>
      <c r="F34" s="105">
        <f t="shared" si="22"/>
        <v>71860</v>
      </c>
      <c r="G34" s="105">
        <f t="shared" si="22"/>
        <v>74000</v>
      </c>
      <c r="H34" s="105">
        <f t="shared" si="22"/>
        <v>76210</v>
      </c>
      <c r="I34" s="106">
        <f t="shared" si="22"/>
        <v>222070</v>
      </c>
      <c r="J34" s="105">
        <f t="shared" si="22"/>
        <v>77760</v>
      </c>
      <c r="K34" s="105">
        <f t="shared" si="22"/>
        <v>79320</v>
      </c>
      <c r="L34" s="105">
        <f t="shared" si="22"/>
        <v>80920</v>
      </c>
      <c r="M34" s="106">
        <f t="shared" si="22"/>
        <v>238000</v>
      </c>
      <c r="N34" s="105">
        <f t="shared" si="22"/>
        <v>83320</v>
      </c>
      <c r="O34" s="105">
        <f t="shared" si="22"/>
        <v>85810</v>
      </c>
      <c r="P34" s="105">
        <f t="shared" si="22"/>
        <v>88380</v>
      </c>
      <c r="Q34" s="106">
        <f t="shared" si="22"/>
        <v>257510</v>
      </c>
      <c r="R34" s="107">
        <f>SUM(E34,I34,M34,Q34)</f>
        <v>924858</v>
      </c>
    </row>
  </sheetData>
  <mergeCells count="1">
    <mergeCell ref="A1:R1"/>
  </mergeCells>
  <printOptions gridLines="1" gridLinesSet="0"/>
  <pageMargins left="0.75" right="0.75" top="1" bottom="1" header="0.5" footer="0.5"/>
  <pageSetup orientation="portrait" horizontalDpi="4294967292" verticalDpi="4294967292"/>
  <headerFooter alignWithMargins="0">
    <oddHeader>&amp;F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66FFFF"/>
  </sheetPr>
  <dimension ref="A1:F1048556"/>
  <sheetViews>
    <sheetView zoomScale="115" zoomScaleNormal="115" zoomScalePageLayoutView="150" workbookViewId="0">
      <selection activeCell="B5" sqref="B5"/>
    </sheetView>
  </sheetViews>
  <sheetFormatPr defaultColWidth="100.5703125" defaultRowHeight="15"/>
  <cols>
    <col min="1" max="1" width="18.5703125" bestFit="1" customWidth="1"/>
    <col min="2" max="2" width="15.85546875" customWidth="1"/>
    <col min="3" max="3" width="34.5703125" bestFit="1" customWidth="1"/>
    <col min="4" max="4" width="17.85546875" customWidth="1"/>
    <col min="5" max="5" width="5.5703125" customWidth="1"/>
    <col min="6" max="6" width="6.42578125" customWidth="1"/>
    <col min="7" max="16384" width="100.5703125" style="54"/>
  </cols>
  <sheetData>
    <row r="1" spans="1:6" ht="26.25">
      <c r="A1" s="4" t="s">
        <v>555</v>
      </c>
      <c r="B1" s="2"/>
      <c r="C1" s="2"/>
      <c r="D1" s="2"/>
      <c r="E1" s="2"/>
      <c r="F1" s="2"/>
    </row>
    <row r="2" spans="1:6">
      <c r="A2" s="146" t="s">
        <v>99</v>
      </c>
      <c r="B2" s="147" t="s">
        <v>100</v>
      </c>
      <c r="C2" s="146" t="s">
        <v>101</v>
      </c>
      <c r="D2" s="148" t="s">
        <v>1294</v>
      </c>
      <c r="E2" s="146" t="s">
        <v>1473</v>
      </c>
      <c r="F2" s="149" t="s">
        <v>1524</v>
      </c>
    </row>
    <row r="3" spans="1:6">
      <c r="A3" s="142" t="s">
        <v>440</v>
      </c>
      <c r="B3" s="143">
        <v>8858765622</v>
      </c>
      <c r="C3" s="142" t="s">
        <v>102</v>
      </c>
      <c r="D3" s="144" t="s">
        <v>1295</v>
      </c>
      <c r="E3" s="140" t="s">
        <v>1474</v>
      </c>
      <c r="F3" s="141">
        <v>55481</v>
      </c>
    </row>
    <row r="4" spans="1:6">
      <c r="A4" s="142" t="s">
        <v>538</v>
      </c>
      <c r="B4" s="143">
        <v>4585275885</v>
      </c>
      <c r="C4" s="142" t="s">
        <v>103</v>
      </c>
      <c r="D4" s="144" t="s">
        <v>1296</v>
      </c>
      <c r="E4" s="140" t="s">
        <v>18</v>
      </c>
      <c r="F4" s="141">
        <v>23403</v>
      </c>
    </row>
    <row r="5" spans="1:6">
      <c r="A5" s="142" t="s">
        <v>526</v>
      </c>
      <c r="B5" s="143">
        <v>1593958617</v>
      </c>
      <c r="C5" s="142" t="s">
        <v>104</v>
      </c>
      <c r="D5" s="144" t="s">
        <v>1297</v>
      </c>
      <c r="E5" s="140" t="s">
        <v>1475</v>
      </c>
      <c r="F5" s="141">
        <v>13702</v>
      </c>
    </row>
    <row r="6" spans="1:6">
      <c r="A6" s="142" t="s">
        <v>549</v>
      </c>
      <c r="B6" s="143">
        <v>3237430418</v>
      </c>
      <c r="C6" s="142" t="s">
        <v>105</v>
      </c>
      <c r="D6" s="144" t="s">
        <v>1298</v>
      </c>
      <c r="E6" s="140" t="s">
        <v>1476</v>
      </c>
      <c r="F6" s="141">
        <v>14066</v>
      </c>
    </row>
    <row r="7" spans="1:6">
      <c r="A7" s="142" t="s">
        <v>552</v>
      </c>
      <c r="B7" s="143">
        <v>5722062343</v>
      </c>
      <c r="C7" s="142" t="s">
        <v>106</v>
      </c>
      <c r="D7" s="144" t="s">
        <v>1299</v>
      </c>
      <c r="E7" s="140" t="s">
        <v>1477</v>
      </c>
      <c r="F7" s="141">
        <v>50665</v>
      </c>
    </row>
    <row r="8" spans="1:6">
      <c r="A8" s="142" t="s">
        <v>460</v>
      </c>
      <c r="B8" s="143">
        <v>6459596914</v>
      </c>
      <c r="C8" s="142" t="s">
        <v>107</v>
      </c>
      <c r="D8" s="144" t="s">
        <v>1300</v>
      </c>
      <c r="E8" s="140" t="s">
        <v>1478</v>
      </c>
      <c r="F8" s="141">
        <v>94980</v>
      </c>
    </row>
    <row r="9" spans="1:6">
      <c r="A9" s="142" t="s">
        <v>520</v>
      </c>
      <c r="B9" s="143">
        <v>5617108249</v>
      </c>
      <c r="C9" s="142" t="s">
        <v>108</v>
      </c>
      <c r="D9" s="144" t="s">
        <v>1301</v>
      </c>
      <c r="E9" s="140" t="s">
        <v>1477</v>
      </c>
      <c r="F9" s="141">
        <v>32551</v>
      </c>
    </row>
    <row r="10" spans="1:6">
      <c r="A10" s="142" t="s">
        <v>430</v>
      </c>
      <c r="B10" s="143">
        <v>6434162825</v>
      </c>
      <c r="C10" s="142" t="s">
        <v>109</v>
      </c>
      <c r="D10" s="144" t="s">
        <v>1302</v>
      </c>
      <c r="E10" s="140" t="s">
        <v>1479</v>
      </c>
      <c r="F10" s="141">
        <v>19426</v>
      </c>
    </row>
    <row r="11" spans="1:6">
      <c r="A11" s="142" t="s">
        <v>448</v>
      </c>
      <c r="B11" s="143">
        <v>6656169953</v>
      </c>
      <c r="C11" s="142" t="s">
        <v>110</v>
      </c>
      <c r="D11" s="144" t="s">
        <v>1303</v>
      </c>
      <c r="E11" s="140" t="s">
        <v>1480</v>
      </c>
      <c r="F11" s="141">
        <v>88498</v>
      </c>
    </row>
    <row r="12" spans="1:6">
      <c r="A12" s="142" t="s">
        <v>485</v>
      </c>
      <c r="B12" s="143">
        <v>3937486024</v>
      </c>
      <c r="C12" s="142" t="s">
        <v>111</v>
      </c>
      <c r="D12" s="144" t="s">
        <v>1304</v>
      </c>
      <c r="E12" s="140" t="s">
        <v>1481</v>
      </c>
      <c r="F12" s="141">
        <v>94983</v>
      </c>
    </row>
    <row r="13" spans="1:6" ht="30">
      <c r="A13" s="142" t="s">
        <v>479</v>
      </c>
      <c r="B13" s="143">
        <v>4613074296</v>
      </c>
      <c r="C13" s="142" t="s">
        <v>112</v>
      </c>
      <c r="D13" s="144" t="s">
        <v>1305</v>
      </c>
      <c r="E13" s="140" t="s">
        <v>1482</v>
      </c>
      <c r="F13" s="141">
        <v>22681</v>
      </c>
    </row>
    <row r="14" spans="1:6">
      <c r="A14" s="142" t="s">
        <v>356</v>
      </c>
      <c r="B14" s="143">
        <v>8335754161</v>
      </c>
      <c r="C14" s="142" t="s">
        <v>113</v>
      </c>
      <c r="D14" s="144" t="s">
        <v>1306</v>
      </c>
      <c r="E14" s="140" t="s">
        <v>1483</v>
      </c>
      <c r="F14" s="141">
        <v>92314</v>
      </c>
    </row>
    <row r="15" spans="1:6">
      <c r="A15" s="142" t="s">
        <v>504</v>
      </c>
      <c r="B15" s="143">
        <v>1493803269</v>
      </c>
      <c r="C15" s="142" t="s">
        <v>114</v>
      </c>
      <c r="D15" s="144" t="s">
        <v>1307</v>
      </c>
      <c r="E15" s="140" t="s">
        <v>1484</v>
      </c>
      <c r="F15" s="141">
        <v>40734</v>
      </c>
    </row>
    <row r="16" spans="1:6">
      <c r="A16" s="142" t="s">
        <v>437</v>
      </c>
      <c r="B16" s="143">
        <v>1896091799</v>
      </c>
      <c r="C16" s="142" t="s">
        <v>115</v>
      </c>
      <c r="D16" s="144" t="s">
        <v>1308</v>
      </c>
      <c r="E16" s="140" t="s">
        <v>1485</v>
      </c>
      <c r="F16" s="141">
        <v>92852</v>
      </c>
    </row>
    <row r="17" spans="1:6">
      <c r="A17" s="142" t="s">
        <v>358</v>
      </c>
      <c r="B17" s="143">
        <v>4966772947</v>
      </c>
      <c r="C17" s="142" t="s">
        <v>116</v>
      </c>
      <c r="D17" s="144" t="s">
        <v>1309</v>
      </c>
      <c r="E17" s="140" t="s">
        <v>1486</v>
      </c>
      <c r="F17" s="141">
        <v>40598</v>
      </c>
    </row>
    <row r="18" spans="1:6">
      <c r="A18" s="142" t="s">
        <v>408</v>
      </c>
      <c r="B18" s="143">
        <v>8397301571</v>
      </c>
      <c r="C18" s="142" t="s">
        <v>117</v>
      </c>
      <c r="D18" s="144" t="s">
        <v>1310</v>
      </c>
      <c r="E18" s="140" t="s">
        <v>1487</v>
      </c>
      <c r="F18" s="141">
        <v>66902</v>
      </c>
    </row>
    <row r="19" spans="1:6">
      <c r="A19" s="142" t="s">
        <v>386</v>
      </c>
      <c r="B19" s="143">
        <v>8633539891</v>
      </c>
      <c r="C19" s="142" t="s">
        <v>118</v>
      </c>
      <c r="D19" s="144" t="s">
        <v>1311</v>
      </c>
      <c r="E19" s="140" t="s">
        <v>1488</v>
      </c>
      <c r="F19" s="141">
        <v>19666</v>
      </c>
    </row>
    <row r="20" spans="1:6">
      <c r="A20" s="142" t="s">
        <v>370</v>
      </c>
      <c r="B20" s="143">
        <v>1147727285</v>
      </c>
      <c r="C20" s="142" t="s">
        <v>119</v>
      </c>
      <c r="D20" s="144" t="s">
        <v>1312</v>
      </c>
      <c r="E20" s="140" t="s">
        <v>1489</v>
      </c>
      <c r="F20" s="141">
        <v>11710</v>
      </c>
    </row>
    <row r="21" spans="1:6">
      <c r="A21" s="142" t="s">
        <v>535</v>
      </c>
      <c r="B21" s="143">
        <v>4886016954</v>
      </c>
      <c r="C21" s="142" t="s">
        <v>120</v>
      </c>
      <c r="D21" s="144" t="s">
        <v>1313</v>
      </c>
      <c r="E21" s="140" t="s">
        <v>1490</v>
      </c>
      <c r="F21" s="141">
        <v>48888</v>
      </c>
    </row>
    <row r="22" spans="1:6">
      <c r="A22" s="142" t="s">
        <v>444</v>
      </c>
      <c r="B22" s="143">
        <v>3119003446</v>
      </c>
      <c r="C22" s="142" t="s">
        <v>121</v>
      </c>
      <c r="D22" s="144" t="s">
        <v>1314</v>
      </c>
      <c r="E22" s="140" t="s">
        <v>1491</v>
      </c>
      <c r="F22" s="141">
        <v>40453</v>
      </c>
    </row>
    <row r="23" spans="1:6">
      <c r="A23" s="142" t="s">
        <v>490</v>
      </c>
      <c r="B23" s="143">
        <v>2645537006</v>
      </c>
      <c r="C23" s="142" t="s">
        <v>122</v>
      </c>
      <c r="D23" s="144" t="s">
        <v>1315</v>
      </c>
      <c r="E23" s="140" t="s">
        <v>1480</v>
      </c>
      <c r="F23" s="141">
        <v>60799</v>
      </c>
    </row>
    <row r="24" spans="1:6">
      <c r="A24" s="142" t="s">
        <v>417</v>
      </c>
      <c r="B24" s="143">
        <v>8803001960</v>
      </c>
      <c r="C24" s="142" t="s">
        <v>123</v>
      </c>
      <c r="D24" s="144" t="s">
        <v>1316</v>
      </c>
      <c r="E24" s="140" t="s">
        <v>1480</v>
      </c>
      <c r="F24" s="141">
        <v>37903</v>
      </c>
    </row>
    <row r="25" spans="1:6">
      <c r="A25" s="142" t="s">
        <v>431</v>
      </c>
      <c r="B25" s="143">
        <v>2782241356</v>
      </c>
      <c r="C25" s="142" t="s">
        <v>124</v>
      </c>
      <c r="D25" s="144" t="s">
        <v>1313</v>
      </c>
      <c r="E25" s="140" t="s">
        <v>1492</v>
      </c>
      <c r="F25" s="141">
        <v>29656</v>
      </c>
    </row>
    <row r="26" spans="1:6">
      <c r="A26" s="142" t="s">
        <v>527</v>
      </c>
      <c r="B26" s="143">
        <v>4675460764</v>
      </c>
      <c r="C26" s="142" t="s">
        <v>125</v>
      </c>
      <c r="D26" s="144" t="s">
        <v>1317</v>
      </c>
      <c r="E26" s="140" t="s">
        <v>1483</v>
      </c>
      <c r="F26" s="141">
        <v>68724</v>
      </c>
    </row>
    <row r="27" spans="1:6">
      <c r="A27" s="142" t="s">
        <v>414</v>
      </c>
      <c r="B27" s="143">
        <v>9717330608</v>
      </c>
      <c r="C27" s="142" t="s">
        <v>126</v>
      </c>
      <c r="D27" s="144" t="s">
        <v>1318</v>
      </c>
      <c r="E27" s="140" t="s">
        <v>1481</v>
      </c>
      <c r="F27" s="141">
        <v>43656</v>
      </c>
    </row>
    <row r="28" spans="1:6">
      <c r="A28" s="142" t="s">
        <v>547</v>
      </c>
      <c r="B28" s="143">
        <v>3066226596</v>
      </c>
      <c r="C28" s="142" t="s">
        <v>127</v>
      </c>
      <c r="D28" s="144" t="s">
        <v>1319</v>
      </c>
      <c r="E28" s="140" t="s">
        <v>1493</v>
      </c>
      <c r="F28" s="141">
        <v>79256</v>
      </c>
    </row>
    <row r="29" spans="1:6">
      <c r="A29" s="142" t="s">
        <v>503</v>
      </c>
      <c r="B29" s="143">
        <v>3093530911</v>
      </c>
      <c r="C29" s="142" t="s">
        <v>128</v>
      </c>
      <c r="D29" s="144" t="s">
        <v>1320</v>
      </c>
      <c r="E29" s="140" t="s">
        <v>1494</v>
      </c>
      <c r="F29" s="141">
        <v>47581</v>
      </c>
    </row>
    <row r="30" spans="1:6" ht="30">
      <c r="A30" s="142" t="s">
        <v>468</v>
      </c>
      <c r="B30" s="143">
        <v>1674689065</v>
      </c>
      <c r="C30" s="142" t="s">
        <v>129</v>
      </c>
      <c r="D30" s="144" t="s">
        <v>1321</v>
      </c>
      <c r="E30" s="140" t="s">
        <v>1495</v>
      </c>
      <c r="F30" s="141">
        <v>29237</v>
      </c>
    </row>
    <row r="31" spans="1:6">
      <c r="A31" s="142" t="s">
        <v>473</v>
      </c>
      <c r="B31" s="143">
        <v>2249344957</v>
      </c>
      <c r="C31" s="142" t="s">
        <v>130</v>
      </c>
      <c r="D31" s="144" t="s">
        <v>1322</v>
      </c>
      <c r="E31" s="140" t="s">
        <v>1489</v>
      </c>
      <c r="F31" s="141">
        <v>55979</v>
      </c>
    </row>
    <row r="32" spans="1:6">
      <c r="A32" s="142" t="s">
        <v>425</v>
      </c>
      <c r="B32" s="143">
        <v>1738769722</v>
      </c>
      <c r="C32" s="142" t="s">
        <v>131</v>
      </c>
      <c r="D32" s="144" t="s">
        <v>1323</v>
      </c>
      <c r="E32" s="140" t="s">
        <v>1496</v>
      </c>
      <c r="F32" s="141">
        <v>60683</v>
      </c>
    </row>
    <row r="33" spans="1:6">
      <c r="A33" s="142" t="s">
        <v>469</v>
      </c>
      <c r="B33" s="143">
        <v>5333306985</v>
      </c>
      <c r="C33" s="142" t="s">
        <v>132</v>
      </c>
      <c r="D33" s="144" t="s">
        <v>1324</v>
      </c>
      <c r="E33" s="140" t="s">
        <v>1487</v>
      </c>
      <c r="F33" s="141">
        <v>40643</v>
      </c>
    </row>
    <row r="34" spans="1:6">
      <c r="A34" s="142" t="s">
        <v>422</v>
      </c>
      <c r="B34" s="143">
        <v>8286424654</v>
      </c>
      <c r="C34" s="142" t="s">
        <v>133</v>
      </c>
      <c r="D34" s="144" t="s">
        <v>1325</v>
      </c>
      <c r="E34" s="140" t="s">
        <v>1497</v>
      </c>
      <c r="F34" s="141">
        <v>73158</v>
      </c>
    </row>
    <row r="35" spans="1:6">
      <c r="A35" s="142" t="s">
        <v>512</v>
      </c>
      <c r="B35" s="143">
        <v>2188359396</v>
      </c>
      <c r="C35" s="142" t="s">
        <v>134</v>
      </c>
      <c r="D35" s="144" t="s">
        <v>1326</v>
      </c>
      <c r="E35" s="140" t="s">
        <v>1498</v>
      </c>
      <c r="F35" s="141">
        <v>22617</v>
      </c>
    </row>
    <row r="36" spans="1:6">
      <c r="A36" s="142" t="s">
        <v>420</v>
      </c>
      <c r="B36" s="143">
        <v>1382433277</v>
      </c>
      <c r="C36" s="142" t="s">
        <v>135</v>
      </c>
      <c r="D36" s="144" t="s">
        <v>1327</v>
      </c>
      <c r="E36" s="140" t="s">
        <v>1492</v>
      </c>
      <c r="F36" s="141">
        <v>96290</v>
      </c>
    </row>
    <row r="37" spans="1:6">
      <c r="A37" s="142" t="s">
        <v>537</v>
      </c>
      <c r="B37" s="143">
        <v>7567386197</v>
      </c>
      <c r="C37" s="142" t="s">
        <v>136</v>
      </c>
      <c r="D37" s="144" t="s">
        <v>1328</v>
      </c>
      <c r="E37" s="140" t="s">
        <v>1499</v>
      </c>
      <c r="F37" s="141">
        <v>53886</v>
      </c>
    </row>
    <row r="38" spans="1:6">
      <c r="A38" s="142" t="s">
        <v>359</v>
      </c>
      <c r="B38" s="143">
        <v>7006731185</v>
      </c>
      <c r="C38" s="142" t="s">
        <v>137</v>
      </c>
      <c r="D38" s="144" t="s">
        <v>1329</v>
      </c>
      <c r="E38" s="140" t="s">
        <v>1495</v>
      </c>
      <c r="F38" s="141">
        <v>45534</v>
      </c>
    </row>
    <row r="39" spans="1:6">
      <c r="A39" s="142" t="s">
        <v>372</v>
      </c>
      <c r="B39" s="143">
        <v>1422066963</v>
      </c>
      <c r="C39" s="142" t="s">
        <v>138</v>
      </c>
      <c r="D39" s="144" t="s">
        <v>1330</v>
      </c>
      <c r="E39" s="140" t="s">
        <v>1500</v>
      </c>
      <c r="F39" s="141">
        <v>63001</v>
      </c>
    </row>
    <row r="40" spans="1:6">
      <c r="A40" s="142" t="s">
        <v>517</v>
      </c>
      <c r="B40" s="143">
        <v>6654014325</v>
      </c>
      <c r="C40" s="142" t="s">
        <v>139</v>
      </c>
      <c r="D40" s="144" t="s">
        <v>1331</v>
      </c>
      <c r="E40" s="140" t="s">
        <v>1501</v>
      </c>
      <c r="F40" s="141">
        <v>98576</v>
      </c>
    </row>
    <row r="41" spans="1:6">
      <c r="A41" s="142" t="s">
        <v>482</v>
      </c>
      <c r="B41" s="143">
        <v>7597998054</v>
      </c>
      <c r="C41" s="142" t="s">
        <v>140</v>
      </c>
      <c r="D41" s="144" t="s">
        <v>1332</v>
      </c>
      <c r="E41" s="140" t="s">
        <v>1494</v>
      </c>
      <c r="F41" s="141">
        <v>30133</v>
      </c>
    </row>
    <row r="42" spans="1:6">
      <c r="A42" s="142" t="s">
        <v>540</v>
      </c>
      <c r="B42" s="143">
        <v>4147328258</v>
      </c>
      <c r="C42" s="142" t="s">
        <v>141</v>
      </c>
      <c r="D42" s="144" t="s">
        <v>1333</v>
      </c>
      <c r="E42" s="140" t="s">
        <v>1502</v>
      </c>
      <c r="F42" s="141">
        <v>72407</v>
      </c>
    </row>
    <row r="43" spans="1:6">
      <c r="A43" s="142" t="s">
        <v>502</v>
      </c>
      <c r="B43" s="143">
        <v>5324649456</v>
      </c>
      <c r="C43" s="142" t="s">
        <v>142</v>
      </c>
      <c r="D43" s="144" t="s">
        <v>1299</v>
      </c>
      <c r="E43" s="140" t="s">
        <v>1503</v>
      </c>
      <c r="F43" s="141">
        <v>23637</v>
      </c>
    </row>
    <row r="44" spans="1:6">
      <c r="A44" s="142" t="s">
        <v>433</v>
      </c>
      <c r="B44" s="143">
        <v>2433625791</v>
      </c>
      <c r="C44" s="142" t="s">
        <v>143</v>
      </c>
      <c r="D44" s="144" t="s">
        <v>1334</v>
      </c>
      <c r="E44" s="140" t="s">
        <v>1504</v>
      </c>
      <c r="F44" s="141">
        <v>78763</v>
      </c>
    </row>
    <row r="45" spans="1:6">
      <c r="A45" s="142" t="s">
        <v>488</v>
      </c>
      <c r="B45" s="143">
        <v>7994336502</v>
      </c>
      <c r="C45" s="142" t="s">
        <v>144</v>
      </c>
      <c r="D45" s="144" t="s">
        <v>1335</v>
      </c>
      <c r="E45" s="140" t="s">
        <v>1493</v>
      </c>
      <c r="F45" s="141">
        <v>51359</v>
      </c>
    </row>
    <row r="46" spans="1:6">
      <c r="A46" s="142" t="s">
        <v>378</v>
      </c>
      <c r="B46" s="143">
        <v>8137974600</v>
      </c>
      <c r="C46" s="142" t="s">
        <v>145</v>
      </c>
      <c r="D46" s="144" t="s">
        <v>1336</v>
      </c>
      <c r="E46" s="140" t="s">
        <v>1505</v>
      </c>
      <c r="F46" s="141">
        <v>64324</v>
      </c>
    </row>
    <row r="47" spans="1:6">
      <c r="A47" s="142" t="s">
        <v>542</v>
      </c>
      <c r="B47" s="143">
        <v>9864875227</v>
      </c>
      <c r="C47" s="142" t="s">
        <v>146</v>
      </c>
      <c r="D47" s="144" t="s">
        <v>1337</v>
      </c>
      <c r="E47" s="140" t="s">
        <v>1506</v>
      </c>
      <c r="F47" s="141">
        <v>24508</v>
      </c>
    </row>
    <row r="48" spans="1:6">
      <c r="A48" s="142" t="s">
        <v>546</v>
      </c>
      <c r="B48" s="143">
        <v>7585867504</v>
      </c>
      <c r="C48" s="142" t="s">
        <v>147</v>
      </c>
      <c r="D48" s="144" t="s">
        <v>1338</v>
      </c>
      <c r="E48" s="140" t="s">
        <v>1507</v>
      </c>
      <c r="F48" s="141">
        <v>80540</v>
      </c>
    </row>
    <row r="49" spans="1:6">
      <c r="A49" s="142" t="s">
        <v>466</v>
      </c>
      <c r="B49" s="143">
        <v>9806248934</v>
      </c>
      <c r="C49" s="142" t="s">
        <v>148</v>
      </c>
      <c r="D49" s="144" t="s">
        <v>1339</v>
      </c>
      <c r="E49" s="140" t="s">
        <v>1495</v>
      </c>
      <c r="F49" s="141">
        <v>96255</v>
      </c>
    </row>
    <row r="50" spans="1:6">
      <c r="A50" s="142" t="s">
        <v>398</v>
      </c>
      <c r="B50" s="143">
        <v>1328677992</v>
      </c>
      <c r="C50" s="142" t="s">
        <v>149</v>
      </c>
      <c r="D50" s="144" t="s">
        <v>1340</v>
      </c>
      <c r="E50" s="140" t="s">
        <v>1478</v>
      </c>
      <c r="F50" s="141">
        <v>71868</v>
      </c>
    </row>
    <row r="51" spans="1:6" ht="30">
      <c r="A51" s="142" t="s">
        <v>393</v>
      </c>
      <c r="B51" s="143">
        <v>1073007719</v>
      </c>
      <c r="C51" s="142" t="s">
        <v>150</v>
      </c>
      <c r="D51" s="144" t="s">
        <v>1341</v>
      </c>
      <c r="E51" s="140" t="s">
        <v>1508</v>
      </c>
      <c r="F51" s="141">
        <v>12925</v>
      </c>
    </row>
    <row r="52" spans="1:6">
      <c r="A52" s="142" t="s">
        <v>511</v>
      </c>
      <c r="B52" s="143">
        <v>2854330608</v>
      </c>
      <c r="C52" s="142" t="s">
        <v>151</v>
      </c>
      <c r="D52" s="144" t="s">
        <v>1342</v>
      </c>
      <c r="E52" s="140" t="s">
        <v>1508</v>
      </c>
      <c r="F52" s="141">
        <v>85777</v>
      </c>
    </row>
    <row r="53" spans="1:6">
      <c r="A53" s="142" t="s">
        <v>489</v>
      </c>
      <c r="B53" s="143">
        <v>5066578664</v>
      </c>
      <c r="C53" s="142" t="s">
        <v>152</v>
      </c>
      <c r="D53" s="144" t="s">
        <v>1343</v>
      </c>
      <c r="E53" s="140" t="s">
        <v>1505</v>
      </c>
      <c r="F53" s="141">
        <v>18282</v>
      </c>
    </row>
    <row r="54" spans="1:6">
      <c r="A54" s="142" t="s">
        <v>364</v>
      </c>
      <c r="B54" s="143">
        <v>6507266513</v>
      </c>
      <c r="C54" s="142" t="s">
        <v>153</v>
      </c>
      <c r="D54" s="144" t="s">
        <v>1344</v>
      </c>
      <c r="E54" s="140" t="s">
        <v>1504</v>
      </c>
      <c r="F54" s="141">
        <v>50586</v>
      </c>
    </row>
    <row r="55" spans="1:6">
      <c r="A55" s="142" t="s">
        <v>521</v>
      </c>
      <c r="B55" s="143">
        <v>9976156114</v>
      </c>
      <c r="C55" s="142" t="s">
        <v>154</v>
      </c>
      <c r="D55" s="144" t="s">
        <v>1345</v>
      </c>
      <c r="E55" s="140" t="s">
        <v>1509</v>
      </c>
      <c r="F55" s="141">
        <v>30165</v>
      </c>
    </row>
    <row r="56" spans="1:6">
      <c r="A56" s="142" t="s">
        <v>531</v>
      </c>
      <c r="B56" s="143">
        <v>9198446935</v>
      </c>
      <c r="C56" s="142" t="s">
        <v>155</v>
      </c>
      <c r="D56" s="144" t="s">
        <v>1346</v>
      </c>
      <c r="E56" s="140" t="s">
        <v>1474</v>
      </c>
      <c r="F56" s="141">
        <v>35399</v>
      </c>
    </row>
    <row r="57" spans="1:6">
      <c r="A57" s="142" t="s">
        <v>427</v>
      </c>
      <c r="B57" s="143">
        <v>1687172566</v>
      </c>
      <c r="C57" s="142" t="s">
        <v>156</v>
      </c>
      <c r="D57" s="144" t="s">
        <v>1347</v>
      </c>
      <c r="E57" s="140" t="s">
        <v>1510</v>
      </c>
      <c r="F57" s="141">
        <v>81414</v>
      </c>
    </row>
    <row r="58" spans="1:6">
      <c r="A58" s="142" t="s">
        <v>508</v>
      </c>
      <c r="B58" s="143">
        <v>6369201555</v>
      </c>
      <c r="C58" s="142" t="s">
        <v>157</v>
      </c>
      <c r="D58" s="144" t="s">
        <v>1348</v>
      </c>
      <c r="E58" s="140" t="s">
        <v>1511</v>
      </c>
      <c r="F58" s="141">
        <v>51383</v>
      </c>
    </row>
    <row r="59" spans="1:6">
      <c r="A59" s="142" t="s">
        <v>453</v>
      </c>
      <c r="B59" s="143">
        <v>7882688538</v>
      </c>
      <c r="C59" s="142" t="s">
        <v>158</v>
      </c>
      <c r="D59" s="144" t="s">
        <v>1349</v>
      </c>
      <c r="E59" s="140" t="s">
        <v>18</v>
      </c>
      <c r="F59" s="141">
        <v>92374</v>
      </c>
    </row>
    <row r="60" spans="1:6">
      <c r="A60" s="142" t="s">
        <v>553</v>
      </c>
      <c r="B60" s="143">
        <v>6166662560</v>
      </c>
      <c r="C60" s="142" t="s">
        <v>159</v>
      </c>
      <c r="D60" s="144" t="s">
        <v>1350</v>
      </c>
      <c r="E60" s="140" t="s">
        <v>1482</v>
      </c>
      <c r="F60" s="141">
        <v>41585</v>
      </c>
    </row>
    <row r="61" spans="1:6">
      <c r="A61" s="142" t="s">
        <v>465</v>
      </c>
      <c r="B61" s="143">
        <v>9275403200</v>
      </c>
      <c r="C61" s="142" t="s">
        <v>160</v>
      </c>
      <c r="D61" s="144" t="s">
        <v>1351</v>
      </c>
      <c r="E61" s="140" t="s">
        <v>1503</v>
      </c>
      <c r="F61" s="141">
        <v>70004</v>
      </c>
    </row>
    <row r="62" spans="1:6">
      <c r="A62" s="142" t="s">
        <v>396</v>
      </c>
      <c r="B62" s="143">
        <v>7996534880</v>
      </c>
      <c r="C62" s="142" t="s">
        <v>161</v>
      </c>
      <c r="D62" s="144" t="s">
        <v>1352</v>
      </c>
      <c r="E62" s="140" t="s">
        <v>1483</v>
      </c>
      <c r="F62" s="141">
        <v>23349</v>
      </c>
    </row>
    <row r="63" spans="1:6">
      <c r="A63" s="142" t="s">
        <v>406</v>
      </c>
      <c r="B63" s="143">
        <v>6716018444</v>
      </c>
      <c r="C63" s="142" t="s">
        <v>162</v>
      </c>
      <c r="D63" s="144" t="s">
        <v>1353</v>
      </c>
      <c r="E63" s="140" t="s">
        <v>1503</v>
      </c>
      <c r="F63" s="141">
        <v>42240</v>
      </c>
    </row>
    <row r="64" spans="1:6">
      <c r="A64" s="142" t="s">
        <v>499</v>
      </c>
      <c r="B64" s="143">
        <v>1132624588</v>
      </c>
      <c r="C64" s="142" t="s">
        <v>163</v>
      </c>
      <c r="D64" s="144" t="s">
        <v>1354</v>
      </c>
      <c r="E64" s="140" t="s">
        <v>1512</v>
      </c>
      <c r="F64" s="141">
        <v>78502</v>
      </c>
    </row>
    <row r="65" spans="1:6">
      <c r="A65" s="142" t="s">
        <v>471</v>
      </c>
      <c r="B65" s="143">
        <v>3838359398</v>
      </c>
      <c r="C65" s="142" t="s">
        <v>164</v>
      </c>
      <c r="D65" s="144" t="s">
        <v>1355</v>
      </c>
      <c r="E65" s="140" t="s">
        <v>1475</v>
      </c>
      <c r="F65" s="141">
        <v>87137</v>
      </c>
    </row>
    <row r="66" spans="1:6">
      <c r="A66" s="142" t="s">
        <v>491</v>
      </c>
      <c r="B66" s="143">
        <v>6891802638</v>
      </c>
      <c r="C66" s="142" t="s">
        <v>165</v>
      </c>
      <c r="D66" s="144" t="s">
        <v>1356</v>
      </c>
      <c r="E66" s="140" t="s">
        <v>1513</v>
      </c>
      <c r="F66" s="141">
        <v>42741</v>
      </c>
    </row>
    <row r="67" spans="1:6">
      <c r="A67" s="142" t="s">
        <v>450</v>
      </c>
      <c r="B67" s="143">
        <v>5936362830</v>
      </c>
      <c r="C67" s="142" t="s">
        <v>166</v>
      </c>
      <c r="D67" s="144" t="s">
        <v>1357</v>
      </c>
      <c r="E67" s="140" t="s">
        <v>1514</v>
      </c>
      <c r="F67" s="141">
        <v>39439</v>
      </c>
    </row>
    <row r="68" spans="1:6">
      <c r="A68" s="142" t="s">
        <v>377</v>
      </c>
      <c r="B68" s="143">
        <v>4317785615</v>
      </c>
      <c r="C68" s="142" t="s">
        <v>167</v>
      </c>
      <c r="D68" s="144" t="s">
        <v>1308</v>
      </c>
      <c r="E68" s="140" t="s">
        <v>1501</v>
      </c>
      <c r="F68" s="141">
        <v>49124</v>
      </c>
    </row>
    <row r="69" spans="1:6">
      <c r="A69" s="142" t="s">
        <v>506</v>
      </c>
      <c r="B69" s="143">
        <v>7213468780</v>
      </c>
      <c r="C69" s="142" t="s">
        <v>168</v>
      </c>
      <c r="D69" s="144" t="s">
        <v>1358</v>
      </c>
      <c r="E69" s="140" t="s">
        <v>1514</v>
      </c>
      <c r="F69" s="141">
        <v>65689</v>
      </c>
    </row>
    <row r="70" spans="1:6">
      <c r="A70" s="142" t="s">
        <v>529</v>
      </c>
      <c r="B70" s="143">
        <v>3092145590</v>
      </c>
      <c r="C70" s="142" t="s">
        <v>169</v>
      </c>
      <c r="D70" s="144" t="s">
        <v>1359</v>
      </c>
      <c r="E70" s="140" t="s">
        <v>1515</v>
      </c>
      <c r="F70" s="141">
        <v>13309</v>
      </c>
    </row>
    <row r="71" spans="1:6">
      <c r="A71" s="142" t="s">
        <v>415</v>
      </c>
      <c r="B71" s="143">
        <v>2501011858</v>
      </c>
      <c r="C71" s="142" t="s">
        <v>170</v>
      </c>
      <c r="D71" s="144" t="s">
        <v>1348</v>
      </c>
      <c r="E71" s="140" t="s">
        <v>1493</v>
      </c>
      <c r="F71" s="141">
        <v>33242</v>
      </c>
    </row>
    <row r="72" spans="1:6">
      <c r="A72" s="142" t="s">
        <v>355</v>
      </c>
      <c r="B72" s="143">
        <v>2013800192</v>
      </c>
      <c r="C72" s="142" t="s">
        <v>171</v>
      </c>
      <c r="D72" s="144" t="s">
        <v>1360</v>
      </c>
      <c r="E72" s="140" t="s">
        <v>1497</v>
      </c>
      <c r="F72" s="141">
        <v>29863</v>
      </c>
    </row>
    <row r="73" spans="1:6">
      <c r="A73" s="142" t="s">
        <v>411</v>
      </c>
      <c r="B73" s="143">
        <v>3068952060</v>
      </c>
      <c r="C73" s="142" t="s">
        <v>172</v>
      </c>
      <c r="D73" s="144" t="s">
        <v>1361</v>
      </c>
      <c r="E73" s="140" t="s">
        <v>1515</v>
      </c>
      <c r="F73" s="141">
        <v>36293</v>
      </c>
    </row>
    <row r="74" spans="1:6">
      <c r="A74" s="142" t="s">
        <v>497</v>
      </c>
      <c r="B74" s="143">
        <v>3535010299</v>
      </c>
      <c r="C74" s="142" t="s">
        <v>173</v>
      </c>
      <c r="D74" s="144" t="s">
        <v>1362</v>
      </c>
      <c r="E74" s="140" t="s">
        <v>1476</v>
      </c>
      <c r="F74" s="141">
        <v>87456</v>
      </c>
    </row>
    <row r="75" spans="1:6">
      <c r="A75" s="142" t="s">
        <v>533</v>
      </c>
      <c r="B75" s="143">
        <v>8043098173</v>
      </c>
      <c r="C75" s="142" t="s">
        <v>174</v>
      </c>
      <c r="D75" s="144" t="s">
        <v>1363</v>
      </c>
      <c r="E75" s="140" t="s">
        <v>1516</v>
      </c>
      <c r="F75" s="141">
        <v>27022</v>
      </c>
    </row>
    <row r="76" spans="1:6">
      <c r="A76" s="142" t="s">
        <v>404</v>
      </c>
      <c r="B76" s="143">
        <v>9788170762</v>
      </c>
      <c r="C76" s="142" t="s">
        <v>175</v>
      </c>
      <c r="D76" s="144" t="s">
        <v>1299</v>
      </c>
      <c r="E76" s="140" t="s">
        <v>1479</v>
      </c>
      <c r="F76" s="141">
        <v>90336</v>
      </c>
    </row>
    <row r="77" spans="1:6">
      <c r="A77" s="142" t="s">
        <v>380</v>
      </c>
      <c r="B77" s="143">
        <v>8827218981</v>
      </c>
      <c r="C77" s="142" t="s">
        <v>176</v>
      </c>
      <c r="D77" s="144" t="s">
        <v>1364</v>
      </c>
      <c r="E77" s="140" t="s">
        <v>1513</v>
      </c>
      <c r="F77" s="141">
        <v>24095</v>
      </c>
    </row>
    <row r="78" spans="1:6">
      <c r="A78" s="142" t="s">
        <v>357</v>
      </c>
      <c r="B78" s="143">
        <v>8765922083</v>
      </c>
      <c r="C78" s="142" t="s">
        <v>177</v>
      </c>
      <c r="D78" s="144" t="s">
        <v>1365</v>
      </c>
      <c r="E78" s="140" t="s">
        <v>1482</v>
      </c>
      <c r="F78" s="141">
        <v>68483</v>
      </c>
    </row>
    <row r="79" spans="1:6">
      <c r="A79" s="142" t="s">
        <v>455</v>
      </c>
      <c r="B79" s="143">
        <v>5386396085</v>
      </c>
      <c r="C79" s="142" t="s">
        <v>178</v>
      </c>
      <c r="D79" s="144" t="s">
        <v>1366</v>
      </c>
      <c r="E79" s="140" t="s">
        <v>1504</v>
      </c>
      <c r="F79" s="141">
        <v>99051</v>
      </c>
    </row>
    <row r="80" spans="1:6">
      <c r="A80" s="142" t="s">
        <v>551</v>
      </c>
      <c r="B80" s="143">
        <v>6025539695</v>
      </c>
      <c r="C80" s="142" t="s">
        <v>179</v>
      </c>
      <c r="D80" s="144" t="s">
        <v>1367</v>
      </c>
      <c r="E80" s="140" t="s">
        <v>1491</v>
      </c>
      <c r="F80" s="141">
        <v>90895</v>
      </c>
    </row>
    <row r="81" spans="1:6">
      <c r="A81" s="142" t="s">
        <v>365</v>
      </c>
      <c r="B81" s="143">
        <v>9507932920</v>
      </c>
      <c r="C81" s="142" t="s">
        <v>180</v>
      </c>
      <c r="D81" s="144" t="s">
        <v>1368</v>
      </c>
      <c r="E81" s="140" t="s">
        <v>1517</v>
      </c>
      <c r="F81" s="141">
        <v>76480</v>
      </c>
    </row>
    <row r="82" spans="1:6">
      <c r="A82" s="142" t="s">
        <v>426</v>
      </c>
      <c r="B82" s="143">
        <v>6525124736</v>
      </c>
      <c r="C82" s="142" t="s">
        <v>181</v>
      </c>
      <c r="D82" s="144" t="s">
        <v>1369</v>
      </c>
      <c r="E82" s="140" t="s">
        <v>1510</v>
      </c>
      <c r="F82" s="141">
        <v>51985</v>
      </c>
    </row>
    <row r="83" spans="1:6">
      <c r="A83" s="142" t="s">
        <v>532</v>
      </c>
      <c r="B83" s="143">
        <v>3209330485</v>
      </c>
      <c r="C83" s="142" t="s">
        <v>182</v>
      </c>
      <c r="D83" s="144" t="s">
        <v>1370</v>
      </c>
      <c r="E83" s="140" t="s">
        <v>1518</v>
      </c>
      <c r="F83" s="141">
        <v>83620</v>
      </c>
    </row>
    <row r="84" spans="1:6">
      <c r="A84" s="142" t="s">
        <v>368</v>
      </c>
      <c r="B84" s="143">
        <v>8488117025</v>
      </c>
      <c r="C84" s="142" t="s">
        <v>183</v>
      </c>
      <c r="D84" s="144" t="s">
        <v>1371</v>
      </c>
      <c r="E84" s="140" t="s">
        <v>1519</v>
      </c>
      <c r="F84" s="141">
        <v>86475</v>
      </c>
    </row>
    <row r="85" spans="1:6">
      <c r="A85" s="142" t="s">
        <v>439</v>
      </c>
      <c r="B85" s="143">
        <v>3541425375</v>
      </c>
      <c r="C85" s="142" t="s">
        <v>184</v>
      </c>
      <c r="D85" s="144" t="s">
        <v>1372</v>
      </c>
      <c r="E85" s="140" t="s">
        <v>1490</v>
      </c>
      <c r="F85" s="141">
        <v>76001</v>
      </c>
    </row>
    <row r="86" spans="1:6">
      <c r="A86" s="142" t="s">
        <v>446</v>
      </c>
      <c r="B86" s="143">
        <v>6246180448</v>
      </c>
      <c r="C86" s="142" t="s">
        <v>185</v>
      </c>
      <c r="D86" s="144" t="s">
        <v>1373</v>
      </c>
      <c r="E86" s="140" t="s">
        <v>1498</v>
      </c>
      <c r="F86" s="141">
        <v>91788</v>
      </c>
    </row>
    <row r="87" spans="1:6">
      <c r="A87" s="142" t="s">
        <v>528</v>
      </c>
      <c r="B87" s="143">
        <v>7116200520</v>
      </c>
      <c r="C87" s="142" t="s">
        <v>186</v>
      </c>
      <c r="D87" s="144" t="s">
        <v>1374</v>
      </c>
      <c r="E87" s="140" t="s">
        <v>1504</v>
      </c>
      <c r="F87" s="141">
        <v>32505</v>
      </c>
    </row>
    <row r="88" spans="1:6">
      <c r="A88" s="142" t="s">
        <v>361</v>
      </c>
      <c r="B88" s="143">
        <v>4448844239</v>
      </c>
      <c r="C88" s="142" t="s">
        <v>187</v>
      </c>
      <c r="D88" s="144" t="s">
        <v>1375</v>
      </c>
      <c r="E88" s="140" t="s">
        <v>1520</v>
      </c>
      <c r="F88" s="141">
        <v>70576</v>
      </c>
    </row>
    <row r="89" spans="1:6">
      <c r="A89" s="142" t="s">
        <v>513</v>
      </c>
      <c r="B89" s="143">
        <v>3326096071</v>
      </c>
      <c r="C89" s="142" t="s">
        <v>188</v>
      </c>
      <c r="D89" s="144" t="s">
        <v>1376</v>
      </c>
      <c r="E89" s="140" t="s">
        <v>1486</v>
      </c>
      <c r="F89" s="141">
        <v>19865</v>
      </c>
    </row>
    <row r="90" spans="1:6">
      <c r="A90" s="142" t="s">
        <v>376</v>
      </c>
      <c r="B90" s="143">
        <v>5036839506</v>
      </c>
      <c r="C90" s="142" t="s">
        <v>189</v>
      </c>
      <c r="D90" s="144" t="s">
        <v>1377</v>
      </c>
      <c r="E90" s="140" t="s">
        <v>18</v>
      </c>
      <c r="F90" s="141">
        <v>42127</v>
      </c>
    </row>
    <row r="91" spans="1:6">
      <c r="A91" s="142" t="s">
        <v>412</v>
      </c>
      <c r="B91" s="143">
        <v>3549503855</v>
      </c>
      <c r="C91" s="142" t="s">
        <v>190</v>
      </c>
      <c r="D91" s="144" t="s">
        <v>1378</v>
      </c>
      <c r="E91" s="140" t="s">
        <v>1499</v>
      </c>
      <c r="F91" s="141">
        <v>10727</v>
      </c>
    </row>
    <row r="92" spans="1:6">
      <c r="A92" s="142" t="s">
        <v>522</v>
      </c>
      <c r="B92" s="143">
        <v>4371222821</v>
      </c>
      <c r="C92" s="142" t="s">
        <v>191</v>
      </c>
      <c r="D92" s="144" t="s">
        <v>1379</v>
      </c>
      <c r="E92" s="140" t="s">
        <v>1478</v>
      </c>
      <c r="F92" s="141">
        <v>26133</v>
      </c>
    </row>
    <row r="93" spans="1:6">
      <c r="A93" s="142" t="s">
        <v>475</v>
      </c>
      <c r="B93" s="143">
        <v>6486184592</v>
      </c>
      <c r="C93" s="142" t="s">
        <v>192</v>
      </c>
      <c r="D93" s="144" t="s">
        <v>1380</v>
      </c>
      <c r="E93" s="140" t="s">
        <v>1519</v>
      </c>
      <c r="F93" s="141">
        <v>59421</v>
      </c>
    </row>
    <row r="94" spans="1:6">
      <c r="A94" s="142" t="s">
        <v>494</v>
      </c>
      <c r="B94" s="143">
        <v>9644386633</v>
      </c>
      <c r="C94" s="142" t="s">
        <v>193</v>
      </c>
      <c r="D94" s="144" t="s">
        <v>1381</v>
      </c>
      <c r="E94" s="140" t="s">
        <v>1521</v>
      </c>
      <c r="F94" s="141">
        <v>17466</v>
      </c>
    </row>
    <row r="95" spans="1:6">
      <c r="A95" s="142" t="s">
        <v>395</v>
      </c>
      <c r="B95" s="143">
        <v>1456201526</v>
      </c>
      <c r="C95" s="142" t="s">
        <v>194</v>
      </c>
      <c r="D95" s="144" t="s">
        <v>1382</v>
      </c>
      <c r="E95" s="140" t="s">
        <v>1481</v>
      </c>
      <c r="F95" s="141">
        <v>26553</v>
      </c>
    </row>
    <row r="96" spans="1:6">
      <c r="A96" s="142" t="s">
        <v>539</v>
      </c>
      <c r="B96" s="143">
        <v>1562589739</v>
      </c>
      <c r="C96" s="142" t="s">
        <v>195</v>
      </c>
      <c r="D96" s="144" t="s">
        <v>1383</v>
      </c>
      <c r="E96" s="140" t="s">
        <v>1518</v>
      </c>
      <c r="F96" s="141">
        <v>11057</v>
      </c>
    </row>
    <row r="97" spans="1:6">
      <c r="A97" s="142" t="s">
        <v>363</v>
      </c>
      <c r="B97" s="143">
        <v>8584667817</v>
      </c>
      <c r="C97" s="142" t="s">
        <v>196</v>
      </c>
      <c r="D97" s="144" t="s">
        <v>1384</v>
      </c>
      <c r="E97" s="140" t="s">
        <v>1508</v>
      </c>
      <c r="F97" s="141">
        <v>57100</v>
      </c>
    </row>
    <row r="98" spans="1:6">
      <c r="A98" s="142" t="s">
        <v>545</v>
      </c>
      <c r="B98" s="143">
        <v>4786605141</v>
      </c>
      <c r="C98" s="142" t="s">
        <v>197</v>
      </c>
      <c r="D98" s="144" t="s">
        <v>1385</v>
      </c>
      <c r="E98" s="140" t="s">
        <v>1494</v>
      </c>
      <c r="F98" s="141">
        <v>73692</v>
      </c>
    </row>
    <row r="99" spans="1:6">
      <c r="A99" s="142" t="s">
        <v>530</v>
      </c>
      <c r="B99" s="143">
        <v>8461760004</v>
      </c>
      <c r="C99" s="142" t="s">
        <v>198</v>
      </c>
      <c r="D99" s="144" t="s">
        <v>1386</v>
      </c>
      <c r="E99" s="140" t="s">
        <v>1519</v>
      </c>
      <c r="F99" s="141">
        <v>35997</v>
      </c>
    </row>
    <row r="100" spans="1:6">
      <c r="A100" s="142" t="s">
        <v>477</v>
      </c>
      <c r="B100" s="143">
        <v>8016040252</v>
      </c>
      <c r="C100" s="142" t="s">
        <v>199</v>
      </c>
      <c r="D100" s="144" t="s">
        <v>1387</v>
      </c>
      <c r="E100" s="140" t="s">
        <v>1474</v>
      </c>
      <c r="F100" s="141">
        <v>83390</v>
      </c>
    </row>
    <row r="101" spans="1:6">
      <c r="A101" s="142" t="s">
        <v>387</v>
      </c>
      <c r="B101" s="143">
        <v>8614622256</v>
      </c>
      <c r="C101" s="142" t="s">
        <v>200</v>
      </c>
      <c r="D101" s="144" t="s">
        <v>1296</v>
      </c>
      <c r="E101" s="140" t="s">
        <v>1502</v>
      </c>
      <c r="F101" s="141">
        <v>26824</v>
      </c>
    </row>
    <row r="102" spans="1:6">
      <c r="A102" s="142" t="s">
        <v>401</v>
      </c>
      <c r="B102" s="143">
        <v>6733835858</v>
      </c>
      <c r="C102" s="142" t="s">
        <v>201</v>
      </c>
      <c r="D102" s="144" t="s">
        <v>1388</v>
      </c>
      <c r="E102" s="140" t="s">
        <v>1479</v>
      </c>
      <c r="F102" s="141">
        <v>39088</v>
      </c>
    </row>
    <row r="103" spans="1:6">
      <c r="A103" s="142" t="s">
        <v>413</v>
      </c>
      <c r="B103" s="143">
        <v>7955356170</v>
      </c>
      <c r="C103" s="142" t="s">
        <v>202</v>
      </c>
      <c r="D103" s="144" t="s">
        <v>1367</v>
      </c>
      <c r="E103" s="140" t="s">
        <v>1513</v>
      </c>
      <c r="F103" s="141">
        <v>71156</v>
      </c>
    </row>
    <row r="104" spans="1:6">
      <c r="A104" s="142" t="s">
        <v>554</v>
      </c>
      <c r="B104" s="143">
        <v>7443456744</v>
      </c>
      <c r="C104" s="142" t="s">
        <v>203</v>
      </c>
      <c r="D104" s="144" t="s">
        <v>1389</v>
      </c>
      <c r="E104" s="140" t="s">
        <v>1506</v>
      </c>
      <c r="F104" s="141">
        <v>94688</v>
      </c>
    </row>
    <row r="105" spans="1:6">
      <c r="A105" s="142" t="s">
        <v>543</v>
      </c>
      <c r="B105" s="143">
        <v>6207787882</v>
      </c>
      <c r="C105" s="142" t="s">
        <v>204</v>
      </c>
      <c r="D105" s="144" t="s">
        <v>1390</v>
      </c>
      <c r="E105" s="140" t="s">
        <v>1492</v>
      </c>
      <c r="F105" s="141">
        <v>46098</v>
      </c>
    </row>
    <row r="106" spans="1:6">
      <c r="A106" s="142" t="s">
        <v>436</v>
      </c>
      <c r="B106" s="143">
        <v>6982516391</v>
      </c>
      <c r="C106" s="142" t="s">
        <v>205</v>
      </c>
      <c r="D106" s="144" t="s">
        <v>1391</v>
      </c>
      <c r="E106" s="140" t="s">
        <v>1520</v>
      </c>
      <c r="F106" s="141">
        <v>92820</v>
      </c>
    </row>
    <row r="107" spans="1:6">
      <c r="A107" s="142" t="s">
        <v>464</v>
      </c>
      <c r="B107" s="143">
        <v>2594346139</v>
      </c>
      <c r="C107" s="142" t="s">
        <v>206</v>
      </c>
      <c r="D107" s="144" t="s">
        <v>1392</v>
      </c>
      <c r="E107" s="140" t="s">
        <v>1489</v>
      </c>
      <c r="F107" s="141">
        <v>85055</v>
      </c>
    </row>
    <row r="108" spans="1:6">
      <c r="A108" s="142" t="s">
        <v>407</v>
      </c>
      <c r="B108" s="143">
        <v>6216002119</v>
      </c>
      <c r="C108" s="142" t="s">
        <v>207</v>
      </c>
      <c r="D108" s="144" t="s">
        <v>1393</v>
      </c>
      <c r="E108" s="140" t="s">
        <v>1491</v>
      </c>
      <c r="F108" s="141">
        <v>19756</v>
      </c>
    </row>
    <row r="109" spans="1:6">
      <c r="A109" s="142" t="s">
        <v>519</v>
      </c>
      <c r="B109" s="143">
        <v>1385326263</v>
      </c>
      <c r="C109" s="142" t="s">
        <v>208</v>
      </c>
      <c r="D109" s="144" t="s">
        <v>1394</v>
      </c>
      <c r="E109" s="140" t="s">
        <v>1507</v>
      </c>
      <c r="F109" s="141">
        <v>33521</v>
      </c>
    </row>
    <row r="110" spans="1:6">
      <c r="A110" s="142" t="s">
        <v>487</v>
      </c>
      <c r="B110" s="143">
        <v>9995655729</v>
      </c>
      <c r="C110" s="142" t="s">
        <v>209</v>
      </c>
      <c r="D110" s="144" t="s">
        <v>1395</v>
      </c>
      <c r="E110" s="140" t="s">
        <v>1484</v>
      </c>
      <c r="F110" s="141">
        <v>91640</v>
      </c>
    </row>
    <row r="111" spans="1:6">
      <c r="A111" s="142" t="s">
        <v>492</v>
      </c>
      <c r="B111" s="143">
        <v>7096120026</v>
      </c>
      <c r="C111" s="142" t="s">
        <v>210</v>
      </c>
      <c r="D111" s="144" t="s">
        <v>1396</v>
      </c>
      <c r="E111" s="140" t="s">
        <v>1520</v>
      </c>
      <c r="F111" s="141">
        <v>42617</v>
      </c>
    </row>
    <row r="112" spans="1:6">
      <c r="A112" s="142" t="s">
        <v>486</v>
      </c>
      <c r="B112" s="143">
        <v>4367106194</v>
      </c>
      <c r="C112" s="142" t="s">
        <v>211</v>
      </c>
      <c r="D112" s="144" t="s">
        <v>1397</v>
      </c>
      <c r="E112" s="140" t="s">
        <v>1486</v>
      </c>
      <c r="F112" s="141">
        <v>91389</v>
      </c>
    </row>
    <row r="113" spans="1:6">
      <c r="A113" s="142" t="s">
        <v>416</v>
      </c>
      <c r="B113" s="143">
        <v>6082434301</v>
      </c>
      <c r="C113" s="142" t="s">
        <v>212</v>
      </c>
      <c r="D113" s="144" t="s">
        <v>1398</v>
      </c>
      <c r="E113" s="140" t="s">
        <v>1522</v>
      </c>
      <c r="F113" s="141">
        <v>38910</v>
      </c>
    </row>
    <row r="114" spans="1:6">
      <c r="A114" s="142" t="s">
        <v>452</v>
      </c>
      <c r="B114" s="143">
        <v>9451468274</v>
      </c>
      <c r="C114" s="142" t="s">
        <v>213</v>
      </c>
      <c r="D114" s="144" t="s">
        <v>1399</v>
      </c>
      <c r="E114" s="140" t="s">
        <v>1474</v>
      </c>
      <c r="F114" s="141">
        <v>10971</v>
      </c>
    </row>
    <row r="115" spans="1:6">
      <c r="A115" s="142" t="s">
        <v>402</v>
      </c>
      <c r="B115" s="143">
        <v>2351976304</v>
      </c>
      <c r="C115" s="142" t="s">
        <v>214</v>
      </c>
      <c r="D115" s="144" t="s">
        <v>1400</v>
      </c>
      <c r="E115" s="140" t="s">
        <v>1488</v>
      </c>
      <c r="F115" s="141">
        <v>90733</v>
      </c>
    </row>
    <row r="116" spans="1:6">
      <c r="A116" s="142" t="s">
        <v>534</v>
      </c>
      <c r="B116" s="143">
        <v>7391674430</v>
      </c>
      <c r="C116" s="142" t="s">
        <v>215</v>
      </c>
      <c r="D116" s="144" t="s">
        <v>1401</v>
      </c>
      <c r="E116" s="140" t="s">
        <v>1488</v>
      </c>
      <c r="F116" s="141">
        <v>65923</v>
      </c>
    </row>
    <row r="117" spans="1:6">
      <c r="A117" s="142" t="s">
        <v>409</v>
      </c>
      <c r="B117" s="143">
        <v>9753877055</v>
      </c>
      <c r="C117" s="142" t="s">
        <v>216</v>
      </c>
      <c r="D117" s="144" t="s">
        <v>1402</v>
      </c>
      <c r="E117" s="140" t="s">
        <v>1505</v>
      </c>
      <c r="F117" s="141">
        <v>89207</v>
      </c>
    </row>
    <row r="118" spans="1:6">
      <c r="A118" s="142" t="s">
        <v>495</v>
      </c>
      <c r="B118" s="143">
        <v>1594885646</v>
      </c>
      <c r="C118" s="142" t="s">
        <v>217</v>
      </c>
      <c r="D118" s="144" t="s">
        <v>1403</v>
      </c>
      <c r="E118" s="140" t="s">
        <v>1522</v>
      </c>
      <c r="F118" s="141">
        <v>19424</v>
      </c>
    </row>
    <row r="119" spans="1:6">
      <c r="A119" s="142" t="s">
        <v>457</v>
      </c>
      <c r="B119" s="143">
        <v>1877966187</v>
      </c>
      <c r="C119" s="142" t="s">
        <v>218</v>
      </c>
      <c r="D119" s="144" t="s">
        <v>1404</v>
      </c>
      <c r="E119" s="140" t="s">
        <v>1510</v>
      </c>
      <c r="F119" s="141">
        <v>34617</v>
      </c>
    </row>
    <row r="120" spans="1:6">
      <c r="A120" s="142" t="s">
        <v>481</v>
      </c>
      <c r="B120" s="143">
        <v>5048433770</v>
      </c>
      <c r="C120" s="142" t="s">
        <v>219</v>
      </c>
      <c r="D120" s="144" t="s">
        <v>1405</v>
      </c>
      <c r="E120" s="140" t="s">
        <v>1487</v>
      </c>
      <c r="F120" s="141">
        <v>91568</v>
      </c>
    </row>
    <row r="121" spans="1:6" ht="30">
      <c r="A121" s="142" t="s">
        <v>424</v>
      </c>
      <c r="B121" s="143">
        <v>2849637060</v>
      </c>
      <c r="C121" s="142" t="s">
        <v>220</v>
      </c>
      <c r="D121" s="144" t="s">
        <v>1406</v>
      </c>
      <c r="E121" s="140" t="s">
        <v>1489</v>
      </c>
      <c r="F121" s="141">
        <v>35607</v>
      </c>
    </row>
    <row r="122" spans="1:6">
      <c r="A122" s="142" t="s">
        <v>438</v>
      </c>
      <c r="B122" s="143">
        <v>6769203059</v>
      </c>
      <c r="C122" s="142" t="s">
        <v>221</v>
      </c>
      <c r="D122" s="144" t="s">
        <v>1395</v>
      </c>
      <c r="E122" s="140" t="s">
        <v>1517</v>
      </c>
      <c r="F122" s="141">
        <v>49957</v>
      </c>
    </row>
    <row r="123" spans="1:6">
      <c r="A123" s="142" t="s">
        <v>451</v>
      </c>
      <c r="B123" s="143">
        <v>5236546421</v>
      </c>
      <c r="C123" s="142" t="s">
        <v>222</v>
      </c>
      <c r="D123" s="144" t="s">
        <v>1407</v>
      </c>
      <c r="E123" s="140" t="s">
        <v>1521</v>
      </c>
      <c r="F123" s="141">
        <v>62662</v>
      </c>
    </row>
    <row r="124" spans="1:6">
      <c r="A124" s="142" t="s">
        <v>544</v>
      </c>
      <c r="B124" s="143">
        <v>7168678846</v>
      </c>
      <c r="C124" s="142" t="s">
        <v>223</v>
      </c>
      <c r="D124" s="144" t="s">
        <v>1408</v>
      </c>
      <c r="E124" s="140" t="s">
        <v>1488</v>
      </c>
      <c r="F124" s="141">
        <v>40186</v>
      </c>
    </row>
    <row r="125" spans="1:6">
      <c r="A125" s="142" t="s">
        <v>391</v>
      </c>
      <c r="B125" s="143">
        <v>1804190558</v>
      </c>
      <c r="C125" s="142" t="s">
        <v>224</v>
      </c>
      <c r="D125" s="144" t="s">
        <v>1409</v>
      </c>
      <c r="E125" s="140" t="s">
        <v>1496</v>
      </c>
      <c r="F125" s="141">
        <v>88012</v>
      </c>
    </row>
    <row r="126" spans="1:6">
      <c r="A126" s="142" t="s">
        <v>536</v>
      </c>
      <c r="B126" s="143">
        <v>9669426041</v>
      </c>
      <c r="C126" s="142" t="s">
        <v>225</v>
      </c>
      <c r="D126" s="144" t="s">
        <v>1410</v>
      </c>
      <c r="E126" s="140" t="s">
        <v>1509</v>
      </c>
      <c r="F126" s="141">
        <v>48389</v>
      </c>
    </row>
    <row r="127" spans="1:6">
      <c r="A127" s="142" t="s">
        <v>374</v>
      </c>
      <c r="B127" s="143">
        <v>1601868736</v>
      </c>
      <c r="C127" s="142" t="s">
        <v>226</v>
      </c>
      <c r="D127" s="144" t="s">
        <v>1411</v>
      </c>
      <c r="E127" s="140" t="s">
        <v>1521</v>
      </c>
      <c r="F127" s="141">
        <v>88605</v>
      </c>
    </row>
    <row r="128" spans="1:6">
      <c r="A128" s="142" t="s">
        <v>384</v>
      </c>
      <c r="B128" s="143">
        <v>6866733445</v>
      </c>
      <c r="C128" s="142" t="s">
        <v>227</v>
      </c>
      <c r="D128" s="144" t="s">
        <v>1352</v>
      </c>
      <c r="E128" s="140" t="s">
        <v>1517</v>
      </c>
      <c r="F128" s="141">
        <v>98829</v>
      </c>
    </row>
    <row r="129" spans="1:6">
      <c r="A129" s="142" t="s">
        <v>390</v>
      </c>
      <c r="B129" s="143">
        <v>7273704214</v>
      </c>
      <c r="C129" s="142" t="s">
        <v>228</v>
      </c>
      <c r="D129" s="144" t="s">
        <v>1412</v>
      </c>
      <c r="E129" s="140" t="s">
        <v>1498</v>
      </c>
      <c r="F129" s="141">
        <v>40839</v>
      </c>
    </row>
    <row r="130" spans="1:6">
      <c r="A130" s="142" t="s">
        <v>456</v>
      </c>
      <c r="B130" s="143">
        <v>7928304872</v>
      </c>
      <c r="C130" s="142" t="s">
        <v>229</v>
      </c>
      <c r="D130" s="144" t="s">
        <v>1413</v>
      </c>
      <c r="E130" s="140" t="s">
        <v>1500</v>
      </c>
      <c r="F130" s="141">
        <v>38451</v>
      </c>
    </row>
    <row r="131" spans="1:6">
      <c r="A131" s="142" t="s">
        <v>523</v>
      </c>
      <c r="B131" s="143">
        <v>9242693864</v>
      </c>
      <c r="C131" s="142" t="s">
        <v>230</v>
      </c>
      <c r="D131" s="144" t="s">
        <v>1374</v>
      </c>
      <c r="E131" s="140" t="s">
        <v>1477</v>
      </c>
      <c r="F131" s="141">
        <v>78787</v>
      </c>
    </row>
    <row r="132" spans="1:6">
      <c r="A132" s="142" t="s">
        <v>434</v>
      </c>
      <c r="B132" s="143">
        <v>4442079492</v>
      </c>
      <c r="C132" s="142" t="s">
        <v>231</v>
      </c>
      <c r="D132" s="144" t="s">
        <v>1414</v>
      </c>
      <c r="E132" s="140" t="s">
        <v>1522</v>
      </c>
      <c r="F132" s="141">
        <v>64664</v>
      </c>
    </row>
    <row r="133" spans="1:6">
      <c r="A133" s="142" t="s">
        <v>432</v>
      </c>
      <c r="B133" s="143">
        <v>5646187716</v>
      </c>
      <c r="C133" s="142" t="s">
        <v>232</v>
      </c>
      <c r="D133" s="144" t="s">
        <v>1415</v>
      </c>
      <c r="E133" s="140" t="s">
        <v>1512</v>
      </c>
      <c r="F133" s="141">
        <v>32114</v>
      </c>
    </row>
    <row r="134" spans="1:6">
      <c r="A134" s="142" t="s">
        <v>518</v>
      </c>
      <c r="B134" s="143">
        <v>2435230550</v>
      </c>
      <c r="C134" s="142" t="s">
        <v>233</v>
      </c>
      <c r="D134" s="144" t="s">
        <v>1416</v>
      </c>
      <c r="E134" s="140" t="s">
        <v>1505</v>
      </c>
      <c r="F134" s="141">
        <v>38543</v>
      </c>
    </row>
    <row r="135" spans="1:6">
      <c r="A135" s="142" t="s">
        <v>410</v>
      </c>
      <c r="B135" s="143">
        <v>5278276705</v>
      </c>
      <c r="C135" s="142" t="s">
        <v>234</v>
      </c>
      <c r="D135" s="144" t="s">
        <v>1417</v>
      </c>
      <c r="E135" s="140" t="s">
        <v>1494</v>
      </c>
      <c r="F135" s="141">
        <v>97492</v>
      </c>
    </row>
    <row r="136" spans="1:6">
      <c r="A136" s="142" t="s">
        <v>400</v>
      </c>
      <c r="B136" s="143">
        <v>6986555552</v>
      </c>
      <c r="C136" s="142" t="s">
        <v>235</v>
      </c>
      <c r="D136" s="144" t="s">
        <v>1418</v>
      </c>
      <c r="E136" s="140" t="s">
        <v>1490</v>
      </c>
      <c r="F136" s="141">
        <v>98446</v>
      </c>
    </row>
    <row r="137" spans="1:6">
      <c r="A137" s="142" t="s">
        <v>360</v>
      </c>
      <c r="B137" s="143">
        <v>2548823194</v>
      </c>
      <c r="C137" s="142" t="s">
        <v>236</v>
      </c>
      <c r="D137" s="144" t="s">
        <v>1419</v>
      </c>
      <c r="E137" s="140" t="s">
        <v>1478</v>
      </c>
      <c r="F137" s="141">
        <v>43124</v>
      </c>
    </row>
    <row r="138" spans="1:6">
      <c r="A138" s="142" t="s">
        <v>442</v>
      </c>
      <c r="B138" s="143">
        <v>9904120289</v>
      </c>
      <c r="C138" s="142" t="s">
        <v>237</v>
      </c>
      <c r="D138" s="144" t="s">
        <v>1420</v>
      </c>
      <c r="E138" s="140" t="s">
        <v>1491</v>
      </c>
      <c r="F138" s="141">
        <v>66231</v>
      </c>
    </row>
    <row r="139" spans="1:6">
      <c r="A139" s="142" t="s">
        <v>383</v>
      </c>
      <c r="B139" s="143">
        <v>7868793690</v>
      </c>
      <c r="C139" s="142" t="s">
        <v>238</v>
      </c>
      <c r="D139" s="144" t="s">
        <v>1421</v>
      </c>
      <c r="E139" s="140" t="s">
        <v>1492</v>
      </c>
      <c r="F139" s="141">
        <v>72859</v>
      </c>
    </row>
    <row r="140" spans="1:6">
      <c r="A140" s="142" t="s">
        <v>470</v>
      </c>
      <c r="B140" s="143">
        <v>9744328936</v>
      </c>
      <c r="C140" s="142" t="s">
        <v>239</v>
      </c>
      <c r="D140" s="144" t="s">
        <v>1422</v>
      </c>
      <c r="E140" s="140" t="s">
        <v>1499</v>
      </c>
      <c r="F140" s="141">
        <v>35343</v>
      </c>
    </row>
    <row r="141" spans="1:6">
      <c r="A141" s="142" t="s">
        <v>443</v>
      </c>
      <c r="B141" s="143">
        <v>4045807292</v>
      </c>
      <c r="C141" s="142" t="s">
        <v>240</v>
      </c>
      <c r="D141" s="144" t="s">
        <v>1423</v>
      </c>
      <c r="E141" s="140" t="s">
        <v>1476</v>
      </c>
      <c r="F141" s="141">
        <v>37768</v>
      </c>
    </row>
    <row r="142" spans="1:6">
      <c r="A142" s="142" t="s">
        <v>478</v>
      </c>
      <c r="B142" s="143">
        <v>3153255102</v>
      </c>
      <c r="C142" s="142" t="s">
        <v>241</v>
      </c>
      <c r="D142" s="144" t="s">
        <v>1424</v>
      </c>
      <c r="E142" s="140" t="s">
        <v>1523</v>
      </c>
      <c r="F142" s="141">
        <v>34695</v>
      </c>
    </row>
    <row r="143" spans="1:6">
      <c r="A143" s="142" t="s">
        <v>397</v>
      </c>
      <c r="B143" s="143">
        <v>6708060968</v>
      </c>
      <c r="C143" s="142" t="s">
        <v>242</v>
      </c>
      <c r="D143" s="144" t="s">
        <v>1388</v>
      </c>
      <c r="E143" s="140" t="s">
        <v>1512</v>
      </c>
      <c r="F143" s="141">
        <v>50186</v>
      </c>
    </row>
    <row r="144" spans="1:6">
      <c r="A144" s="142" t="s">
        <v>419</v>
      </c>
      <c r="B144" s="143">
        <v>7272457747</v>
      </c>
      <c r="C144" s="142" t="s">
        <v>243</v>
      </c>
      <c r="D144" s="144" t="s">
        <v>1425</v>
      </c>
      <c r="E144" s="140" t="s">
        <v>1523</v>
      </c>
      <c r="F144" s="141">
        <v>45247</v>
      </c>
    </row>
    <row r="145" spans="1:6">
      <c r="A145" s="142" t="s">
        <v>382</v>
      </c>
      <c r="B145" s="143">
        <v>6972430509</v>
      </c>
      <c r="C145" s="142" t="s">
        <v>244</v>
      </c>
      <c r="D145" s="144" t="s">
        <v>1426</v>
      </c>
      <c r="E145" s="140" t="s">
        <v>1515</v>
      </c>
      <c r="F145" s="141">
        <v>87001</v>
      </c>
    </row>
    <row r="146" spans="1:6">
      <c r="A146" s="142" t="s">
        <v>418</v>
      </c>
      <c r="B146" s="143">
        <v>8465145886</v>
      </c>
      <c r="C146" s="142" t="s">
        <v>245</v>
      </c>
      <c r="D146" s="144" t="s">
        <v>1427</v>
      </c>
      <c r="E146" s="140" t="s">
        <v>1502</v>
      </c>
      <c r="F146" s="141">
        <v>45066</v>
      </c>
    </row>
    <row r="147" spans="1:6">
      <c r="A147" s="142" t="s">
        <v>496</v>
      </c>
      <c r="B147" s="143">
        <v>6519557705</v>
      </c>
      <c r="C147" s="142" t="s">
        <v>246</v>
      </c>
      <c r="D147" s="144" t="s">
        <v>1334</v>
      </c>
      <c r="E147" s="140" t="s">
        <v>1509</v>
      </c>
      <c r="F147" s="141">
        <v>75048</v>
      </c>
    </row>
    <row r="148" spans="1:6">
      <c r="A148" s="142" t="s">
        <v>385</v>
      </c>
      <c r="B148" s="143">
        <v>5722464184</v>
      </c>
      <c r="C148" s="142" t="s">
        <v>247</v>
      </c>
      <c r="D148" s="144" t="s">
        <v>1404</v>
      </c>
      <c r="E148" s="140" t="s">
        <v>1500</v>
      </c>
      <c r="F148" s="141">
        <v>17786</v>
      </c>
    </row>
    <row r="149" spans="1:6">
      <c r="A149" s="142" t="s">
        <v>371</v>
      </c>
      <c r="B149" s="143">
        <v>7996780073</v>
      </c>
      <c r="C149" s="142" t="s">
        <v>248</v>
      </c>
      <c r="D149" s="144" t="s">
        <v>1428</v>
      </c>
      <c r="E149" s="140" t="s">
        <v>1511</v>
      </c>
      <c r="F149" s="141">
        <v>33820</v>
      </c>
    </row>
    <row r="150" spans="1:6">
      <c r="A150" s="142" t="s">
        <v>394</v>
      </c>
      <c r="B150" s="143">
        <v>1419164689</v>
      </c>
      <c r="C150" s="142" t="s">
        <v>249</v>
      </c>
      <c r="D150" s="144" t="s">
        <v>1429</v>
      </c>
      <c r="E150" s="140" t="s">
        <v>1512</v>
      </c>
      <c r="F150" s="141">
        <v>98874</v>
      </c>
    </row>
    <row r="151" spans="1:6">
      <c r="A151" s="142" t="s">
        <v>428</v>
      </c>
      <c r="B151" s="143">
        <v>5651413529</v>
      </c>
      <c r="C151" s="142" t="s">
        <v>250</v>
      </c>
      <c r="D151" s="144" t="s">
        <v>1430</v>
      </c>
      <c r="E151" s="140" t="s">
        <v>1502</v>
      </c>
      <c r="F151" s="141">
        <v>95915</v>
      </c>
    </row>
    <row r="152" spans="1:6">
      <c r="A152" s="142" t="s">
        <v>480</v>
      </c>
      <c r="B152" s="143">
        <v>2877814598</v>
      </c>
      <c r="C152" s="142" t="s">
        <v>251</v>
      </c>
      <c r="D152" s="144" t="s">
        <v>1410</v>
      </c>
      <c r="E152" s="140" t="s">
        <v>1506</v>
      </c>
      <c r="F152" s="141">
        <v>43107</v>
      </c>
    </row>
    <row r="153" spans="1:6">
      <c r="A153" s="142" t="s">
        <v>483</v>
      </c>
      <c r="B153" s="143">
        <v>6952700516</v>
      </c>
      <c r="C153" s="142" t="s">
        <v>252</v>
      </c>
      <c r="D153" s="144" t="s">
        <v>1431</v>
      </c>
      <c r="E153" s="140" t="s">
        <v>1503</v>
      </c>
      <c r="F153" s="141">
        <v>92578</v>
      </c>
    </row>
    <row r="154" spans="1:6">
      <c r="A154" s="142" t="s">
        <v>429</v>
      </c>
      <c r="B154" s="143">
        <v>4311361797</v>
      </c>
      <c r="C154" s="142" t="s">
        <v>253</v>
      </c>
      <c r="D154" s="144" t="s">
        <v>1432</v>
      </c>
      <c r="E154" s="140" t="s">
        <v>1501</v>
      </c>
      <c r="F154" s="141">
        <v>30434</v>
      </c>
    </row>
    <row r="155" spans="1:6">
      <c r="A155" s="142" t="s">
        <v>441</v>
      </c>
      <c r="B155" s="143">
        <v>2217046746</v>
      </c>
      <c r="C155" s="142" t="s">
        <v>254</v>
      </c>
      <c r="D155" s="144" t="s">
        <v>1433</v>
      </c>
      <c r="E155" s="140" t="s">
        <v>1518</v>
      </c>
      <c r="F155" s="141">
        <v>55918</v>
      </c>
    </row>
    <row r="156" spans="1:6">
      <c r="A156" s="142" t="s">
        <v>541</v>
      </c>
      <c r="B156" s="143">
        <v>7884709516</v>
      </c>
      <c r="C156" s="142" t="s">
        <v>255</v>
      </c>
      <c r="D156" s="144" t="s">
        <v>1371</v>
      </c>
      <c r="E156" s="140" t="s">
        <v>1523</v>
      </c>
      <c r="F156" s="141">
        <v>52755</v>
      </c>
    </row>
    <row r="157" spans="1:6">
      <c r="A157" s="142" t="s">
        <v>461</v>
      </c>
      <c r="B157" s="143">
        <v>5838888580</v>
      </c>
      <c r="C157" s="142" t="s">
        <v>256</v>
      </c>
      <c r="D157" s="144" t="s">
        <v>1434</v>
      </c>
      <c r="E157" s="140" t="s">
        <v>1506</v>
      </c>
      <c r="F157" s="141">
        <v>71812</v>
      </c>
    </row>
    <row r="158" spans="1:6">
      <c r="A158" s="142" t="s">
        <v>369</v>
      </c>
      <c r="B158" s="143">
        <v>4723041275</v>
      </c>
      <c r="C158" s="142" t="s">
        <v>257</v>
      </c>
      <c r="D158" s="144" t="s">
        <v>1435</v>
      </c>
      <c r="E158" s="140" t="s">
        <v>1510</v>
      </c>
      <c r="F158" s="141">
        <v>10486</v>
      </c>
    </row>
    <row r="159" spans="1:6">
      <c r="A159" s="142" t="s">
        <v>505</v>
      </c>
      <c r="B159" s="143">
        <v>8434148627</v>
      </c>
      <c r="C159" s="142" t="s">
        <v>258</v>
      </c>
      <c r="D159" s="144" t="s">
        <v>1436</v>
      </c>
      <c r="E159" s="140" t="s">
        <v>1500</v>
      </c>
      <c r="F159" s="141">
        <v>88672</v>
      </c>
    </row>
    <row r="160" spans="1:6">
      <c r="A160" s="142" t="s">
        <v>388</v>
      </c>
      <c r="B160" s="143">
        <v>7816732800</v>
      </c>
      <c r="C160" s="142" t="s">
        <v>259</v>
      </c>
      <c r="D160" s="144" t="s">
        <v>1437</v>
      </c>
      <c r="E160" s="140" t="s">
        <v>1482</v>
      </c>
      <c r="F160" s="141">
        <v>92084</v>
      </c>
    </row>
    <row r="161" spans="1:6">
      <c r="A161" s="142" t="s">
        <v>507</v>
      </c>
      <c r="B161" s="143">
        <v>7644872046</v>
      </c>
      <c r="C161" s="142" t="s">
        <v>260</v>
      </c>
      <c r="D161" s="144" t="s">
        <v>1438</v>
      </c>
      <c r="E161" s="140" t="s">
        <v>1522</v>
      </c>
      <c r="F161" s="141">
        <v>89738</v>
      </c>
    </row>
    <row r="162" spans="1:6">
      <c r="A162" s="142" t="s">
        <v>524</v>
      </c>
      <c r="B162" s="143">
        <v>2195804366</v>
      </c>
      <c r="C162" s="142" t="s">
        <v>261</v>
      </c>
      <c r="D162" s="144" t="s">
        <v>1439</v>
      </c>
      <c r="E162" s="140" t="s">
        <v>1496</v>
      </c>
      <c r="F162" s="141">
        <v>14722</v>
      </c>
    </row>
    <row r="163" spans="1:6">
      <c r="A163" s="142" t="s">
        <v>462</v>
      </c>
      <c r="B163" s="143">
        <v>8188493074</v>
      </c>
      <c r="C163" s="142" t="s">
        <v>262</v>
      </c>
      <c r="D163" s="144" t="s">
        <v>1440</v>
      </c>
      <c r="E163" s="140" t="s">
        <v>1513</v>
      </c>
      <c r="F163" s="141">
        <v>94474</v>
      </c>
    </row>
    <row r="164" spans="1:6">
      <c r="A164" s="142" t="s">
        <v>459</v>
      </c>
      <c r="B164" s="143">
        <v>1432144892</v>
      </c>
      <c r="C164" s="142" t="s">
        <v>263</v>
      </c>
      <c r="D164" s="144" t="s">
        <v>1431</v>
      </c>
      <c r="E164" s="140" t="s">
        <v>1508</v>
      </c>
      <c r="F164" s="141">
        <v>35681</v>
      </c>
    </row>
    <row r="165" spans="1:6">
      <c r="A165" s="142" t="s">
        <v>405</v>
      </c>
      <c r="B165" s="143">
        <v>1247020984</v>
      </c>
      <c r="C165" s="142" t="s">
        <v>264</v>
      </c>
      <c r="D165" s="144" t="s">
        <v>1441</v>
      </c>
      <c r="E165" s="140" t="s">
        <v>1518</v>
      </c>
      <c r="F165" s="141">
        <v>35424</v>
      </c>
    </row>
    <row r="166" spans="1:6">
      <c r="A166" s="142" t="s">
        <v>472</v>
      </c>
      <c r="B166" s="143">
        <v>7863910089</v>
      </c>
      <c r="C166" s="142" t="s">
        <v>265</v>
      </c>
      <c r="D166" s="144" t="s">
        <v>1442</v>
      </c>
      <c r="E166" s="140" t="s">
        <v>1507</v>
      </c>
      <c r="F166" s="141">
        <v>51380</v>
      </c>
    </row>
    <row r="167" spans="1:6">
      <c r="A167" s="142" t="s">
        <v>515</v>
      </c>
      <c r="B167" s="143">
        <v>1117783187</v>
      </c>
      <c r="C167" s="142" t="s">
        <v>266</v>
      </c>
      <c r="D167" s="144" t="s">
        <v>1443</v>
      </c>
      <c r="E167" s="140" t="s">
        <v>1517</v>
      </c>
      <c r="F167" s="141">
        <v>31541</v>
      </c>
    </row>
    <row r="168" spans="1:6">
      <c r="A168" s="142" t="s">
        <v>366</v>
      </c>
      <c r="B168" s="143">
        <v>7003081469</v>
      </c>
      <c r="C168" s="142" t="s">
        <v>267</v>
      </c>
      <c r="D168" s="144" t="s">
        <v>1444</v>
      </c>
      <c r="E168" s="140" t="s">
        <v>1484</v>
      </c>
      <c r="F168" s="141">
        <v>67046</v>
      </c>
    </row>
    <row r="169" spans="1:6">
      <c r="A169" s="142" t="s">
        <v>449</v>
      </c>
      <c r="B169" s="143">
        <v>7971178572</v>
      </c>
      <c r="C169" s="142" t="s">
        <v>268</v>
      </c>
      <c r="D169" s="144" t="s">
        <v>1406</v>
      </c>
      <c r="E169" s="140" t="s">
        <v>1514</v>
      </c>
      <c r="F169" s="141">
        <v>90526</v>
      </c>
    </row>
    <row r="170" spans="1:6">
      <c r="A170" s="142" t="s">
        <v>389</v>
      </c>
      <c r="B170" s="143">
        <v>9201065190</v>
      </c>
      <c r="C170" s="142" t="s">
        <v>269</v>
      </c>
      <c r="D170" s="144" t="s">
        <v>1445</v>
      </c>
      <c r="E170" s="140" t="s">
        <v>1501</v>
      </c>
      <c r="F170" s="141">
        <v>76029</v>
      </c>
    </row>
    <row r="171" spans="1:6">
      <c r="A171" s="142" t="s">
        <v>403</v>
      </c>
      <c r="B171" s="143">
        <v>6209614419</v>
      </c>
      <c r="C171" s="142" t="s">
        <v>270</v>
      </c>
      <c r="D171" s="144" t="s">
        <v>1446</v>
      </c>
      <c r="E171" s="140" t="s">
        <v>1497</v>
      </c>
      <c r="F171" s="141">
        <v>46387</v>
      </c>
    </row>
    <row r="172" spans="1:6">
      <c r="A172" s="142" t="s">
        <v>501</v>
      </c>
      <c r="B172" s="143">
        <v>9817880790</v>
      </c>
      <c r="C172" s="142" t="s">
        <v>271</v>
      </c>
      <c r="D172" s="144" t="s">
        <v>1447</v>
      </c>
      <c r="E172" s="140" t="s">
        <v>1515</v>
      </c>
      <c r="F172" s="141">
        <v>59792</v>
      </c>
    </row>
    <row r="173" spans="1:6">
      <c r="A173" s="142" t="s">
        <v>392</v>
      </c>
      <c r="B173" s="143">
        <v>5868797133</v>
      </c>
      <c r="C173" s="142" t="s">
        <v>272</v>
      </c>
      <c r="D173" s="144" t="s">
        <v>1448</v>
      </c>
      <c r="E173" s="140" t="s">
        <v>1487</v>
      </c>
      <c r="F173" s="141">
        <v>20538</v>
      </c>
    </row>
    <row r="174" spans="1:6">
      <c r="A174" s="142" t="s">
        <v>379</v>
      </c>
      <c r="B174" s="143">
        <v>6467430653</v>
      </c>
      <c r="C174" s="142" t="s">
        <v>273</v>
      </c>
      <c r="D174" s="144" t="s">
        <v>1449</v>
      </c>
      <c r="E174" s="140" t="s">
        <v>1485</v>
      </c>
      <c r="F174" s="141">
        <v>42682</v>
      </c>
    </row>
    <row r="175" spans="1:6">
      <c r="A175" s="142" t="s">
        <v>550</v>
      </c>
      <c r="B175" s="143">
        <v>6931134331</v>
      </c>
      <c r="C175" s="142" t="s">
        <v>274</v>
      </c>
      <c r="D175" s="144" t="s">
        <v>1450</v>
      </c>
      <c r="E175" s="140" t="s">
        <v>1480</v>
      </c>
      <c r="F175" s="141">
        <v>16550</v>
      </c>
    </row>
    <row r="176" spans="1:6">
      <c r="A176" s="142" t="s">
        <v>435</v>
      </c>
      <c r="B176" s="143">
        <v>6532419022</v>
      </c>
      <c r="C176" s="142" t="s">
        <v>275</v>
      </c>
      <c r="D176" s="144" t="s">
        <v>1451</v>
      </c>
      <c r="E176" s="140" t="s">
        <v>1499</v>
      </c>
      <c r="F176" s="141">
        <v>83154</v>
      </c>
    </row>
    <row r="177" spans="1:6">
      <c r="A177" s="142" t="s">
        <v>509</v>
      </c>
      <c r="B177" s="143">
        <v>1378826042</v>
      </c>
      <c r="C177" s="142" t="s">
        <v>276</v>
      </c>
      <c r="D177" s="144" t="s">
        <v>1337</v>
      </c>
      <c r="E177" s="140" t="s">
        <v>1495</v>
      </c>
      <c r="F177" s="141">
        <v>72623</v>
      </c>
    </row>
    <row r="178" spans="1:6">
      <c r="A178" s="142" t="s">
        <v>498</v>
      </c>
      <c r="B178" s="143">
        <v>1685124445</v>
      </c>
      <c r="C178" s="142" t="s">
        <v>277</v>
      </c>
      <c r="D178" s="144" t="s">
        <v>1452</v>
      </c>
      <c r="E178" s="140" t="s">
        <v>1475</v>
      </c>
      <c r="F178" s="141">
        <v>36352</v>
      </c>
    </row>
    <row r="179" spans="1:6">
      <c r="A179" s="142" t="s">
        <v>474</v>
      </c>
      <c r="B179" s="143">
        <v>8676777450</v>
      </c>
      <c r="C179" s="142" t="s">
        <v>278</v>
      </c>
      <c r="D179" s="144" t="s">
        <v>1453</v>
      </c>
      <c r="E179" s="140" t="s">
        <v>1485</v>
      </c>
      <c r="F179" s="141">
        <v>70705</v>
      </c>
    </row>
    <row r="180" spans="1:6">
      <c r="A180" s="142" t="s">
        <v>421</v>
      </c>
      <c r="B180" s="143">
        <v>4707770130</v>
      </c>
      <c r="C180" s="142" t="s">
        <v>279</v>
      </c>
      <c r="D180" s="144" t="s">
        <v>1454</v>
      </c>
      <c r="E180" s="140" t="s">
        <v>1490</v>
      </c>
      <c r="F180" s="141">
        <v>30224</v>
      </c>
    </row>
    <row r="181" spans="1:6">
      <c r="A181" s="142" t="s">
        <v>548</v>
      </c>
      <c r="B181" s="143">
        <v>8264475607</v>
      </c>
      <c r="C181" s="142" t="s">
        <v>280</v>
      </c>
      <c r="D181" s="144" t="s">
        <v>1455</v>
      </c>
      <c r="E181" s="140" t="s">
        <v>1475</v>
      </c>
      <c r="F181" s="141">
        <v>60217</v>
      </c>
    </row>
    <row r="182" spans="1:6">
      <c r="A182" s="142" t="s">
        <v>493</v>
      </c>
      <c r="B182" s="143">
        <v>4081228801</v>
      </c>
      <c r="C182" s="142" t="s">
        <v>281</v>
      </c>
      <c r="D182" s="144" t="s">
        <v>1456</v>
      </c>
      <c r="E182" s="140" t="s">
        <v>1497</v>
      </c>
      <c r="F182" s="141">
        <v>97034</v>
      </c>
    </row>
    <row r="183" spans="1:6">
      <c r="A183" s="142" t="s">
        <v>525</v>
      </c>
      <c r="B183" s="143">
        <v>1195554589</v>
      </c>
      <c r="C183" s="142" t="s">
        <v>282</v>
      </c>
      <c r="D183" s="144" t="s">
        <v>1419</v>
      </c>
      <c r="E183" s="140" t="s">
        <v>1476</v>
      </c>
      <c r="F183" s="141">
        <v>60578</v>
      </c>
    </row>
    <row r="184" spans="1:6">
      <c r="A184" s="142" t="s">
        <v>375</v>
      </c>
      <c r="B184" s="143">
        <v>1716720656</v>
      </c>
      <c r="C184" s="142" t="s">
        <v>283</v>
      </c>
      <c r="D184" s="144" t="s">
        <v>1457</v>
      </c>
      <c r="E184" s="140" t="s">
        <v>1520</v>
      </c>
      <c r="F184" s="141">
        <v>23798</v>
      </c>
    </row>
    <row r="185" spans="1:6">
      <c r="A185" s="142" t="s">
        <v>458</v>
      </c>
      <c r="B185" s="143">
        <v>6334429233</v>
      </c>
      <c r="C185" s="142" t="s">
        <v>284</v>
      </c>
      <c r="D185" s="144" t="s">
        <v>1455</v>
      </c>
      <c r="E185" s="140" t="s">
        <v>1484</v>
      </c>
      <c r="F185" s="141">
        <v>21184</v>
      </c>
    </row>
    <row r="186" spans="1:6">
      <c r="A186" s="142" t="s">
        <v>476</v>
      </c>
      <c r="B186" s="143">
        <v>2424048588</v>
      </c>
      <c r="C186" s="142" t="s">
        <v>285</v>
      </c>
      <c r="D186" s="144" t="s">
        <v>1458</v>
      </c>
      <c r="E186" s="140" t="s">
        <v>1496</v>
      </c>
      <c r="F186" s="141">
        <v>37845</v>
      </c>
    </row>
    <row r="187" spans="1:6">
      <c r="A187" s="142" t="s">
        <v>500</v>
      </c>
      <c r="B187" s="143">
        <v>4388506764</v>
      </c>
      <c r="C187" s="142" t="s">
        <v>286</v>
      </c>
      <c r="D187" s="144" t="s">
        <v>1459</v>
      </c>
      <c r="E187" s="140" t="s">
        <v>1516</v>
      </c>
      <c r="F187" s="141">
        <v>96119</v>
      </c>
    </row>
    <row r="188" spans="1:6">
      <c r="A188" s="142" t="s">
        <v>467</v>
      </c>
      <c r="B188" s="143">
        <v>9419527822</v>
      </c>
      <c r="C188" s="142" t="s">
        <v>287</v>
      </c>
      <c r="D188" s="144" t="s">
        <v>1460</v>
      </c>
      <c r="E188" s="140" t="s">
        <v>1523</v>
      </c>
      <c r="F188" s="141">
        <v>10608</v>
      </c>
    </row>
    <row r="189" spans="1:6">
      <c r="A189" s="142" t="s">
        <v>510</v>
      </c>
      <c r="B189" s="143">
        <v>3693050371</v>
      </c>
      <c r="C189" s="142" t="s">
        <v>288</v>
      </c>
      <c r="D189" s="144" t="s">
        <v>1461</v>
      </c>
      <c r="E189" s="140" t="s">
        <v>1498</v>
      </c>
      <c r="F189" s="141">
        <v>67102</v>
      </c>
    </row>
    <row r="190" spans="1:6">
      <c r="A190" s="142" t="s">
        <v>514</v>
      </c>
      <c r="B190" s="143">
        <v>5438545444</v>
      </c>
      <c r="C190" s="142" t="s">
        <v>289</v>
      </c>
      <c r="D190" s="144" t="s">
        <v>1462</v>
      </c>
      <c r="E190" s="140" t="s">
        <v>1514</v>
      </c>
      <c r="F190" s="141">
        <v>19537</v>
      </c>
    </row>
    <row r="191" spans="1:6">
      <c r="A191" s="142" t="s">
        <v>463</v>
      </c>
      <c r="B191" s="143">
        <v>7748692232</v>
      </c>
      <c r="C191" s="142" t="s">
        <v>290</v>
      </c>
      <c r="D191" s="144" t="s">
        <v>1355</v>
      </c>
      <c r="E191" s="140" t="s">
        <v>1511</v>
      </c>
      <c r="F191" s="141">
        <v>81329</v>
      </c>
    </row>
    <row r="192" spans="1:6">
      <c r="A192" s="142" t="s">
        <v>381</v>
      </c>
      <c r="B192" s="143">
        <v>8566536805</v>
      </c>
      <c r="C192" s="142" t="s">
        <v>291</v>
      </c>
      <c r="D192" s="144" t="s">
        <v>1463</v>
      </c>
      <c r="E192" s="140" t="s">
        <v>1479</v>
      </c>
      <c r="F192" s="141">
        <v>64860</v>
      </c>
    </row>
    <row r="193" spans="1:6">
      <c r="A193" s="142" t="s">
        <v>454</v>
      </c>
      <c r="B193" s="143">
        <v>6825342511</v>
      </c>
      <c r="C193" s="142" t="s">
        <v>292</v>
      </c>
      <c r="D193" s="144" t="s">
        <v>1464</v>
      </c>
      <c r="E193" s="140" t="s">
        <v>1509</v>
      </c>
      <c r="F193" s="141">
        <v>98293</v>
      </c>
    </row>
    <row r="194" spans="1:6">
      <c r="A194" s="142" t="s">
        <v>362</v>
      </c>
      <c r="B194" s="143">
        <v>1593855743</v>
      </c>
      <c r="C194" s="142" t="s">
        <v>293</v>
      </c>
      <c r="D194" s="144" t="s">
        <v>1465</v>
      </c>
      <c r="E194" s="140" t="s">
        <v>1486</v>
      </c>
      <c r="F194" s="141">
        <v>66552</v>
      </c>
    </row>
    <row r="195" spans="1:6">
      <c r="A195" s="142" t="s">
        <v>373</v>
      </c>
      <c r="B195" s="143">
        <v>1126379530</v>
      </c>
      <c r="C195" s="142" t="s">
        <v>294</v>
      </c>
      <c r="D195" s="144" t="s">
        <v>1466</v>
      </c>
      <c r="E195" s="140" t="s">
        <v>1481</v>
      </c>
      <c r="F195" s="141">
        <v>72398</v>
      </c>
    </row>
    <row r="196" spans="1:6">
      <c r="A196" s="142" t="s">
        <v>447</v>
      </c>
      <c r="B196" s="143">
        <v>6765479042</v>
      </c>
      <c r="C196" s="142" t="s">
        <v>295</v>
      </c>
      <c r="D196" s="144" t="s">
        <v>1467</v>
      </c>
      <c r="E196" s="140" t="s">
        <v>1485</v>
      </c>
      <c r="F196" s="141">
        <v>23937</v>
      </c>
    </row>
    <row r="197" spans="1:6">
      <c r="A197" s="142" t="s">
        <v>423</v>
      </c>
      <c r="B197" s="143">
        <v>2047776816</v>
      </c>
      <c r="C197" s="142" t="s">
        <v>296</v>
      </c>
      <c r="D197" s="144" t="s">
        <v>1468</v>
      </c>
      <c r="E197" s="140" t="s">
        <v>1521</v>
      </c>
      <c r="F197" s="141">
        <v>38243</v>
      </c>
    </row>
    <row r="198" spans="1:6">
      <c r="A198" s="142" t="s">
        <v>445</v>
      </c>
      <c r="B198" s="143">
        <v>2951042501</v>
      </c>
      <c r="C198" s="142" t="s">
        <v>297</v>
      </c>
      <c r="D198" s="144" t="s">
        <v>1469</v>
      </c>
      <c r="E198" s="140" t="s">
        <v>1519</v>
      </c>
      <c r="F198" s="141">
        <v>13031</v>
      </c>
    </row>
    <row r="199" spans="1:6">
      <c r="A199" s="142" t="s">
        <v>399</v>
      </c>
      <c r="B199" s="143">
        <v>6636033494</v>
      </c>
      <c r="C199" s="142" t="s">
        <v>298</v>
      </c>
      <c r="D199" s="144" t="s">
        <v>1470</v>
      </c>
      <c r="E199" s="140" t="s">
        <v>18</v>
      </c>
      <c r="F199" s="141">
        <v>69348</v>
      </c>
    </row>
    <row r="200" spans="1:6" ht="30">
      <c r="A200" s="142" t="s">
        <v>367</v>
      </c>
      <c r="B200" s="143">
        <v>7714402812</v>
      </c>
      <c r="C200" s="142" t="s">
        <v>299</v>
      </c>
      <c r="D200" s="144" t="s">
        <v>1425</v>
      </c>
      <c r="E200" s="140" t="s">
        <v>1523</v>
      </c>
      <c r="F200" s="141">
        <v>82039</v>
      </c>
    </row>
    <row r="201" spans="1:6">
      <c r="A201" s="142" t="s">
        <v>516</v>
      </c>
      <c r="B201" s="143">
        <v>2113201920</v>
      </c>
      <c r="C201" s="142" t="s">
        <v>300</v>
      </c>
      <c r="D201" s="144" t="s">
        <v>1471</v>
      </c>
      <c r="E201" s="140" t="s">
        <v>1483</v>
      </c>
      <c r="F201" s="141">
        <v>41698</v>
      </c>
    </row>
    <row r="202" spans="1:6">
      <c r="A202" s="142" t="s">
        <v>484</v>
      </c>
      <c r="B202" s="143">
        <v>2206745712</v>
      </c>
      <c r="C202" s="142" t="s">
        <v>301</v>
      </c>
      <c r="D202" s="144" t="s">
        <v>1472</v>
      </c>
      <c r="E202" s="140" t="s">
        <v>1516</v>
      </c>
      <c r="F202" s="141">
        <v>72484</v>
      </c>
    </row>
    <row r="203" spans="1:6">
      <c r="A203" s="54"/>
      <c r="B203" s="145"/>
      <c r="C203" s="54"/>
      <c r="D203" s="54"/>
      <c r="E203" s="54"/>
      <c r="F203" s="54"/>
    </row>
    <row r="1048556" customFormat="1"/>
  </sheetData>
  <mergeCells count="1">
    <mergeCell ref="A1:F1"/>
  </mergeCells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  <pageSetUpPr autoPageBreaks="0"/>
  </sheetPr>
  <dimension ref="A1:L742"/>
  <sheetViews>
    <sheetView zoomScale="115" zoomScaleNormal="115" zoomScaleSheetLayoutView="100" zoomScalePageLayoutView="115" workbookViewId="0">
      <selection activeCell="K2" sqref="K2"/>
    </sheetView>
  </sheetViews>
  <sheetFormatPr defaultColWidth="19.85546875" defaultRowHeight="15"/>
  <cols>
    <col min="1" max="1" width="19.140625" style="37" bestFit="1" customWidth="1"/>
    <col min="2" max="2" width="9.85546875" style="38" customWidth="1"/>
    <col min="3" max="3" width="24.85546875" style="37" bestFit="1" customWidth="1"/>
    <col min="4" max="4" width="9.5703125" style="37" bestFit="1" customWidth="1"/>
    <col min="5" max="5" width="11.7109375" style="113" customWidth="1"/>
    <col min="6" max="6" width="7.5703125" style="39" customWidth="1"/>
    <col min="7" max="7" width="10" style="37" customWidth="1"/>
    <col min="8" max="8" width="9.42578125" style="40" bestFit="1" customWidth="1"/>
    <col min="9" max="9" width="11.85546875" style="37" customWidth="1"/>
    <col min="10" max="10" width="11.42578125" style="41" bestFit="1" customWidth="1"/>
    <col min="11" max="11" width="7.140625" style="37" customWidth="1"/>
    <col min="12" max="16384" width="19.85546875" style="37"/>
  </cols>
  <sheetData>
    <row r="1" spans="1:12">
      <c r="A1" s="48" t="s">
        <v>47</v>
      </c>
      <c r="B1" s="49" t="s">
        <v>48</v>
      </c>
      <c r="C1" s="50" t="s">
        <v>49</v>
      </c>
      <c r="D1" s="50" t="s">
        <v>50</v>
      </c>
      <c r="E1" s="118" t="s">
        <v>51</v>
      </c>
      <c r="F1" s="51" t="s">
        <v>52</v>
      </c>
      <c r="G1" s="50" t="s">
        <v>53</v>
      </c>
      <c r="H1" s="52" t="s">
        <v>54</v>
      </c>
      <c r="I1" s="49" t="s">
        <v>55</v>
      </c>
      <c r="J1" s="53" t="s">
        <v>56</v>
      </c>
      <c r="K1" s="161" t="s">
        <v>1548</v>
      </c>
      <c r="L1" s="42">
        <v>2.7300000000000001E-2</v>
      </c>
    </row>
    <row r="2" spans="1:12">
      <c r="A2" s="37" t="s">
        <v>1079</v>
      </c>
      <c r="B2" s="38" t="s">
        <v>61</v>
      </c>
      <c r="C2" s="37" t="s">
        <v>91</v>
      </c>
      <c r="D2" s="37" t="s">
        <v>65</v>
      </c>
      <c r="E2" s="113">
        <v>40117</v>
      </c>
      <c r="F2" s="43">
        <f t="shared" ref="F2:F65" ca="1" si="0">DATEDIF(E2,TODAY(),"Y")</f>
        <v>13</v>
      </c>
      <c r="G2" s="44" t="s">
        <v>68</v>
      </c>
      <c r="H2" s="45">
        <v>40579</v>
      </c>
      <c r="I2" s="38">
        <v>4</v>
      </c>
      <c r="J2" s="41">
        <f t="shared" ref="J2:J65" si="1">ROUND(H2*$L$1+H2,0)</f>
        <v>41687</v>
      </c>
    </row>
    <row r="3" spans="1:12">
      <c r="A3" s="37" t="s">
        <v>1080</v>
      </c>
      <c r="B3" s="38" t="s">
        <v>63</v>
      </c>
      <c r="C3" s="37" t="s">
        <v>91</v>
      </c>
      <c r="D3" s="37" t="s">
        <v>65</v>
      </c>
      <c r="E3" s="113">
        <v>42728</v>
      </c>
      <c r="F3" s="43">
        <f t="shared" ca="1" si="0"/>
        <v>6</v>
      </c>
      <c r="G3" s="44" t="s">
        <v>68</v>
      </c>
      <c r="H3" s="45">
        <v>54087</v>
      </c>
      <c r="I3" s="38">
        <v>5</v>
      </c>
      <c r="J3" s="41">
        <f t="shared" si="1"/>
        <v>55564</v>
      </c>
    </row>
    <row r="4" spans="1:12">
      <c r="A4" s="37" t="s">
        <v>1026</v>
      </c>
      <c r="B4" s="38" t="s">
        <v>63</v>
      </c>
      <c r="C4" s="37" t="s">
        <v>88</v>
      </c>
      <c r="D4" s="37" t="s">
        <v>65</v>
      </c>
      <c r="E4" s="113">
        <v>43789</v>
      </c>
      <c r="F4" s="43">
        <f t="shared" ca="1" si="0"/>
        <v>3</v>
      </c>
      <c r="G4" s="44" t="s">
        <v>69</v>
      </c>
      <c r="H4" s="45">
        <v>68316</v>
      </c>
      <c r="I4" s="38">
        <v>3</v>
      </c>
      <c r="J4" s="41">
        <f t="shared" si="1"/>
        <v>70181</v>
      </c>
    </row>
    <row r="5" spans="1:12">
      <c r="A5" s="37" t="s">
        <v>1081</v>
      </c>
      <c r="B5" s="38" t="s">
        <v>61</v>
      </c>
      <c r="C5" s="37" t="s">
        <v>91</v>
      </c>
      <c r="D5" s="37" t="s">
        <v>65</v>
      </c>
      <c r="E5" s="113">
        <v>44165</v>
      </c>
      <c r="F5" s="43">
        <f t="shared" ca="1" si="0"/>
        <v>2</v>
      </c>
      <c r="G5" s="44" t="s">
        <v>70</v>
      </c>
      <c r="H5" s="45">
        <v>34449</v>
      </c>
      <c r="I5" s="38">
        <v>1</v>
      </c>
      <c r="J5" s="41">
        <f t="shared" si="1"/>
        <v>35389</v>
      </c>
    </row>
    <row r="6" spans="1:12">
      <c r="A6" s="37" t="s">
        <v>1082</v>
      </c>
      <c r="B6" s="38" t="s">
        <v>60</v>
      </c>
      <c r="C6" s="37" t="s">
        <v>91</v>
      </c>
      <c r="D6" s="37" t="s">
        <v>65</v>
      </c>
      <c r="E6" s="113">
        <v>39881</v>
      </c>
      <c r="F6" s="43">
        <f t="shared" ca="1" si="0"/>
        <v>14</v>
      </c>
      <c r="G6" s="44" t="s">
        <v>70</v>
      </c>
      <c r="H6" s="45">
        <v>54087</v>
      </c>
      <c r="I6" s="38">
        <v>3</v>
      </c>
      <c r="J6" s="41">
        <f t="shared" si="1"/>
        <v>55564</v>
      </c>
    </row>
    <row r="7" spans="1:12">
      <c r="A7" s="37" t="s">
        <v>968</v>
      </c>
      <c r="B7" s="38" t="s">
        <v>60</v>
      </c>
      <c r="C7" s="37" t="s">
        <v>86</v>
      </c>
      <c r="D7" s="37" t="s">
        <v>59</v>
      </c>
      <c r="E7" s="113">
        <v>40356</v>
      </c>
      <c r="F7" s="43">
        <f t="shared" ca="1" si="0"/>
        <v>13</v>
      </c>
      <c r="G7" s="44"/>
      <c r="H7" s="45">
        <v>103321</v>
      </c>
      <c r="I7" s="38">
        <v>4</v>
      </c>
      <c r="J7" s="41">
        <f t="shared" si="1"/>
        <v>106142</v>
      </c>
    </row>
    <row r="8" spans="1:12">
      <c r="A8" s="37" t="s">
        <v>818</v>
      </c>
      <c r="B8" s="38" t="s">
        <v>63</v>
      </c>
      <c r="C8" s="37" t="s">
        <v>83</v>
      </c>
      <c r="D8" s="37" t="s">
        <v>65</v>
      </c>
      <c r="E8" s="113">
        <v>42398</v>
      </c>
      <c r="F8" s="43">
        <f t="shared" ca="1" si="0"/>
        <v>7</v>
      </c>
      <c r="G8" s="44" t="s">
        <v>68</v>
      </c>
      <c r="H8" s="45">
        <v>110574</v>
      </c>
      <c r="I8" s="38">
        <v>2</v>
      </c>
      <c r="J8" s="41">
        <f t="shared" si="1"/>
        <v>113593</v>
      </c>
    </row>
    <row r="9" spans="1:12">
      <c r="A9" s="37" t="s">
        <v>649</v>
      </c>
      <c r="B9" s="38" t="s">
        <v>63</v>
      </c>
      <c r="C9" s="37" t="s">
        <v>74</v>
      </c>
      <c r="D9" s="37" t="s">
        <v>65</v>
      </c>
      <c r="E9" s="113">
        <v>44509</v>
      </c>
      <c r="F9" s="43">
        <f t="shared" ca="1" si="0"/>
        <v>1</v>
      </c>
      <c r="G9" s="44" t="s">
        <v>66</v>
      </c>
      <c r="H9" s="45">
        <v>114416</v>
      </c>
      <c r="I9" s="38">
        <v>5</v>
      </c>
      <c r="J9" s="41">
        <f t="shared" si="1"/>
        <v>117540</v>
      </c>
    </row>
    <row r="10" spans="1:12">
      <c r="A10" s="37" t="s">
        <v>767</v>
      </c>
      <c r="B10" s="38" t="s">
        <v>63</v>
      </c>
      <c r="C10" s="37" t="s">
        <v>80</v>
      </c>
      <c r="D10" s="37" t="s">
        <v>71</v>
      </c>
      <c r="E10" s="113">
        <v>44398</v>
      </c>
      <c r="F10" s="43">
        <f t="shared" ca="1" si="0"/>
        <v>2</v>
      </c>
      <c r="G10" s="44" t="s">
        <v>67</v>
      </c>
      <c r="H10" s="45">
        <v>48603</v>
      </c>
      <c r="I10" s="38">
        <v>4</v>
      </c>
      <c r="J10" s="41">
        <f t="shared" si="1"/>
        <v>49930</v>
      </c>
    </row>
    <row r="11" spans="1:12">
      <c r="A11" s="37" t="s">
        <v>1083</v>
      </c>
      <c r="B11" s="38" t="s">
        <v>62</v>
      </c>
      <c r="C11" s="37" t="s">
        <v>91</v>
      </c>
      <c r="D11" s="37" t="s">
        <v>59</v>
      </c>
      <c r="E11" s="113">
        <v>44178</v>
      </c>
      <c r="F11" s="43">
        <f t="shared" ca="1" si="0"/>
        <v>2</v>
      </c>
      <c r="G11" s="44"/>
      <c r="H11" s="45">
        <v>124055</v>
      </c>
      <c r="I11" s="38">
        <v>2</v>
      </c>
      <c r="J11" s="41">
        <f t="shared" si="1"/>
        <v>127442</v>
      </c>
    </row>
    <row r="12" spans="1:12">
      <c r="A12" s="37" t="s">
        <v>556</v>
      </c>
      <c r="B12" s="38" t="s">
        <v>57</v>
      </c>
      <c r="C12" s="37" t="s">
        <v>58</v>
      </c>
      <c r="D12" s="37" t="s">
        <v>59</v>
      </c>
      <c r="E12" s="113">
        <v>39966</v>
      </c>
      <c r="F12" s="43">
        <f t="shared" ca="1" si="0"/>
        <v>14</v>
      </c>
      <c r="G12" s="44"/>
      <c r="H12" s="45">
        <v>98883</v>
      </c>
      <c r="I12" s="38">
        <v>5</v>
      </c>
      <c r="J12" s="41">
        <f t="shared" si="1"/>
        <v>101583</v>
      </c>
    </row>
    <row r="13" spans="1:12">
      <c r="A13" s="37" t="s">
        <v>557</v>
      </c>
      <c r="B13" s="38" t="s">
        <v>61</v>
      </c>
      <c r="C13" s="37" t="s">
        <v>58</v>
      </c>
      <c r="D13" s="37" t="s">
        <v>72</v>
      </c>
      <c r="E13" s="113">
        <v>39619</v>
      </c>
      <c r="F13" s="43">
        <f t="shared" ca="1" si="0"/>
        <v>15</v>
      </c>
      <c r="G13" s="44"/>
      <c r="H13" s="45">
        <v>23144</v>
      </c>
      <c r="I13" s="38">
        <v>3</v>
      </c>
      <c r="J13" s="41">
        <f t="shared" si="1"/>
        <v>23776</v>
      </c>
    </row>
    <row r="14" spans="1:12">
      <c r="A14" s="37" t="s">
        <v>768</v>
      </c>
      <c r="B14" s="38" t="s">
        <v>57</v>
      </c>
      <c r="C14" s="37" t="s">
        <v>80</v>
      </c>
      <c r="D14" s="37" t="s">
        <v>71</v>
      </c>
      <c r="E14" s="113">
        <v>43984</v>
      </c>
      <c r="F14" s="43">
        <f t="shared" ca="1" si="0"/>
        <v>3</v>
      </c>
      <c r="G14" s="44" t="s">
        <v>68</v>
      </c>
      <c r="H14" s="45">
        <v>23473</v>
      </c>
      <c r="I14" s="38">
        <v>1</v>
      </c>
      <c r="J14" s="41">
        <f t="shared" si="1"/>
        <v>24114</v>
      </c>
    </row>
    <row r="15" spans="1:12">
      <c r="A15" s="37" t="s">
        <v>1151</v>
      </c>
      <c r="B15" s="38" t="s">
        <v>61</v>
      </c>
      <c r="C15" s="37" t="s">
        <v>93</v>
      </c>
      <c r="D15" s="37" t="s">
        <v>59</v>
      </c>
      <c r="E15" s="113">
        <v>39417</v>
      </c>
      <c r="F15" s="43">
        <f t="shared" ca="1" si="0"/>
        <v>15</v>
      </c>
      <c r="G15" s="44"/>
      <c r="H15" s="45">
        <v>62451</v>
      </c>
      <c r="I15" s="38">
        <v>3</v>
      </c>
      <c r="J15" s="41">
        <f t="shared" si="1"/>
        <v>64156</v>
      </c>
    </row>
    <row r="16" spans="1:12">
      <c r="A16" s="37" t="s">
        <v>1254</v>
      </c>
      <c r="B16" s="38" t="s">
        <v>61</v>
      </c>
      <c r="C16" s="37" t="s">
        <v>97</v>
      </c>
      <c r="D16" s="37" t="s">
        <v>65</v>
      </c>
      <c r="E16" s="113">
        <v>43826</v>
      </c>
      <c r="F16" s="43">
        <f t="shared" ca="1" si="0"/>
        <v>3</v>
      </c>
      <c r="G16" s="44" t="s">
        <v>70</v>
      </c>
      <c r="H16" s="45">
        <v>31704</v>
      </c>
      <c r="I16" s="38">
        <v>5</v>
      </c>
      <c r="J16" s="41">
        <f t="shared" si="1"/>
        <v>32570</v>
      </c>
    </row>
    <row r="17" spans="1:10">
      <c r="A17" s="37" t="s">
        <v>558</v>
      </c>
      <c r="B17" s="38" t="s">
        <v>61</v>
      </c>
      <c r="C17" s="37" t="s">
        <v>58</v>
      </c>
      <c r="D17" s="37" t="s">
        <v>65</v>
      </c>
      <c r="E17" s="113">
        <v>44068</v>
      </c>
      <c r="F17" s="43">
        <f t="shared" ca="1" si="0"/>
        <v>3</v>
      </c>
      <c r="G17" s="44" t="s">
        <v>66</v>
      </c>
      <c r="H17" s="45">
        <v>87657</v>
      </c>
      <c r="I17" s="38">
        <v>1</v>
      </c>
      <c r="J17" s="41">
        <f t="shared" si="1"/>
        <v>90050</v>
      </c>
    </row>
    <row r="18" spans="1:10">
      <c r="A18" s="37" t="s">
        <v>819</v>
      </c>
      <c r="B18" s="38" t="s">
        <v>61</v>
      </c>
      <c r="C18" s="37" t="s">
        <v>83</v>
      </c>
      <c r="D18" s="37" t="s">
        <v>72</v>
      </c>
      <c r="E18" s="113">
        <v>39573</v>
      </c>
      <c r="F18" s="43">
        <f t="shared" ca="1" si="0"/>
        <v>15</v>
      </c>
      <c r="G18" s="44"/>
      <c r="H18" s="45">
        <v>12348</v>
      </c>
      <c r="I18" s="38">
        <v>3</v>
      </c>
      <c r="J18" s="41">
        <f t="shared" si="1"/>
        <v>12685</v>
      </c>
    </row>
    <row r="19" spans="1:10">
      <c r="A19" s="37" t="s">
        <v>559</v>
      </c>
      <c r="B19" s="38" t="s">
        <v>61</v>
      </c>
      <c r="C19" s="37" t="s">
        <v>58</v>
      </c>
      <c r="D19" s="37" t="s">
        <v>65</v>
      </c>
      <c r="E19" s="113">
        <v>41292</v>
      </c>
      <c r="F19" s="43">
        <f t="shared" ca="1" si="0"/>
        <v>10</v>
      </c>
      <c r="G19" s="44" t="s">
        <v>67</v>
      </c>
      <c r="H19" s="45">
        <v>32674</v>
      </c>
      <c r="I19" s="38">
        <v>3</v>
      </c>
      <c r="J19" s="41">
        <f t="shared" si="1"/>
        <v>33566</v>
      </c>
    </row>
    <row r="20" spans="1:10">
      <c r="A20" s="37" t="s">
        <v>560</v>
      </c>
      <c r="B20" s="38" t="s">
        <v>63</v>
      </c>
      <c r="C20" s="37" t="s">
        <v>58</v>
      </c>
      <c r="D20" s="37" t="s">
        <v>65</v>
      </c>
      <c r="E20" s="113">
        <v>42926</v>
      </c>
      <c r="F20" s="43">
        <f t="shared" ca="1" si="0"/>
        <v>6</v>
      </c>
      <c r="G20" s="44" t="s">
        <v>68</v>
      </c>
      <c r="H20" s="45">
        <v>86939</v>
      </c>
      <c r="I20" s="38">
        <v>2</v>
      </c>
      <c r="J20" s="41">
        <f t="shared" si="1"/>
        <v>89312</v>
      </c>
    </row>
    <row r="21" spans="1:10">
      <c r="A21" s="37" t="s">
        <v>1084</v>
      </c>
      <c r="B21" s="38" t="s">
        <v>63</v>
      </c>
      <c r="C21" s="37" t="s">
        <v>91</v>
      </c>
      <c r="D21" s="37" t="s">
        <v>72</v>
      </c>
      <c r="E21" s="113">
        <v>44106</v>
      </c>
      <c r="F21" s="43">
        <f t="shared" ca="1" si="0"/>
        <v>2</v>
      </c>
      <c r="G21" s="44"/>
      <c r="H21" s="45">
        <v>46471</v>
      </c>
      <c r="I21" s="38">
        <v>4</v>
      </c>
      <c r="J21" s="41">
        <f t="shared" si="1"/>
        <v>47740</v>
      </c>
    </row>
    <row r="22" spans="1:10">
      <c r="A22" s="37" t="s">
        <v>561</v>
      </c>
      <c r="B22" s="38" t="s">
        <v>63</v>
      </c>
      <c r="C22" s="37" t="s">
        <v>58</v>
      </c>
      <c r="D22" s="37" t="s">
        <v>65</v>
      </c>
      <c r="E22" s="113">
        <v>42765</v>
      </c>
      <c r="F22" s="43">
        <f t="shared" ca="1" si="0"/>
        <v>6</v>
      </c>
      <c r="G22" s="44" t="s">
        <v>68</v>
      </c>
      <c r="H22" s="45">
        <v>32341</v>
      </c>
      <c r="I22" s="38">
        <v>4</v>
      </c>
      <c r="J22" s="41">
        <f t="shared" si="1"/>
        <v>33224</v>
      </c>
    </row>
    <row r="23" spans="1:10">
      <c r="A23" s="37" t="s">
        <v>820</v>
      </c>
      <c r="B23" s="38" t="s">
        <v>63</v>
      </c>
      <c r="C23" s="37" t="s">
        <v>83</v>
      </c>
      <c r="D23" s="37" t="s">
        <v>59</v>
      </c>
      <c r="E23" s="113">
        <v>44053</v>
      </c>
      <c r="F23" s="43">
        <f t="shared" ca="1" si="0"/>
        <v>3</v>
      </c>
      <c r="G23" s="44"/>
      <c r="H23" s="45">
        <v>73420</v>
      </c>
      <c r="I23" s="38">
        <v>4</v>
      </c>
      <c r="J23" s="41">
        <f t="shared" si="1"/>
        <v>75424</v>
      </c>
    </row>
    <row r="24" spans="1:10">
      <c r="A24" s="37" t="s">
        <v>1244</v>
      </c>
      <c r="B24" s="38" t="s">
        <v>57</v>
      </c>
      <c r="C24" s="37" t="s">
        <v>95</v>
      </c>
      <c r="D24" s="37" t="s">
        <v>65</v>
      </c>
      <c r="E24" s="113">
        <v>41275</v>
      </c>
      <c r="F24" s="43">
        <f t="shared" ca="1" si="0"/>
        <v>10</v>
      </c>
      <c r="G24" s="44" t="s">
        <v>70</v>
      </c>
      <c r="H24" s="45">
        <v>59357</v>
      </c>
      <c r="I24" s="38">
        <v>5</v>
      </c>
      <c r="J24" s="41">
        <f t="shared" si="1"/>
        <v>60977</v>
      </c>
    </row>
    <row r="25" spans="1:10">
      <c r="A25" s="37" t="s">
        <v>650</v>
      </c>
      <c r="B25" s="38" t="s">
        <v>62</v>
      </c>
      <c r="C25" s="37" t="s">
        <v>74</v>
      </c>
      <c r="D25" s="37" t="s">
        <v>59</v>
      </c>
      <c r="E25" s="113">
        <v>44141</v>
      </c>
      <c r="F25" s="43">
        <f t="shared" ca="1" si="0"/>
        <v>2</v>
      </c>
      <c r="G25" s="44"/>
      <c r="H25" s="45">
        <v>111018</v>
      </c>
      <c r="I25" s="38">
        <v>2</v>
      </c>
      <c r="J25" s="41">
        <f t="shared" si="1"/>
        <v>114049</v>
      </c>
    </row>
    <row r="26" spans="1:10">
      <c r="A26" s="37" t="s">
        <v>1085</v>
      </c>
      <c r="B26" s="38" t="s">
        <v>57</v>
      </c>
      <c r="C26" s="37" t="s">
        <v>91</v>
      </c>
      <c r="D26" s="37" t="s">
        <v>65</v>
      </c>
      <c r="E26" s="113">
        <v>40105</v>
      </c>
      <c r="F26" s="43">
        <f t="shared" ca="1" si="0"/>
        <v>13</v>
      </c>
      <c r="G26" s="44" t="s">
        <v>70</v>
      </c>
      <c r="H26" s="45">
        <v>66916</v>
      </c>
      <c r="I26" s="38">
        <v>3</v>
      </c>
      <c r="J26" s="41">
        <f t="shared" si="1"/>
        <v>68743</v>
      </c>
    </row>
    <row r="27" spans="1:10">
      <c r="A27" s="37" t="s">
        <v>1255</v>
      </c>
      <c r="B27" s="38" t="s">
        <v>61</v>
      </c>
      <c r="C27" s="37" t="s">
        <v>97</v>
      </c>
      <c r="D27" s="37" t="s">
        <v>65</v>
      </c>
      <c r="E27" s="113">
        <v>44800</v>
      </c>
      <c r="F27" s="43">
        <f t="shared" ca="1" si="0"/>
        <v>1</v>
      </c>
      <c r="G27" s="44" t="s">
        <v>67</v>
      </c>
      <c r="H27" s="45">
        <v>122016</v>
      </c>
      <c r="I27" s="38">
        <v>1</v>
      </c>
      <c r="J27" s="41">
        <f t="shared" si="1"/>
        <v>125347</v>
      </c>
    </row>
    <row r="28" spans="1:10">
      <c r="A28" s="37" t="s">
        <v>769</v>
      </c>
      <c r="B28" s="38" t="s">
        <v>64</v>
      </c>
      <c r="C28" s="37" t="s">
        <v>80</v>
      </c>
      <c r="D28" s="37" t="s">
        <v>65</v>
      </c>
      <c r="E28" s="113">
        <v>42676</v>
      </c>
      <c r="F28" s="43">
        <f t="shared" ca="1" si="0"/>
        <v>6</v>
      </c>
      <c r="G28" s="44" t="s">
        <v>68</v>
      </c>
      <c r="H28" s="45">
        <v>120699</v>
      </c>
      <c r="I28" s="38">
        <v>3</v>
      </c>
      <c r="J28" s="41">
        <f t="shared" si="1"/>
        <v>123994</v>
      </c>
    </row>
    <row r="29" spans="1:10">
      <c r="A29" s="37" t="s">
        <v>770</v>
      </c>
      <c r="B29" s="38" t="s">
        <v>63</v>
      </c>
      <c r="C29" s="37" t="s">
        <v>80</v>
      </c>
      <c r="D29" s="37" t="s">
        <v>72</v>
      </c>
      <c r="E29" s="113">
        <v>41302</v>
      </c>
      <c r="F29" s="43">
        <f t="shared" ca="1" si="0"/>
        <v>10</v>
      </c>
      <c r="G29" s="44"/>
      <c r="H29" s="45">
        <v>30023</v>
      </c>
      <c r="I29" s="38">
        <v>2</v>
      </c>
      <c r="J29" s="41">
        <f t="shared" si="1"/>
        <v>30843</v>
      </c>
    </row>
    <row r="30" spans="1:10">
      <c r="A30" s="37" t="s">
        <v>821</v>
      </c>
      <c r="B30" s="38" t="s">
        <v>61</v>
      </c>
      <c r="C30" s="37" t="s">
        <v>83</v>
      </c>
      <c r="D30" s="37" t="s">
        <v>65</v>
      </c>
      <c r="E30" s="113">
        <v>39923</v>
      </c>
      <c r="F30" s="43">
        <f t="shared" ca="1" si="0"/>
        <v>14</v>
      </c>
      <c r="G30" s="44" t="s">
        <v>66</v>
      </c>
      <c r="H30" s="45">
        <v>52368</v>
      </c>
      <c r="I30" s="38">
        <v>2</v>
      </c>
      <c r="J30" s="41">
        <f t="shared" si="1"/>
        <v>53798</v>
      </c>
    </row>
    <row r="31" spans="1:10">
      <c r="A31" s="37" t="s">
        <v>562</v>
      </c>
      <c r="B31" s="38" t="s">
        <v>60</v>
      </c>
      <c r="C31" s="37" t="s">
        <v>58</v>
      </c>
      <c r="D31" s="37" t="s">
        <v>65</v>
      </c>
      <c r="E31" s="113">
        <v>43855</v>
      </c>
      <c r="F31" s="43">
        <f t="shared" ca="1" si="0"/>
        <v>3</v>
      </c>
      <c r="G31" s="44" t="s">
        <v>69</v>
      </c>
      <c r="H31" s="45">
        <v>41273</v>
      </c>
      <c r="I31" s="38">
        <v>2</v>
      </c>
      <c r="J31" s="41">
        <f t="shared" si="1"/>
        <v>42400</v>
      </c>
    </row>
    <row r="32" spans="1:10">
      <c r="A32" s="37" t="s">
        <v>1086</v>
      </c>
      <c r="B32" s="38" t="s">
        <v>63</v>
      </c>
      <c r="C32" s="37" t="s">
        <v>91</v>
      </c>
      <c r="D32" s="37" t="s">
        <v>72</v>
      </c>
      <c r="E32" s="113">
        <v>39452</v>
      </c>
      <c r="F32" s="43">
        <f t="shared" ca="1" si="0"/>
        <v>15</v>
      </c>
      <c r="G32" s="44"/>
      <c r="H32" s="45">
        <v>17802</v>
      </c>
      <c r="I32" s="38">
        <v>5</v>
      </c>
      <c r="J32" s="41">
        <f t="shared" si="1"/>
        <v>18288</v>
      </c>
    </row>
    <row r="33" spans="1:10">
      <c r="A33" s="37" t="s">
        <v>758</v>
      </c>
      <c r="B33" s="38" t="s">
        <v>61</v>
      </c>
      <c r="C33" s="37" t="s">
        <v>79</v>
      </c>
      <c r="D33" s="37" t="s">
        <v>65</v>
      </c>
      <c r="E33" s="113">
        <v>43274</v>
      </c>
      <c r="F33" s="43">
        <f t="shared" ca="1" si="0"/>
        <v>5</v>
      </c>
      <c r="G33" s="44" t="s">
        <v>68</v>
      </c>
      <c r="H33" s="45">
        <v>65668</v>
      </c>
      <c r="I33" s="38">
        <v>5</v>
      </c>
      <c r="J33" s="41">
        <f t="shared" si="1"/>
        <v>67461</v>
      </c>
    </row>
    <row r="34" spans="1:10">
      <c r="A34" s="37" t="s">
        <v>975</v>
      </c>
      <c r="B34" s="38" t="s">
        <v>61</v>
      </c>
      <c r="C34" s="37" t="s">
        <v>87</v>
      </c>
      <c r="D34" s="37" t="s">
        <v>65</v>
      </c>
      <c r="E34" s="113">
        <v>39707</v>
      </c>
      <c r="F34" s="43">
        <f t="shared" ca="1" si="0"/>
        <v>15</v>
      </c>
      <c r="G34" s="44" t="s">
        <v>69</v>
      </c>
      <c r="H34" s="45">
        <v>69024</v>
      </c>
      <c r="I34" s="38">
        <v>1</v>
      </c>
      <c r="J34" s="41">
        <f t="shared" si="1"/>
        <v>70908</v>
      </c>
    </row>
    <row r="35" spans="1:10">
      <c r="A35" s="37" t="s">
        <v>1152</v>
      </c>
      <c r="B35" s="38" t="s">
        <v>61</v>
      </c>
      <c r="C35" s="37" t="s">
        <v>93</v>
      </c>
      <c r="D35" s="37" t="s">
        <v>65</v>
      </c>
      <c r="E35" s="113">
        <v>40140</v>
      </c>
      <c r="F35" s="43">
        <f t="shared" ca="1" si="0"/>
        <v>13</v>
      </c>
      <c r="G35" s="44" t="s">
        <v>70</v>
      </c>
      <c r="H35" s="45">
        <v>49178</v>
      </c>
      <c r="I35" s="38">
        <v>1</v>
      </c>
      <c r="J35" s="41">
        <f t="shared" si="1"/>
        <v>50521</v>
      </c>
    </row>
    <row r="36" spans="1:10">
      <c r="A36" s="37" t="s">
        <v>822</v>
      </c>
      <c r="B36" s="38" t="s">
        <v>60</v>
      </c>
      <c r="C36" s="37" t="s">
        <v>83</v>
      </c>
      <c r="D36" s="37" t="s">
        <v>65</v>
      </c>
      <c r="E36" s="113">
        <v>43246</v>
      </c>
      <c r="F36" s="43">
        <f t="shared" ca="1" si="0"/>
        <v>5</v>
      </c>
      <c r="G36" s="44" t="s">
        <v>69</v>
      </c>
      <c r="H36" s="45">
        <v>47819</v>
      </c>
      <c r="I36" s="38">
        <v>3</v>
      </c>
      <c r="J36" s="41">
        <f t="shared" si="1"/>
        <v>49124</v>
      </c>
    </row>
    <row r="37" spans="1:10">
      <c r="A37" s="37" t="s">
        <v>1063</v>
      </c>
      <c r="B37" s="38" t="s">
        <v>57</v>
      </c>
      <c r="C37" s="37" t="s">
        <v>90</v>
      </c>
      <c r="D37" s="37" t="s">
        <v>65</v>
      </c>
      <c r="E37" s="113">
        <v>44409</v>
      </c>
      <c r="F37" s="43">
        <f t="shared" ca="1" si="0"/>
        <v>2</v>
      </c>
      <c r="G37" s="44" t="s">
        <v>66</v>
      </c>
      <c r="H37" s="45">
        <v>61798</v>
      </c>
      <c r="I37" s="38">
        <v>2</v>
      </c>
      <c r="J37" s="41">
        <f t="shared" si="1"/>
        <v>63485</v>
      </c>
    </row>
    <row r="38" spans="1:10">
      <c r="A38" s="37" t="s">
        <v>1064</v>
      </c>
      <c r="B38" s="38" t="s">
        <v>61</v>
      </c>
      <c r="C38" s="37" t="s">
        <v>90</v>
      </c>
      <c r="D38" s="37" t="s">
        <v>65</v>
      </c>
      <c r="E38" s="113">
        <v>44142</v>
      </c>
      <c r="F38" s="43">
        <f t="shared" ca="1" si="0"/>
        <v>2</v>
      </c>
      <c r="G38" s="44" t="s">
        <v>68</v>
      </c>
      <c r="H38" s="45">
        <v>99480</v>
      </c>
      <c r="I38" s="38">
        <v>1</v>
      </c>
      <c r="J38" s="41">
        <f t="shared" si="1"/>
        <v>102196</v>
      </c>
    </row>
    <row r="39" spans="1:10">
      <c r="A39" s="37" t="s">
        <v>1027</v>
      </c>
      <c r="B39" s="38" t="s">
        <v>61</v>
      </c>
      <c r="C39" s="37" t="s">
        <v>88</v>
      </c>
      <c r="D39" s="37" t="s">
        <v>59</v>
      </c>
      <c r="E39" s="113">
        <v>41232</v>
      </c>
      <c r="F39" s="43">
        <f t="shared" ca="1" si="0"/>
        <v>10</v>
      </c>
      <c r="G39" s="44"/>
      <c r="H39" s="45">
        <v>44338</v>
      </c>
      <c r="I39" s="38">
        <v>5</v>
      </c>
      <c r="J39" s="41">
        <f t="shared" si="1"/>
        <v>45548</v>
      </c>
    </row>
    <row r="40" spans="1:10">
      <c r="A40" s="37" t="s">
        <v>823</v>
      </c>
      <c r="B40" s="38" t="s">
        <v>61</v>
      </c>
      <c r="C40" s="37" t="s">
        <v>83</v>
      </c>
      <c r="D40" s="37" t="s">
        <v>65</v>
      </c>
      <c r="E40" s="113">
        <v>40659</v>
      </c>
      <c r="F40" s="43">
        <f t="shared" ca="1" si="0"/>
        <v>12</v>
      </c>
      <c r="G40" s="44" t="s">
        <v>67</v>
      </c>
      <c r="H40" s="45">
        <v>91547</v>
      </c>
      <c r="I40" s="38">
        <v>5</v>
      </c>
      <c r="J40" s="41">
        <f t="shared" si="1"/>
        <v>94046</v>
      </c>
    </row>
    <row r="41" spans="1:10">
      <c r="A41" s="37" t="s">
        <v>81</v>
      </c>
      <c r="B41" s="38" t="s">
        <v>60</v>
      </c>
      <c r="C41" s="37" t="s">
        <v>80</v>
      </c>
      <c r="D41" s="37" t="s">
        <v>71</v>
      </c>
      <c r="E41" s="113">
        <v>41061</v>
      </c>
      <c r="F41" s="43">
        <f t="shared" ca="1" si="0"/>
        <v>11</v>
      </c>
      <c r="G41" s="44" t="s">
        <v>68</v>
      </c>
      <c r="H41" s="45">
        <v>46890</v>
      </c>
      <c r="I41" s="38">
        <v>5</v>
      </c>
      <c r="J41" s="41">
        <f t="shared" si="1"/>
        <v>48170</v>
      </c>
    </row>
    <row r="42" spans="1:10">
      <c r="A42" s="37" t="s">
        <v>824</v>
      </c>
      <c r="B42" s="38" t="s">
        <v>62</v>
      </c>
      <c r="C42" s="37" t="s">
        <v>83</v>
      </c>
      <c r="D42" s="37" t="s">
        <v>71</v>
      </c>
      <c r="E42" s="113">
        <v>39398</v>
      </c>
      <c r="F42" s="43">
        <f t="shared" ca="1" si="0"/>
        <v>15</v>
      </c>
      <c r="G42" s="44" t="s">
        <v>68</v>
      </c>
      <c r="H42" s="45">
        <v>67727</v>
      </c>
      <c r="I42" s="38">
        <v>5</v>
      </c>
      <c r="J42" s="41">
        <f t="shared" si="1"/>
        <v>69576</v>
      </c>
    </row>
    <row r="43" spans="1:10">
      <c r="A43" s="37" t="s">
        <v>563</v>
      </c>
      <c r="B43" s="38" t="s">
        <v>63</v>
      </c>
      <c r="C43" s="37" t="s">
        <v>58</v>
      </c>
      <c r="D43" s="37" t="s">
        <v>65</v>
      </c>
      <c r="E43" s="113">
        <v>43923</v>
      </c>
      <c r="F43" s="43">
        <f t="shared" ca="1" si="0"/>
        <v>3</v>
      </c>
      <c r="G43" s="44" t="s">
        <v>68</v>
      </c>
      <c r="H43" s="45">
        <v>65654</v>
      </c>
      <c r="I43" s="38">
        <v>2</v>
      </c>
      <c r="J43" s="41">
        <f t="shared" si="1"/>
        <v>67446</v>
      </c>
    </row>
    <row r="44" spans="1:10">
      <c r="A44" s="37" t="s">
        <v>1153</v>
      </c>
      <c r="B44" s="38" t="s">
        <v>57</v>
      </c>
      <c r="C44" s="37" t="s">
        <v>93</v>
      </c>
      <c r="D44" s="37" t="s">
        <v>71</v>
      </c>
      <c r="E44" s="113">
        <v>44001</v>
      </c>
      <c r="F44" s="43">
        <f t="shared" ca="1" si="0"/>
        <v>3</v>
      </c>
      <c r="G44" s="44" t="s">
        <v>70</v>
      </c>
      <c r="H44" s="45">
        <v>52846</v>
      </c>
      <c r="I44" s="38">
        <v>2</v>
      </c>
      <c r="J44" s="41">
        <f t="shared" si="1"/>
        <v>54289</v>
      </c>
    </row>
    <row r="45" spans="1:10">
      <c r="A45" s="37" t="s">
        <v>1154</v>
      </c>
      <c r="B45" s="38" t="s">
        <v>61</v>
      </c>
      <c r="C45" s="37" t="s">
        <v>93</v>
      </c>
      <c r="D45" s="37" t="s">
        <v>65</v>
      </c>
      <c r="E45" s="113">
        <v>40263</v>
      </c>
      <c r="F45" s="43">
        <f t="shared" ca="1" si="0"/>
        <v>13</v>
      </c>
      <c r="G45" s="44" t="s">
        <v>67</v>
      </c>
      <c r="H45" s="45">
        <v>90589</v>
      </c>
      <c r="I45" s="38">
        <v>5</v>
      </c>
      <c r="J45" s="41">
        <f t="shared" si="1"/>
        <v>93062</v>
      </c>
    </row>
    <row r="46" spans="1:10">
      <c r="A46" s="37" t="s">
        <v>668</v>
      </c>
      <c r="B46" s="38" t="s">
        <v>61</v>
      </c>
      <c r="C46" s="37" t="s">
        <v>75</v>
      </c>
      <c r="D46" s="37" t="s">
        <v>65</v>
      </c>
      <c r="E46" s="113">
        <v>44609</v>
      </c>
      <c r="F46" s="43">
        <f t="shared" ca="1" si="0"/>
        <v>1</v>
      </c>
      <c r="G46" s="44" t="s">
        <v>68</v>
      </c>
      <c r="H46" s="45">
        <v>64100</v>
      </c>
      <c r="I46" s="38">
        <v>3</v>
      </c>
      <c r="J46" s="41">
        <f t="shared" si="1"/>
        <v>65850</v>
      </c>
    </row>
    <row r="47" spans="1:10">
      <c r="A47" s="37" t="s">
        <v>691</v>
      </c>
      <c r="B47" s="38" t="s">
        <v>60</v>
      </c>
      <c r="C47" s="37" t="s">
        <v>77</v>
      </c>
      <c r="D47" s="37" t="s">
        <v>65</v>
      </c>
      <c r="E47" s="113">
        <v>41551</v>
      </c>
      <c r="F47" s="43">
        <f t="shared" ca="1" si="0"/>
        <v>9</v>
      </c>
      <c r="G47" s="44" t="s">
        <v>68</v>
      </c>
      <c r="H47" s="45">
        <v>92767</v>
      </c>
      <c r="I47" s="38">
        <v>5</v>
      </c>
      <c r="J47" s="41">
        <f t="shared" si="1"/>
        <v>95300</v>
      </c>
    </row>
    <row r="48" spans="1:10">
      <c r="A48" s="37" t="s">
        <v>825</v>
      </c>
      <c r="B48" s="38" t="s">
        <v>64</v>
      </c>
      <c r="C48" s="37" t="s">
        <v>83</v>
      </c>
      <c r="D48" s="37" t="s">
        <v>59</v>
      </c>
      <c r="E48" s="113">
        <v>42969</v>
      </c>
      <c r="F48" s="43">
        <f t="shared" ca="1" si="0"/>
        <v>6</v>
      </c>
      <c r="G48" s="44"/>
      <c r="H48" s="45">
        <v>49178</v>
      </c>
      <c r="I48" s="38">
        <v>3</v>
      </c>
      <c r="J48" s="41">
        <f t="shared" si="1"/>
        <v>50521</v>
      </c>
    </row>
    <row r="49" spans="1:10">
      <c r="A49" s="37" t="s">
        <v>771</v>
      </c>
      <c r="B49" s="38" t="s">
        <v>62</v>
      </c>
      <c r="C49" s="37" t="s">
        <v>80</v>
      </c>
      <c r="D49" s="37" t="s">
        <v>65</v>
      </c>
      <c r="E49" s="113">
        <v>43961</v>
      </c>
      <c r="F49" s="43">
        <f t="shared" ca="1" si="0"/>
        <v>3</v>
      </c>
      <c r="G49" s="44" t="s">
        <v>68</v>
      </c>
      <c r="H49" s="45">
        <v>92697</v>
      </c>
      <c r="I49" s="38">
        <v>4</v>
      </c>
      <c r="J49" s="41">
        <f t="shared" si="1"/>
        <v>95228</v>
      </c>
    </row>
    <row r="50" spans="1:10">
      <c r="A50" s="37" t="s">
        <v>826</v>
      </c>
      <c r="B50" s="38" t="s">
        <v>57</v>
      </c>
      <c r="C50" s="37" t="s">
        <v>83</v>
      </c>
      <c r="D50" s="37" t="s">
        <v>59</v>
      </c>
      <c r="E50" s="113">
        <v>44064</v>
      </c>
      <c r="F50" s="43">
        <f t="shared" ca="1" si="0"/>
        <v>3</v>
      </c>
      <c r="G50" s="44"/>
      <c r="H50" s="45">
        <v>39193</v>
      </c>
      <c r="I50" s="38">
        <v>5</v>
      </c>
      <c r="J50" s="41">
        <f t="shared" si="1"/>
        <v>40263</v>
      </c>
    </row>
    <row r="51" spans="1:10">
      <c r="A51" s="37" t="s">
        <v>827</v>
      </c>
      <c r="B51" s="38" t="s">
        <v>62</v>
      </c>
      <c r="C51" s="37" t="s">
        <v>83</v>
      </c>
      <c r="D51" s="37" t="s">
        <v>59</v>
      </c>
      <c r="E51" s="113">
        <v>42735</v>
      </c>
      <c r="F51" s="43">
        <f t="shared" ca="1" si="0"/>
        <v>6</v>
      </c>
      <c r="G51" s="44"/>
      <c r="H51" s="45">
        <v>89356</v>
      </c>
      <c r="I51" s="38">
        <v>4</v>
      </c>
      <c r="J51" s="41">
        <f t="shared" si="1"/>
        <v>91795</v>
      </c>
    </row>
    <row r="52" spans="1:10">
      <c r="A52" s="37" t="s">
        <v>772</v>
      </c>
      <c r="B52" s="38" t="s">
        <v>63</v>
      </c>
      <c r="C52" s="37" t="s">
        <v>80</v>
      </c>
      <c r="D52" s="37" t="s">
        <v>65</v>
      </c>
      <c r="E52" s="113">
        <v>41818</v>
      </c>
      <c r="F52" s="43">
        <f t="shared" ca="1" si="0"/>
        <v>9</v>
      </c>
      <c r="G52" s="44" t="s">
        <v>70</v>
      </c>
      <c r="H52" s="45">
        <v>119547</v>
      </c>
      <c r="I52" s="38">
        <v>3</v>
      </c>
      <c r="J52" s="41">
        <f t="shared" si="1"/>
        <v>122811</v>
      </c>
    </row>
    <row r="53" spans="1:10">
      <c r="A53" s="37" t="s">
        <v>976</v>
      </c>
      <c r="B53" s="38" t="s">
        <v>61</v>
      </c>
      <c r="C53" s="37" t="s">
        <v>87</v>
      </c>
      <c r="D53" s="37" t="s">
        <v>71</v>
      </c>
      <c r="E53" s="113">
        <v>43048</v>
      </c>
      <c r="F53" s="43">
        <f t="shared" ca="1" si="0"/>
        <v>5</v>
      </c>
      <c r="G53" s="44" t="s">
        <v>68</v>
      </c>
      <c r="H53" s="45">
        <v>43346</v>
      </c>
      <c r="I53" s="38">
        <v>5</v>
      </c>
      <c r="J53" s="41">
        <f t="shared" si="1"/>
        <v>44529</v>
      </c>
    </row>
    <row r="54" spans="1:10">
      <c r="A54" s="37" t="s">
        <v>1087</v>
      </c>
      <c r="B54" s="38" t="s">
        <v>57</v>
      </c>
      <c r="C54" s="37" t="s">
        <v>91</v>
      </c>
      <c r="D54" s="37" t="s">
        <v>65</v>
      </c>
      <c r="E54" s="113">
        <v>41216</v>
      </c>
      <c r="F54" s="43">
        <f t="shared" ca="1" si="0"/>
        <v>10</v>
      </c>
      <c r="G54" s="44" t="s">
        <v>70</v>
      </c>
      <c r="H54" s="45">
        <v>114402</v>
      </c>
      <c r="I54" s="38">
        <v>5</v>
      </c>
      <c r="J54" s="41">
        <f t="shared" si="1"/>
        <v>117525</v>
      </c>
    </row>
    <row r="55" spans="1:10">
      <c r="A55" s="37" t="s">
        <v>828</v>
      </c>
      <c r="B55" s="38" t="s">
        <v>60</v>
      </c>
      <c r="C55" s="37" t="s">
        <v>83</v>
      </c>
      <c r="D55" s="37" t="s">
        <v>59</v>
      </c>
      <c r="E55" s="113">
        <v>43129</v>
      </c>
      <c r="F55" s="43">
        <f t="shared" ca="1" si="0"/>
        <v>5</v>
      </c>
      <c r="G55" s="44"/>
      <c r="H55" s="45">
        <v>87067</v>
      </c>
      <c r="I55" s="38">
        <v>4</v>
      </c>
      <c r="J55" s="41">
        <f t="shared" si="1"/>
        <v>89444</v>
      </c>
    </row>
    <row r="56" spans="1:10">
      <c r="A56" s="37" t="s">
        <v>1155</v>
      </c>
      <c r="B56" s="38" t="s">
        <v>60</v>
      </c>
      <c r="C56" s="37" t="s">
        <v>93</v>
      </c>
      <c r="D56" s="37" t="s">
        <v>59</v>
      </c>
      <c r="E56" s="113">
        <v>39784</v>
      </c>
      <c r="F56" s="43">
        <f t="shared" ca="1" si="0"/>
        <v>14</v>
      </c>
      <c r="G56" s="44"/>
      <c r="H56" s="45">
        <v>80785</v>
      </c>
      <c r="I56" s="38">
        <v>2</v>
      </c>
      <c r="J56" s="41">
        <f t="shared" si="1"/>
        <v>82990</v>
      </c>
    </row>
    <row r="57" spans="1:10">
      <c r="A57" s="37" t="s">
        <v>669</v>
      </c>
      <c r="B57" s="38" t="s">
        <v>60</v>
      </c>
      <c r="C57" s="37" t="s">
        <v>75</v>
      </c>
      <c r="D57" s="37" t="s">
        <v>65</v>
      </c>
      <c r="E57" s="113">
        <v>43697</v>
      </c>
      <c r="F57" s="43">
        <f t="shared" ca="1" si="0"/>
        <v>4</v>
      </c>
      <c r="G57" s="44" t="s">
        <v>67</v>
      </c>
      <c r="H57" s="45">
        <v>70979</v>
      </c>
      <c r="I57" s="38">
        <v>3</v>
      </c>
      <c r="J57" s="41">
        <f t="shared" si="1"/>
        <v>72917</v>
      </c>
    </row>
    <row r="58" spans="1:10">
      <c r="A58" s="37" t="s">
        <v>1156</v>
      </c>
      <c r="B58" s="38" t="s">
        <v>64</v>
      </c>
      <c r="C58" s="37" t="s">
        <v>93</v>
      </c>
      <c r="D58" s="37" t="s">
        <v>59</v>
      </c>
      <c r="E58" s="113">
        <v>42863</v>
      </c>
      <c r="F58" s="43">
        <f t="shared" ca="1" si="0"/>
        <v>6</v>
      </c>
      <c r="G58" s="44"/>
      <c r="H58" s="45">
        <v>48873</v>
      </c>
      <c r="I58" s="38">
        <v>3</v>
      </c>
      <c r="J58" s="41">
        <f t="shared" si="1"/>
        <v>50207</v>
      </c>
    </row>
    <row r="59" spans="1:10">
      <c r="A59" s="37" t="s">
        <v>1088</v>
      </c>
      <c r="B59" s="38" t="s">
        <v>61</v>
      </c>
      <c r="C59" s="37" t="s">
        <v>91</v>
      </c>
      <c r="D59" s="37" t="s">
        <v>65</v>
      </c>
      <c r="E59" s="113">
        <v>42375</v>
      </c>
      <c r="F59" s="43">
        <f t="shared" ca="1" si="0"/>
        <v>7</v>
      </c>
      <c r="G59" s="44" t="s">
        <v>68</v>
      </c>
      <c r="H59" s="45">
        <v>109160</v>
      </c>
      <c r="I59" s="38">
        <v>4</v>
      </c>
      <c r="J59" s="41">
        <f t="shared" si="1"/>
        <v>112140</v>
      </c>
    </row>
    <row r="60" spans="1:10">
      <c r="A60" s="37" t="s">
        <v>977</v>
      </c>
      <c r="B60" s="38" t="s">
        <v>62</v>
      </c>
      <c r="C60" s="37" t="s">
        <v>87</v>
      </c>
      <c r="D60" s="37" t="s">
        <v>65</v>
      </c>
      <c r="E60" s="113">
        <v>43986</v>
      </c>
      <c r="F60" s="43">
        <f t="shared" ca="1" si="0"/>
        <v>3</v>
      </c>
      <c r="G60" s="44" t="s">
        <v>68</v>
      </c>
      <c r="H60" s="45">
        <v>79827</v>
      </c>
      <c r="I60" s="38">
        <v>4</v>
      </c>
      <c r="J60" s="41">
        <f t="shared" si="1"/>
        <v>82006</v>
      </c>
    </row>
    <row r="61" spans="1:10">
      <c r="A61" s="37" t="s">
        <v>670</v>
      </c>
      <c r="B61" s="38" t="s">
        <v>61</v>
      </c>
      <c r="C61" s="37" t="s">
        <v>75</v>
      </c>
      <c r="D61" s="37" t="s">
        <v>71</v>
      </c>
      <c r="E61" s="113">
        <v>43008</v>
      </c>
      <c r="F61" s="43">
        <f t="shared" ca="1" si="0"/>
        <v>5</v>
      </c>
      <c r="G61" s="44" t="s">
        <v>66</v>
      </c>
      <c r="H61" s="45">
        <v>63927</v>
      </c>
      <c r="I61" s="38">
        <v>3</v>
      </c>
      <c r="J61" s="41">
        <f t="shared" si="1"/>
        <v>65672</v>
      </c>
    </row>
    <row r="62" spans="1:10">
      <c r="A62" s="37" t="s">
        <v>692</v>
      </c>
      <c r="B62" s="38" t="s">
        <v>60</v>
      </c>
      <c r="C62" s="37" t="s">
        <v>77</v>
      </c>
      <c r="D62" s="37" t="s">
        <v>59</v>
      </c>
      <c r="E62" s="113">
        <v>42631</v>
      </c>
      <c r="F62" s="43">
        <f t="shared" ca="1" si="0"/>
        <v>7</v>
      </c>
      <c r="G62" s="44"/>
      <c r="H62" s="45">
        <v>86194</v>
      </c>
      <c r="I62" s="38">
        <v>4</v>
      </c>
      <c r="J62" s="41">
        <f t="shared" si="1"/>
        <v>88547</v>
      </c>
    </row>
    <row r="63" spans="1:10">
      <c r="A63" s="37" t="s">
        <v>810</v>
      </c>
      <c r="B63" s="38" t="s">
        <v>62</v>
      </c>
      <c r="C63" s="37" t="s">
        <v>82</v>
      </c>
      <c r="D63" s="37" t="s">
        <v>59</v>
      </c>
      <c r="E63" s="113">
        <v>43854</v>
      </c>
      <c r="F63" s="43">
        <f t="shared" ca="1" si="0"/>
        <v>3</v>
      </c>
      <c r="G63" s="44" t="s">
        <v>66</v>
      </c>
      <c r="H63" s="45">
        <v>98731</v>
      </c>
      <c r="I63" s="38">
        <v>4</v>
      </c>
      <c r="J63" s="41">
        <f t="shared" si="1"/>
        <v>101426</v>
      </c>
    </row>
    <row r="64" spans="1:10">
      <c r="A64" s="37" t="s">
        <v>564</v>
      </c>
      <c r="B64" s="38" t="s">
        <v>60</v>
      </c>
      <c r="C64" s="37" t="s">
        <v>58</v>
      </c>
      <c r="D64" s="37" t="s">
        <v>72</v>
      </c>
      <c r="E64" s="113">
        <v>39537</v>
      </c>
      <c r="F64" s="43">
        <f t="shared" ca="1" si="0"/>
        <v>15</v>
      </c>
      <c r="G64" s="44"/>
      <c r="H64" s="45">
        <v>19876</v>
      </c>
      <c r="I64" s="38">
        <v>5</v>
      </c>
      <c r="J64" s="41">
        <f t="shared" si="1"/>
        <v>20419</v>
      </c>
    </row>
    <row r="65" spans="1:10">
      <c r="A65" s="37" t="s">
        <v>1157</v>
      </c>
      <c r="B65" s="38" t="s">
        <v>60</v>
      </c>
      <c r="C65" s="37" t="s">
        <v>93</v>
      </c>
      <c r="D65" s="37" t="s">
        <v>59</v>
      </c>
      <c r="E65" s="113">
        <v>44685</v>
      </c>
      <c r="F65" s="43">
        <f t="shared" ca="1" si="0"/>
        <v>1</v>
      </c>
      <c r="G65" s="44"/>
      <c r="H65" s="45">
        <v>82002</v>
      </c>
      <c r="I65" s="38">
        <v>4</v>
      </c>
      <c r="J65" s="41">
        <f t="shared" si="1"/>
        <v>84241</v>
      </c>
    </row>
    <row r="66" spans="1:10">
      <c r="A66" s="37" t="s">
        <v>1256</v>
      </c>
      <c r="B66" s="38" t="s">
        <v>64</v>
      </c>
      <c r="C66" s="37" t="s">
        <v>97</v>
      </c>
      <c r="D66" s="37" t="s">
        <v>71</v>
      </c>
      <c r="E66" s="113">
        <v>43854</v>
      </c>
      <c r="F66" s="43">
        <f t="shared" ref="F66:F129" ca="1" si="2">DATEDIF(E66,TODAY(),"Y")</f>
        <v>3</v>
      </c>
      <c r="G66" s="44" t="s">
        <v>68</v>
      </c>
      <c r="H66" s="45">
        <v>68518</v>
      </c>
      <c r="I66" s="38">
        <v>4</v>
      </c>
      <c r="J66" s="41">
        <f t="shared" ref="J66:J129" si="3">ROUND(H66*$L$1+H66,0)</f>
        <v>70389</v>
      </c>
    </row>
    <row r="67" spans="1:10">
      <c r="A67" s="37" t="s">
        <v>565</v>
      </c>
      <c r="B67" s="38" t="s">
        <v>60</v>
      </c>
      <c r="C67" s="37" t="s">
        <v>58</v>
      </c>
      <c r="D67" s="37" t="s">
        <v>59</v>
      </c>
      <c r="E67" s="113">
        <v>39677</v>
      </c>
      <c r="F67" s="43">
        <f t="shared" ca="1" si="2"/>
        <v>15</v>
      </c>
      <c r="G67" s="44"/>
      <c r="H67" s="45">
        <v>65903</v>
      </c>
      <c r="I67" s="38">
        <v>1</v>
      </c>
      <c r="J67" s="41">
        <f t="shared" si="3"/>
        <v>67702</v>
      </c>
    </row>
    <row r="68" spans="1:10">
      <c r="A68" s="37" t="s">
        <v>829</v>
      </c>
      <c r="B68" s="38" t="s">
        <v>61</v>
      </c>
      <c r="C68" s="37" t="s">
        <v>83</v>
      </c>
      <c r="D68" s="37" t="s">
        <v>71</v>
      </c>
      <c r="E68" s="113">
        <v>40195</v>
      </c>
      <c r="F68" s="43">
        <f t="shared" ca="1" si="2"/>
        <v>13</v>
      </c>
      <c r="G68" s="44" t="s">
        <v>70</v>
      </c>
      <c r="H68" s="45">
        <v>64781</v>
      </c>
      <c r="I68" s="38">
        <v>3</v>
      </c>
      <c r="J68" s="41">
        <f t="shared" si="3"/>
        <v>66550</v>
      </c>
    </row>
    <row r="69" spans="1:10">
      <c r="A69" s="37" t="s">
        <v>830</v>
      </c>
      <c r="B69" s="38" t="s">
        <v>60</v>
      </c>
      <c r="C69" s="37" t="s">
        <v>83</v>
      </c>
      <c r="D69" s="37" t="s">
        <v>65</v>
      </c>
      <c r="E69" s="113">
        <v>42389</v>
      </c>
      <c r="F69" s="43">
        <f t="shared" ca="1" si="2"/>
        <v>7</v>
      </c>
      <c r="G69" s="44" t="s">
        <v>70</v>
      </c>
      <c r="H69" s="45">
        <v>101440</v>
      </c>
      <c r="I69" s="38">
        <v>5</v>
      </c>
      <c r="J69" s="41">
        <f t="shared" si="3"/>
        <v>104209</v>
      </c>
    </row>
    <row r="70" spans="1:10">
      <c r="A70" s="37" t="s">
        <v>831</v>
      </c>
      <c r="B70" s="38" t="s">
        <v>61</v>
      </c>
      <c r="C70" s="37" t="s">
        <v>83</v>
      </c>
      <c r="D70" s="37" t="s">
        <v>59</v>
      </c>
      <c r="E70" s="113">
        <v>39563</v>
      </c>
      <c r="F70" s="43">
        <f t="shared" ca="1" si="2"/>
        <v>15</v>
      </c>
      <c r="G70" s="44"/>
      <c r="H70" s="45">
        <v>99452</v>
      </c>
      <c r="I70" s="38">
        <v>5</v>
      </c>
      <c r="J70" s="41">
        <f t="shared" si="3"/>
        <v>102167</v>
      </c>
    </row>
    <row r="71" spans="1:10">
      <c r="A71" s="37" t="s">
        <v>832</v>
      </c>
      <c r="B71" s="38" t="s">
        <v>63</v>
      </c>
      <c r="C71" s="37" t="s">
        <v>83</v>
      </c>
      <c r="D71" s="37" t="s">
        <v>65</v>
      </c>
      <c r="E71" s="113">
        <v>43287</v>
      </c>
      <c r="F71" s="43">
        <f t="shared" ca="1" si="2"/>
        <v>5</v>
      </c>
      <c r="G71" s="44" t="s">
        <v>68</v>
      </c>
      <c r="H71" s="45">
        <v>96137</v>
      </c>
      <c r="I71" s="38">
        <v>3</v>
      </c>
      <c r="J71" s="41">
        <f t="shared" si="3"/>
        <v>98762</v>
      </c>
    </row>
    <row r="72" spans="1:10">
      <c r="A72" s="37" t="s">
        <v>1249</v>
      </c>
      <c r="B72" s="38" t="s">
        <v>61</v>
      </c>
      <c r="C72" s="37" t="s">
        <v>96</v>
      </c>
      <c r="D72" s="37" t="s">
        <v>59</v>
      </c>
      <c r="E72" s="113">
        <v>43230</v>
      </c>
      <c r="F72" s="43">
        <f t="shared" ca="1" si="2"/>
        <v>5</v>
      </c>
      <c r="G72" s="44"/>
      <c r="H72" s="45">
        <v>89757</v>
      </c>
      <c r="I72" s="38">
        <v>5</v>
      </c>
      <c r="J72" s="41">
        <f t="shared" si="3"/>
        <v>92207</v>
      </c>
    </row>
    <row r="73" spans="1:10">
      <c r="A73" s="37" t="s">
        <v>833</v>
      </c>
      <c r="B73" s="38" t="s">
        <v>63</v>
      </c>
      <c r="C73" s="37" t="s">
        <v>83</v>
      </c>
      <c r="D73" s="37" t="s">
        <v>65</v>
      </c>
      <c r="E73" s="113">
        <v>44225</v>
      </c>
      <c r="F73" s="43">
        <f t="shared" ca="1" si="2"/>
        <v>2</v>
      </c>
      <c r="G73" s="44" t="s">
        <v>68</v>
      </c>
      <c r="H73" s="45">
        <v>65792</v>
      </c>
      <c r="I73" s="38">
        <v>3</v>
      </c>
      <c r="J73" s="41">
        <f t="shared" si="3"/>
        <v>67588</v>
      </c>
    </row>
    <row r="74" spans="1:10">
      <c r="A74" s="37" t="s">
        <v>1089</v>
      </c>
      <c r="B74" s="38" t="s">
        <v>61</v>
      </c>
      <c r="C74" s="37" t="s">
        <v>91</v>
      </c>
      <c r="D74" s="37" t="s">
        <v>59</v>
      </c>
      <c r="E74" s="113">
        <v>43311</v>
      </c>
      <c r="F74" s="43">
        <f t="shared" ca="1" si="2"/>
        <v>5</v>
      </c>
      <c r="G74" s="44"/>
      <c r="H74" s="45">
        <v>60079</v>
      </c>
      <c r="I74" s="38">
        <v>5</v>
      </c>
      <c r="J74" s="41">
        <f t="shared" si="3"/>
        <v>61719</v>
      </c>
    </row>
    <row r="75" spans="1:10">
      <c r="A75" s="37" t="s">
        <v>1275</v>
      </c>
      <c r="B75" s="38" t="s">
        <v>63</v>
      </c>
      <c r="C75" s="37" t="s">
        <v>98</v>
      </c>
      <c r="D75" s="37" t="s">
        <v>71</v>
      </c>
      <c r="E75" s="113">
        <v>44370</v>
      </c>
      <c r="F75" s="43">
        <f t="shared" ca="1" si="2"/>
        <v>2</v>
      </c>
      <c r="G75" s="44" t="s">
        <v>67</v>
      </c>
      <c r="H75" s="45">
        <v>42223</v>
      </c>
      <c r="I75" s="38">
        <v>1</v>
      </c>
      <c r="J75" s="41">
        <f t="shared" si="3"/>
        <v>43376</v>
      </c>
    </row>
    <row r="76" spans="1:10">
      <c r="A76" s="37" t="s">
        <v>834</v>
      </c>
      <c r="B76" s="38" t="s">
        <v>60</v>
      </c>
      <c r="C76" s="37" t="s">
        <v>83</v>
      </c>
      <c r="D76" s="37" t="s">
        <v>65</v>
      </c>
      <c r="E76" s="113">
        <v>44169</v>
      </c>
      <c r="F76" s="43">
        <f t="shared" ca="1" si="2"/>
        <v>2</v>
      </c>
      <c r="G76" s="44" t="s">
        <v>68</v>
      </c>
      <c r="H76" s="45">
        <v>60772</v>
      </c>
      <c r="I76" s="38">
        <v>2</v>
      </c>
      <c r="J76" s="41">
        <f t="shared" si="3"/>
        <v>62431</v>
      </c>
    </row>
    <row r="77" spans="1:10">
      <c r="A77" s="37" t="s">
        <v>693</v>
      </c>
      <c r="B77" s="38" t="s">
        <v>63</v>
      </c>
      <c r="C77" s="37" t="s">
        <v>77</v>
      </c>
      <c r="D77" s="37" t="s">
        <v>59</v>
      </c>
      <c r="E77" s="113">
        <v>39439</v>
      </c>
      <c r="F77" s="43">
        <f t="shared" ca="1" si="2"/>
        <v>15</v>
      </c>
      <c r="G77" s="44"/>
      <c r="H77" s="45">
        <v>118548</v>
      </c>
      <c r="I77" s="38">
        <v>5</v>
      </c>
      <c r="J77" s="41">
        <f t="shared" si="3"/>
        <v>121784</v>
      </c>
    </row>
    <row r="78" spans="1:10">
      <c r="A78" s="37" t="s">
        <v>835</v>
      </c>
      <c r="B78" s="38" t="s">
        <v>62</v>
      </c>
      <c r="C78" s="37" t="s">
        <v>83</v>
      </c>
      <c r="D78" s="37" t="s">
        <v>65</v>
      </c>
      <c r="E78" s="113">
        <v>44015</v>
      </c>
      <c r="F78" s="43">
        <f t="shared" ca="1" si="2"/>
        <v>3</v>
      </c>
      <c r="G78" s="44" t="s">
        <v>66</v>
      </c>
      <c r="H78" s="45">
        <v>54809</v>
      </c>
      <c r="I78" s="38">
        <v>5</v>
      </c>
      <c r="J78" s="41">
        <f t="shared" si="3"/>
        <v>56305</v>
      </c>
    </row>
    <row r="79" spans="1:10">
      <c r="A79" s="37" t="s">
        <v>978</v>
      </c>
      <c r="B79" s="38" t="s">
        <v>60</v>
      </c>
      <c r="C79" s="37" t="s">
        <v>87</v>
      </c>
      <c r="D79" s="37" t="s">
        <v>71</v>
      </c>
      <c r="E79" s="113">
        <v>42689</v>
      </c>
      <c r="F79" s="43">
        <f t="shared" ca="1" si="2"/>
        <v>6</v>
      </c>
      <c r="G79" s="44" t="s">
        <v>70</v>
      </c>
      <c r="H79" s="45">
        <v>66160</v>
      </c>
      <c r="I79" s="38">
        <v>5</v>
      </c>
      <c r="J79" s="41">
        <f t="shared" si="3"/>
        <v>67966</v>
      </c>
    </row>
    <row r="80" spans="1:10">
      <c r="A80" s="37" t="s">
        <v>1158</v>
      </c>
      <c r="B80" s="38" t="s">
        <v>61</v>
      </c>
      <c r="C80" s="37" t="s">
        <v>93</v>
      </c>
      <c r="D80" s="37" t="s">
        <v>72</v>
      </c>
      <c r="E80" s="113">
        <v>43951</v>
      </c>
      <c r="F80" s="43">
        <f t="shared" ca="1" si="2"/>
        <v>3</v>
      </c>
      <c r="G80" s="44"/>
      <c r="H80" s="45">
        <v>46809</v>
      </c>
      <c r="I80" s="38">
        <v>3</v>
      </c>
      <c r="J80" s="41">
        <f t="shared" si="3"/>
        <v>48087</v>
      </c>
    </row>
    <row r="81" spans="1:10">
      <c r="A81" s="37" t="s">
        <v>836</v>
      </c>
      <c r="B81" s="38" t="s">
        <v>64</v>
      </c>
      <c r="C81" s="37" t="s">
        <v>83</v>
      </c>
      <c r="D81" s="37" t="s">
        <v>59</v>
      </c>
      <c r="E81" s="113">
        <v>40295</v>
      </c>
      <c r="F81" s="43">
        <f t="shared" ca="1" si="2"/>
        <v>13</v>
      </c>
      <c r="G81" s="44"/>
      <c r="H81" s="45">
        <v>80105</v>
      </c>
      <c r="I81" s="38">
        <v>3</v>
      </c>
      <c r="J81" s="41">
        <f t="shared" si="3"/>
        <v>82292</v>
      </c>
    </row>
    <row r="82" spans="1:10">
      <c r="A82" s="37" t="s">
        <v>1090</v>
      </c>
      <c r="B82" s="38" t="s">
        <v>63</v>
      </c>
      <c r="C82" s="37" t="s">
        <v>91</v>
      </c>
      <c r="D82" s="37" t="s">
        <v>72</v>
      </c>
      <c r="E82" s="113">
        <v>42884</v>
      </c>
      <c r="F82" s="43">
        <f t="shared" ca="1" si="2"/>
        <v>6</v>
      </c>
      <c r="G82" s="44"/>
      <c r="H82" s="45">
        <v>36729</v>
      </c>
      <c r="I82" s="38">
        <v>5</v>
      </c>
      <c r="J82" s="41">
        <f t="shared" si="3"/>
        <v>37732</v>
      </c>
    </row>
    <row r="83" spans="1:10">
      <c r="A83" s="37" t="s">
        <v>1257</v>
      </c>
      <c r="B83" s="38" t="s">
        <v>64</v>
      </c>
      <c r="C83" s="37" t="s">
        <v>97</v>
      </c>
      <c r="D83" s="37" t="s">
        <v>65</v>
      </c>
      <c r="E83" s="113">
        <v>44124</v>
      </c>
      <c r="F83" s="43">
        <f t="shared" ca="1" si="2"/>
        <v>2</v>
      </c>
      <c r="G83" s="44" t="s">
        <v>69</v>
      </c>
      <c r="H83" s="45">
        <v>86235</v>
      </c>
      <c r="I83" s="38">
        <v>2</v>
      </c>
      <c r="J83" s="41">
        <f t="shared" si="3"/>
        <v>88589</v>
      </c>
    </row>
    <row r="84" spans="1:10">
      <c r="A84" s="37" t="s">
        <v>979</v>
      </c>
      <c r="B84" s="38" t="s">
        <v>61</v>
      </c>
      <c r="C84" s="37" t="s">
        <v>87</v>
      </c>
      <c r="D84" s="37" t="s">
        <v>65</v>
      </c>
      <c r="E84" s="113">
        <v>40054</v>
      </c>
      <c r="F84" s="43">
        <f t="shared" ca="1" si="2"/>
        <v>14</v>
      </c>
      <c r="G84" s="44" t="s">
        <v>68</v>
      </c>
      <c r="H84" s="45">
        <v>61327</v>
      </c>
      <c r="I84" s="38">
        <v>3</v>
      </c>
      <c r="J84" s="41">
        <f t="shared" si="3"/>
        <v>63001</v>
      </c>
    </row>
    <row r="85" spans="1:10">
      <c r="A85" s="37" t="s">
        <v>1159</v>
      </c>
      <c r="B85" s="38" t="s">
        <v>61</v>
      </c>
      <c r="C85" s="37" t="s">
        <v>93</v>
      </c>
      <c r="D85" s="37" t="s">
        <v>59</v>
      </c>
      <c r="E85" s="113">
        <v>43239</v>
      </c>
      <c r="F85" s="43">
        <f t="shared" ca="1" si="2"/>
        <v>5</v>
      </c>
      <c r="G85" s="44"/>
      <c r="H85" s="45">
        <v>62554</v>
      </c>
      <c r="I85" s="38">
        <v>1</v>
      </c>
      <c r="J85" s="41">
        <f t="shared" si="3"/>
        <v>64262</v>
      </c>
    </row>
    <row r="86" spans="1:10">
      <c r="A86" s="37" t="s">
        <v>980</v>
      </c>
      <c r="B86" s="38" t="s">
        <v>62</v>
      </c>
      <c r="C86" s="37" t="s">
        <v>87</v>
      </c>
      <c r="D86" s="37" t="s">
        <v>65</v>
      </c>
      <c r="E86" s="113">
        <v>44661</v>
      </c>
      <c r="F86" s="43">
        <f t="shared" ca="1" si="2"/>
        <v>1</v>
      </c>
      <c r="G86" s="44" t="s">
        <v>67</v>
      </c>
      <c r="H86" s="45">
        <v>102531</v>
      </c>
      <c r="I86" s="38">
        <v>1</v>
      </c>
      <c r="J86" s="41">
        <f t="shared" si="3"/>
        <v>105330</v>
      </c>
    </row>
    <row r="87" spans="1:10">
      <c r="A87" s="37" t="s">
        <v>694</v>
      </c>
      <c r="B87" s="38" t="s">
        <v>61</v>
      </c>
      <c r="C87" s="37" t="s">
        <v>77</v>
      </c>
      <c r="D87" s="37" t="s">
        <v>72</v>
      </c>
      <c r="E87" s="113">
        <v>44516</v>
      </c>
      <c r="F87" s="43">
        <f t="shared" ca="1" si="2"/>
        <v>1</v>
      </c>
      <c r="G87" s="44"/>
      <c r="H87" s="45">
        <v>20204</v>
      </c>
      <c r="I87" s="38">
        <v>3</v>
      </c>
      <c r="J87" s="41">
        <f t="shared" si="3"/>
        <v>20756</v>
      </c>
    </row>
    <row r="88" spans="1:10">
      <c r="A88" s="37" t="s">
        <v>837</v>
      </c>
      <c r="B88" s="38" t="s">
        <v>61</v>
      </c>
      <c r="C88" s="37" t="s">
        <v>83</v>
      </c>
      <c r="D88" s="37" t="s">
        <v>65</v>
      </c>
      <c r="E88" s="113">
        <v>39523</v>
      </c>
      <c r="F88" s="43">
        <f t="shared" ca="1" si="2"/>
        <v>15</v>
      </c>
      <c r="G88" s="44" t="s">
        <v>70</v>
      </c>
      <c r="H88" s="45">
        <v>124456</v>
      </c>
      <c r="I88" s="38">
        <v>5</v>
      </c>
      <c r="J88" s="41">
        <f t="shared" si="3"/>
        <v>127854</v>
      </c>
    </row>
    <row r="89" spans="1:10">
      <c r="A89" s="37" t="s">
        <v>1258</v>
      </c>
      <c r="B89" s="38" t="s">
        <v>62</v>
      </c>
      <c r="C89" s="37" t="s">
        <v>97</v>
      </c>
      <c r="D89" s="37" t="s">
        <v>59</v>
      </c>
      <c r="E89" s="113">
        <v>42602</v>
      </c>
      <c r="F89" s="43">
        <f t="shared" ca="1" si="2"/>
        <v>7</v>
      </c>
      <c r="G89" s="44"/>
      <c r="H89" s="45">
        <v>119922</v>
      </c>
      <c r="I89" s="38">
        <v>4</v>
      </c>
      <c r="J89" s="41">
        <f t="shared" si="3"/>
        <v>123196</v>
      </c>
    </row>
    <row r="90" spans="1:10">
      <c r="A90" s="37" t="s">
        <v>566</v>
      </c>
      <c r="B90" s="38" t="s">
        <v>63</v>
      </c>
      <c r="C90" s="37" t="s">
        <v>58</v>
      </c>
      <c r="D90" s="37" t="s">
        <v>65</v>
      </c>
      <c r="E90" s="113">
        <v>44215</v>
      </c>
      <c r="F90" s="43">
        <f t="shared" ca="1" si="2"/>
        <v>2</v>
      </c>
      <c r="G90" s="44" t="s">
        <v>69</v>
      </c>
      <c r="H90" s="45">
        <v>119963</v>
      </c>
      <c r="I90" s="38">
        <v>1</v>
      </c>
      <c r="J90" s="41">
        <f t="shared" si="3"/>
        <v>123238</v>
      </c>
    </row>
    <row r="91" spans="1:10">
      <c r="A91" s="37" t="s">
        <v>838</v>
      </c>
      <c r="B91" s="38" t="s">
        <v>63</v>
      </c>
      <c r="C91" s="37" t="s">
        <v>83</v>
      </c>
      <c r="D91" s="37" t="s">
        <v>72</v>
      </c>
      <c r="E91" s="113">
        <v>44165</v>
      </c>
      <c r="F91" s="43">
        <f t="shared" ca="1" si="2"/>
        <v>2</v>
      </c>
      <c r="G91" s="44"/>
      <c r="H91" s="45">
        <v>39420</v>
      </c>
      <c r="I91" s="38">
        <v>4</v>
      </c>
      <c r="J91" s="41">
        <f t="shared" si="3"/>
        <v>40496</v>
      </c>
    </row>
    <row r="92" spans="1:10">
      <c r="A92" s="37" t="s">
        <v>1276</v>
      </c>
      <c r="B92" s="38" t="s">
        <v>60</v>
      </c>
      <c r="C92" s="37" t="s">
        <v>98</v>
      </c>
      <c r="D92" s="37" t="s">
        <v>65</v>
      </c>
      <c r="E92" s="113">
        <v>43295</v>
      </c>
      <c r="F92" s="43">
        <f t="shared" ca="1" si="2"/>
        <v>5</v>
      </c>
      <c r="G92" s="44" t="s">
        <v>69</v>
      </c>
      <c r="H92" s="45">
        <v>80840</v>
      </c>
      <c r="I92" s="38">
        <v>5</v>
      </c>
      <c r="J92" s="41">
        <f t="shared" si="3"/>
        <v>83047</v>
      </c>
    </row>
    <row r="93" spans="1:10">
      <c r="A93" s="37" t="s">
        <v>981</v>
      </c>
      <c r="B93" s="38" t="s">
        <v>64</v>
      </c>
      <c r="C93" s="37" t="s">
        <v>87</v>
      </c>
      <c r="D93" s="37" t="s">
        <v>59</v>
      </c>
      <c r="E93" s="113">
        <v>42921</v>
      </c>
      <c r="F93" s="43">
        <f t="shared" ca="1" si="2"/>
        <v>6</v>
      </c>
      <c r="G93" s="44"/>
      <c r="H93" s="45">
        <v>113626</v>
      </c>
      <c r="I93" s="38">
        <v>5</v>
      </c>
      <c r="J93" s="41">
        <f t="shared" si="3"/>
        <v>116728</v>
      </c>
    </row>
    <row r="94" spans="1:10">
      <c r="A94" s="37" t="s">
        <v>839</v>
      </c>
      <c r="B94" s="38" t="s">
        <v>62</v>
      </c>
      <c r="C94" s="37" t="s">
        <v>83</v>
      </c>
      <c r="D94" s="37" t="s">
        <v>65</v>
      </c>
      <c r="E94" s="113">
        <v>39789</v>
      </c>
      <c r="F94" s="43">
        <f t="shared" ca="1" si="2"/>
        <v>14</v>
      </c>
      <c r="G94" s="44" t="s">
        <v>69</v>
      </c>
      <c r="H94" s="45">
        <v>112890</v>
      </c>
      <c r="I94" s="38">
        <v>2</v>
      </c>
      <c r="J94" s="41">
        <f t="shared" si="3"/>
        <v>115972</v>
      </c>
    </row>
    <row r="95" spans="1:10">
      <c r="A95" s="37" t="s">
        <v>1259</v>
      </c>
      <c r="B95" s="38" t="s">
        <v>57</v>
      </c>
      <c r="C95" s="37" t="s">
        <v>97</v>
      </c>
      <c r="D95" s="37" t="s">
        <v>72</v>
      </c>
      <c r="E95" s="113">
        <v>41418</v>
      </c>
      <c r="F95" s="43">
        <f t="shared" ca="1" si="2"/>
        <v>10</v>
      </c>
      <c r="G95" s="44"/>
      <c r="H95" s="45">
        <v>15316</v>
      </c>
      <c r="I95" s="38">
        <v>2</v>
      </c>
      <c r="J95" s="41">
        <f t="shared" si="3"/>
        <v>15734</v>
      </c>
    </row>
    <row r="96" spans="1:10">
      <c r="A96" s="37" t="s">
        <v>567</v>
      </c>
      <c r="B96" s="38" t="s">
        <v>63</v>
      </c>
      <c r="C96" s="37" t="s">
        <v>58</v>
      </c>
      <c r="D96" s="37" t="s">
        <v>71</v>
      </c>
      <c r="E96" s="113">
        <v>43757</v>
      </c>
      <c r="F96" s="43">
        <f t="shared" ca="1" si="2"/>
        <v>3</v>
      </c>
      <c r="G96" s="44" t="s">
        <v>69</v>
      </c>
      <c r="H96" s="45">
        <v>35011</v>
      </c>
      <c r="I96" s="38">
        <v>5</v>
      </c>
      <c r="J96" s="41">
        <f t="shared" si="3"/>
        <v>35967</v>
      </c>
    </row>
    <row r="97" spans="1:10">
      <c r="A97" s="37" t="s">
        <v>568</v>
      </c>
      <c r="B97" s="38" t="s">
        <v>61</v>
      </c>
      <c r="C97" s="37" t="s">
        <v>58</v>
      </c>
      <c r="D97" s="37" t="s">
        <v>65</v>
      </c>
      <c r="E97" s="113">
        <v>42853</v>
      </c>
      <c r="F97" s="43">
        <f t="shared" ca="1" si="2"/>
        <v>6</v>
      </c>
      <c r="G97" s="44" t="s">
        <v>69</v>
      </c>
      <c r="H97" s="45">
        <v>87982</v>
      </c>
      <c r="I97" s="38">
        <v>3</v>
      </c>
      <c r="J97" s="41">
        <f t="shared" si="3"/>
        <v>90384</v>
      </c>
    </row>
    <row r="98" spans="1:10">
      <c r="A98" s="37" t="s">
        <v>982</v>
      </c>
      <c r="B98" s="38" t="s">
        <v>63</v>
      </c>
      <c r="C98" s="37" t="s">
        <v>87</v>
      </c>
      <c r="D98" s="37" t="s">
        <v>65</v>
      </c>
      <c r="E98" s="113">
        <v>40047</v>
      </c>
      <c r="F98" s="43">
        <f t="shared" ca="1" si="2"/>
        <v>14</v>
      </c>
      <c r="G98" s="44" t="s">
        <v>70</v>
      </c>
      <c r="H98" s="45">
        <v>60273</v>
      </c>
      <c r="I98" s="38">
        <v>5</v>
      </c>
      <c r="J98" s="41">
        <f t="shared" si="3"/>
        <v>61918</v>
      </c>
    </row>
    <row r="99" spans="1:10">
      <c r="A99" s="37" t="s">
        <v>1028</v>
      </c>
      <c r="B99" s="38" t="s">
        <v>61</v>
      </c>
      <c r="C99" s="37" t="s">
        <v>88</v>
      </c>
      <c r="D99" s="37" t="s">
        <v>71</v>
      </c>
      <c r="E99" s="113">
        <v>43775</v>
      </c>
      <c r="F99" s="43">
        <f t="shared" ca="1" si="2"/>
        <v>3</v>
      </c>
      <c r="G99" s="44" t="s">
        <v>69</v>
      </c>
      <c r="H99" s="45">
        <v>29429</v>
      </c>
      <c r="I99" s="38">
        <v>3</v>
      </c>
      <c r="J99" s="41">
        <f t="shared" si="3"/>
        <v>30232</v>
      </c>
    </row>
    <row r="100" spans="1:10">
      <c r="A100" s="37" t="s">
        <v>840</v>
      </c>
      <c r="B100" s="38" t="s">
        <v>64</v>
      </c>
      <c r="C100" s="37" t="s">
        <v>83</v>
      </c>
      <c r="D100" s="37" t="s">
        <v>65</v>
      </c>
      <c r="E100" s="113">
        <v>42772</v>
      </c>
      <c r="F100" s="43">
        <f t="shared" ca="1" si="2"/>
        <v>6</v>
      </c>
      <c r="G100" s="44" t="s">
        <v>70</v>
      </c>
      <c r="H100" s="45">
        <v>32356</v>
      </c>
      <c r="I100" s="38">
        <v>4</v>
      </c>
      <c r="J100" s="41">
        <f t="shared" si="3"/>
        <v>33239</v>
      </c>
    </row>
    <row r="101" spans="1:10">
      <c r="A101" s="37" t="s">
        <v>841</v>
      </c>
      <c r="B101" s="38" t="s">
        <v>57</v>
      </c>
      <c r="C101" s="37" t="s">
        <v>83</v>
      </c>
      <c r="D101" s="37" t="s">
        <v>59</v>
      </c>
      <c r="E101" s="113">
        <v>43376</v>
      </c>
      <c r="F101" s="43">
        <f t="shared" ca="1" si="2"/>
        <v>4</v>
      </c>
      <c r="G101" s="44"/>
      <c r="H101" s="45">
        <v>111906</v>
      </c>
      <c r="I101" s="38">
        <v>3</v>
      </c>
      <c r="J101" s="41">
        <f t="shared" si="3"/>
        <v>114961</v>
      </c>
    </row>
    <row r="102" spans="1:10">
      <c r="A102" s="37" t="s">
        <v>569</v>
      </c>
      <c r="B102" s="38" t="s">
        <v>61</v>
      </c>
      <c r="C102" s="37" t="s">
        <v>58</v>
      </c>
      <c r="D102" s="37" t="s">
        <v>59</v>
      </c>
      <c r="E102" s="113">
        <v>40378</v>
      </c>
      <c r="F102" s="43">
        <f t="shared" ca="1" si="2"/>
        <v>13</v>
      </c>
      <c r="G102" s="44"/>
      <c r="H102" s="45">
        <v>124318</v>
      </c>
      <c r="I102" s="38">
        <v>4</v>
      </c>
      <c r="J102" s="41">
        <f t="shared" si="3"/>
        <v>127712</v>
      </c>
    </row>
    <row r="103" spans="1:10">
      <c r="A103" s="37" t="s">
        <v>983</v>
      </c>
      <c r="B103" s="38" t="s">
        <v>60</v>
      </c>
      <c r="C103" s="37" t="s">
        <v>87</v>
      </c>
      <c r="D103" s="37" t="s">
        <v>65</v>
      </c>
      <c r="E103" s="113">
        <v>40253</v>
      </c>
      <c r="F103" s="43">
        <f t="shared" ca="1" si="2"/>
        <v>13</v>
      </c>
      <c r="G103" s="44" t="s">
        <v>70</v>
      </c>
      <c r="H103" s="45">
        <v>72797</v>
      </c>
      <c r="I103" s="38">
        <v>4</v>
      </c>
      <c r="J103" s="41">
        <f t="shared" si="3"/>
        <v>74784</v>
      </c>
    </row>
    <row r="104" spans="1:10">
      <c r="A104" s="37" t="s">
        <v>811</v>
      </c>
      <c r="B104" s="38" t="s">
        <v>63</v>
      </c>
      <c r="C104" s="37" t="s">
        <v>82</v>
      </c>
      <c r="D104" s="37" t="s">
        <v>72</v>
      </c>
      <c r="E104" s="113">
        <v>40110</v>
      </c>
      <c r="F104" s="43">
        <f t="shared" ca="1" si="2"/>
        <v>13</v>
      </c>
      <c r="G104" s="44" t="s">
        <v>70</v>
      </c>
      <c r="H104" s="45">
        <v>85791</v>
      </c>
      <c r="I104" s="38">
        <v>5</v>
      </c>
      <c r="J104" s="41">
        <f t="shared" si="3"/>
        <v>88133</v>
      </c>
    </row>
    <row r="105" spans="1:10">
      <c r="A105" s="37" t="s">
        <v>570</v>
      </c>
      <c r="B105" s="38" t="s">
        <v>60</v>
      </c>
      <c r="C105" s="37" t="s">
        <v>58</v>
      </c>
      <c r="D105" s="37" t="s">
        <v>59</v>
      </c>
      <c r="E105" s="113">
        <v>44001</v>
      </c>
      <c r="F105" s="43">
        <f t="shared" ca="1" si="2"/>
        <v>3</v>
      </c>
      <c r="G105" s="44"/>
      <c r="H105" s="45">
        <v>79994</v>
      </c>
      <c r="I105" s="38">
        <v>4</v>
      </c>
      <c r="J105" s="41">
        <f t="shared" si="3"/>
        <v>82178</v>
      </c>
    </row>
    <row r="106" spans="1:10">
      <c r="A106" s="37" t="s">
        <v>682</v>
      </c>
      <c r="B106" s="38" t="s">
        <v>61</v>
      </c>
      <c r="C106" s="37" t="s">
        <v>76</v>
      </c>
      <c r="D106" s="37" t="s">
        <v>71</v>
      </c>
      <c r="E106" s="113">
        <v>44163</v>
      </c>
      <c r="F106" s="43">
        <f t="shared" ca="1" si="2"/>
        <v>2</v>
      </c>
      <c r="G106" s="44" t="s">
        <v>70</v>
      </c>
      <c r="H106" s="45">
        <v>14590</v>
      </c>
      <c r="I106" s="38">
        <v>4</v>
      </c>
      <c r="J106" s="41">
        <f t="shared" si="3"/>
        <v>14988</v>
      </c>
    </row>
    <row r="107" spans="1:10">
      <c r="A107" s="37" t="s">
        <v>1091</v>
      </c>
      <c r="B107" s="38" t="s">
        <v>57</v>
      </c>
      <c r="C107" s="37" t="s">
        <v>91</v>
      </c>
      <c r="D107" s="37" t="s">
        <v>72</v>
      </c>
      <c r="E107" s="113">
        <v>40148</v>
      </c>
      <c r="F107" s="43">
        <f t="shared" ca="1" si="2"/>
        <v>13</v>
      </c>
      <c r="G107" s="44"/>
      <c r="H107" s="45">
        <v>21568</v>
      </c>
      <c r="I107" s="38">
        <v>4</v>
      </c>
      <c r="J107" s="41">
        <f t="shared" si="3"/>
        <v>22157</v>
      </c>
    </row>
    <row r="108" spans="1:10">
      <c r="A108" s="37" t="s">
        <v>969</v>
      </c>
      <c r="B108" s="38" t="s">
        <v>64</v>
      </c>
      <c r="C108" s="37" t="s">
        <v>86</v>
      </c>
      <c r="D108" s="37" t="s">
        <v>65</v>
      </c>
      <c r="E108" s="113">
        <v>44728</v>
      </c>
      <c r="F108" s="43">
        <f t="shared" ca="1" si="2"/>
        <v>1</v>
      </c>
      <c r="G108" s="44" t="s">
        <v>68</v>
      </c>
      <c r="H108" s="45">
        <v>54309</v>
      </c>
      <c r="I108" s="38">
        <v>3</v>
      </c>
      <c r="J108" s="41">
        <f t="shared" si="3"/>
        <v>55792</v>
      </c>
    </row>
    <row r="109" spans="1:10">
      <c r="A109" s="37" t="s">
        <v>842</v>
      </c>
      <c r="B109" s="38" t="s">
        <v>61</v>
      </c>
      <c r="C109" s="37" t="s">
        <v>83</v>
      </c>
      <c r="D109" s="37" t="s">
        <v>59</v>
      </c>
      <c r="E109" s="113">
        <v>41635</v>
      </c>
      <c r="F109" s="43">
        <f t="shared" ca="1" si="2"/>
        <v>9</v>
      </c>
      <c r="G109" s="44"/>
      <c r="H109" s="45">
        <v>79620</v>
      </c>
      <c r="I109" s="38">
        <v>2</v>
      </c>
      <c r="J109" s="41">
        <f t="shared" si="3"/>
        <v>81794</v>
      </c>
    </row>
    <row r="110" spans="1:10">
      <c r="A110" s="37" t="s">
        <v>671</v>
      </c>
      <c r="B110" s="38" t="s">
        <v>60</v>
      </c>
      <c r="C110" s="37" t="s">
        <v>75</v>
      </c>
      <c r="D110" s="37" t="s">
        <v>65</v>
      </c>
      <c r="E110" s="113">
        <v>40210</v>
      </c>
      <c r="F110" s="43">
        <f t="shared" ca="1" si="2"/>
        <v>13</v>
      </c>
      <c r="G110" s="44" t="s">
        <v>66</v>
      </c>
      <c r="H110" s="45">
        <v>78274</v>
      </c>
      <c r="I110" s="38">
        <v>1</v>
      </c>
      <c r="J110" s="41">
        <f t="shared" si="3"/>
        <v>80411</v>
      </c>
    </row>
    <row r="111" spans="1:10">
      <c r="A111" s="37" t="s">
        <v>843</v>
      </c>
      <c r="B111" s="38" t="s">
        <v>60</v>
      </c>
      <c r="C111" s="37" t="s">
        <v>83</v>
      </c>
      <c r="D111" s="37" t="s">
        <v>65</v>
      </c>
      <c r="E111" s="113">
        <v>39713</v>
      </c>
      <c r="F111" s="43">
        <f t="shared" ca="1" si="2"/>
        <v>15</v>
      </c>
      <c r="G111" s="44" t="s">
        <v>67</v>
      </c>
      <c r="H111" s="45">
        <v>31426</v>
      </c>
      <c r="I111" s="38">
        <v>2</v>
      </c>
      <c r="J111" s="41">
        <f t="shared" si="3"/>
        <v>32284</v>
      </c>
    </row>
    <row r="112" spans="1:10">
      <c r="A112" s="37" t="s">
        <v>571</v>
      </c>
      <c r="B112" s="38" t="s">
        <v>63</v>
      </c>
      <c r="C112" s="37" t="s">
        <v>58</v>
      </c>
      <c r="D112" s="37" t="s">
        <v>65</v>
      </c>
      <c r="E112" s="113">
        <v>39786</v>
      </c>
      <c r="F112" s="43">
        <f t="shared" ca="1" si="2"/>
        <v>14</v>
      </c>
      <c r="G112" s="44" t="s">
        <v>66</v>
      </c>
      <c r="H112" s="45">
        <v>64295</v>
      </c>
      <c r="I112" s="38">
        <v>5</v>
      </c>
      <c r="J112" s="41">
        <f t="shared" si="3"/>
        <v>66050</v>
      </c>
    </row>
    <row r="113" spans="1:10">
      <c r="A113" s="37" t="s">
        <v>1160</v>
      </c>
      <c r="B113" s="38" t="s">
        <v>62</v>
      </c>
      <c r="C113" s="37" t="s">
        <v>93</v>
      </c>
      <c r="D113" s="37" t="s">
        <v>59</v>
      </c>
      <c r="E113" s="113">
        <v>44229</v>
      </c>
      <c r="F113" s="43">
        <f t="shared" ca="1" si="2"/>
        <v>2</v>
      </c>
      <c r="G113" s="44"/>
      <c r="H113" s="45">
        <v>59621</v>
      </c>
      <c r="I113" s="38">
        <v>4</v>
      </c>
      <c r="J113" s="41">
        <f t="shared" si="3"/>
        <v>61249</v>
      </c>
    </row>
    <row r="114" spans="1:10">
      <c r="A114" s="37" t="s">
        <v>572</v>
      </c>
      <c r="B114" s="38" t="s">
        <v>62</v>
      </c>
      <c r="C114" s="37" t="s">
        <v>58</v>
      </c>
      <c r="D114" s="37" t="s">
        <v>59</v>
      </c>
      <c r="E114" s="113">
        <v>42577</v>
      </c>
      <c r="F114" s="43">
        <f t="shared" ca="1" si="2"/>
        <v>7</v>
      </c>
      <c r="G114" s="44"/>
      <c r="H114" s="45">
        <v>50246</v>
      </c>
      <c r="I114" s="38">
        <v>2</v>
      </c>
      <c r="J114" s="41">
        <f t="shared" si="3"/>
        <v>51618</v>
      </c>
    </row>
    <row r="115" spans="1:10">
      <c r="A115" s="37" t="s">
        <v>844</v>
      </c>
      <c r="B115" s="38" t="s">
        <v>63</v>
      </c>
      <c r="C115" s="37" t="s">
        <v>83</v>
      </c>
      <c r="D115" s="37" t="s">
        <v>65</v>
      </c>
      <c r="E115" s="113">
        <v>44527</v>
      </c>
      <c r="F115" s="43">
        <f t="shared" ca="1" si="2"/>
        <v>1</v>
      </c>
      <c r="G115" s="44" t="s">
        <v>68</v>
      </c>
      <c r="H115" s="45">
        <v>73420</v>
      </c>
      <c r="I115" s="38">
        <v>4</v>
      </c>
      <c r="J115" s="41">
        <f t="shared" si="3"/>
        <v>75424</v>
      </c>
    </row>
    <row r="116" spans="1:10">
      <c r="A116" s="37" t="s">
        <v>845</v>
      </c>
      <c r="B116" s="38" t="s">
        <v>63</v>
      </c>
      <c r="C116" s="37" t="s">
        <v>83</v>
      </c>
      <c r="D116" s="37" t="s">
        <v>59</v>
      </c>
      <c r="E116" s="113">
        <v>39583</v>
      </c>
      <c r="F116" s="43">
        <f t="shared" ca="1" si="2"/>
        <v>15</v>
      </c>
      <c r="G116" s="44"/>
      <c r="H116" s="45">
        <v>94667</v>
      </c>
      <c r="I116" s="38">
        <v>5</v>
      </c>
      <c r="J116" s="41">
        <f t="shared" si="3"/>
        <v>97251</v>
      </c>
    </row>
    <row r="117" spans="1:10">
      <c r="A117" s="37" t="s">
        <v>773</v>
      </c>
      <c r="B117" s="38" t="s">
        <v>63</v>
      </c>
      <c r="C117" s="37" t="s">
        <v>80</v>
      </c>
      <c r="D117" s="37" t="s">
        <v>72</v>
      </c>
      <c r="E117" s="113">
        <v>39920</v>
      </c>
      <c r="F117" s="43">
        <f t="shared" ca="1" si="2"/>
        <v>14</v>
      </c>
      <c r="G117" s="44"/>
      <c r="H117" s="45">
        <v>55146</v>
      </c>
      <c r="I117" s="38">
        <v>1</v>
      </c>
      <c r="J117" s="41">
        <f t="shared" si="3"/>
        <v>56651</v>
      </c>
    </row>
    <row r="118" spans="1:10">
      <c r="A118" s="37" t="s">
        <v>672</v>
      </c>
      <c r="B118" s="38" t="s">
        <v>63</v>
      </c>
      <c r="C118" s="37" t="s">
        <v>75</v>
      </c>
      <c r="D118" s="37" t="s">
        <v>71</v>
      </c>
      <c r="E118" s="113">
        <v>43743</v>
      </c>
      <c r="F118" s="43">
        <f t="shared" ca="1" si="2"/>
        <v>3</v>
      </c>
      <c r="G118" s="44" t="s">
        <v>70</v>
      </c>
      <c r="H118" s="45">
        <v>39775</v>
      </c>
      <c r="I118" s="38">
        <v>1</v>
      </c>
      <c r="J118" s="41">
        <f t="shared" si="3"/>
        <v>40861</v>
      </c>
    </row>
    <row r="119" spans="1:10">
      <c r="A119" s="37" t="s">
        <v>573</v>
      </c>
      <c r="B119" s="38" t="s">
        <v>61</v>
      </c>
      <c r="C119" s="37" t="s">
        <v>58</v>
      </c>
      <c r="D119" s="37" t="s">
        <v>71</v>
      </c>
      <c r="E119" s="113">
        <v>39675</v>
      </c>
      <c r="F119" s="43">
        <f t="shared" ca="1" si="2"/>
        <v>15</v>
      </c>
      <c r="G119" s="44" t="s">
        <v>67</v>
      </c>
      <c r="H119" s="45">
        <v>63449</v>
      </c>
      <c r="I119" s="38">
        <v>5</v>
      </c>
      <c r="J119" s="41">
        <f t="shared" si="3"/>
        <v>65181</v>
      </c>
    </row>
    <row r="120" spans="1:10">
      <c r="A120" s="37" t="s">
        <v>1092</v>
      </c>
      <c r="B120" s="38" t="s">
        <v>62</v>
      </c>
      <c r="C120" s="37" t="s">
        <v>91</v>
      </c>
      <c r="D120" s="37" t="s">
        <v>65</v>
      </c>
      <c r="E120" s="113">
        <v>42725</v>
      </c>
      <c r="F120" s="43">
        <f t="shared" ca="1" si="2"/>
        <v>6</v>
      </c>
      <c r="G120" s="44" t="s">
        <v>70</v>
      </c>
      <c r="H120" s="45">
        <v>62562</v>
      </c>
      <c r="I120" s="38">
        <v>2</v>
      </c>
      <c r="J120" s="41">
        <f t="shared" si="3"/>
        <v>64270</v>
      </c>
    </row>
    <row r="121" spans="1:10">
      <c r="A121" s="37" t="s">
        <v>1277</v>
      </c>
      <c r="B121" s="38" t="s">
        <v>63</v>
      </c>
      <c r="C121" s="37" t="s">
        <v>98</v>
      </c>
      <c r="D121" s="37" t="s">
        <v>65</v>
      </c>
      <c r="E121" s="113">
        <v>41733</v>
      </c>
      <c r="F121" s="43">
        <f t="shared" ca="1" si="2"/>
        <v>9</v>
      </c>
      <c r="G121" s="44" t="s">
        <v>68</v>
      </c>
      <c r="H121" s="45">
        <v>68442</v>
      </c>
      <c r="I121" s="38">
        <v>4</v>
      </c>
      <c r="J121" s="41">
        <f t="shared" si="3"/>
        <v>70310</v>
      </c>
    </row>
    <row r="122" spans="1:10">
      <c r="A122" s="37" t="s">
        <v>984</v>
      </c>
      <c r="B122" s="38" t="s">
        <v>63</v>
      </c>
      <c r="C122" s="37" t="s">
        <v>87</v>
      </c>
      <c r="D122" s="37" t="s">
        <v>65</v>
      </c>
      <c r="E122" s="113">
        <v>39448</v>
      </c>
      <c r="F122" s="43">
        <f t="shared" ca="1" si="2"/>
        <v>15</v>
      </c>
      <c r="G122" s="44" t="s">
        <v>70</v>
      </c>
      <c r="H122" s="45">
        <v>113875</v>
      </c>
      <c r="I122" s="38">
        <v>3</v>
      </c>
      <c r="J122" s="41">
        <f t="shared" si="3"/>
        <v>116984</v>
      </c>
    </row>
    <row r="123" spans="1:10">
      <c r="A123" s="37" t="s">
        <v>1029</v>
      </c>
      <c r="B123" s="38" t="s">
        <v>62</v>
      </c>
      <c r="C123" s="37" t="s">
        <v>88</v>
      </c>
      <c r="D123" s="37" t="s">
        <v>65</v>
      </c>
      <c r="E123" s="113">
        <v>39673</v>
      </c>
      <c r="F123" s="43">
        <f t="shared" ca="1" si="2"/>
        <v>15</v>
      </c>
      <c r="G123" s="44" t="s">
        <v>70</v>
      </c>
      <c r="H123" s="45">
        <v>114277</v>
      </c>
      <c r="I123" s="38">
        <v>2</v>
      </c>
      <c r="J123" s="41">
        <f t="shared" si="3"/>
        <v>117397</v>
      </c>
    </row>
    <row r="124" spans="1:10">
      <c r="A124" s="37" t="s">
        <v>1260</v>
      </c>
      <c r="B124" s="38" t="s">
        <v>63</v>
      </c>
      <c r="C124" s="37" t="s">
        <v>97</v>
      </c>
      <c r="D124" s="37" t="s">
        <v>72</v>
      </c>
      <c r="E124" s="113">
        <v>44085</v>
      </c>
      <c r="F124" s="43">
        <f t="shared" ca="1" si="2"/>
        <v>3</v>
      </c>
      <c r="G124" s="44"/>
      <c r="H124" s="45">
        <v>48972</v>
      </c>
      <c r="I124" s="38">
        <v>3</v>
      </c>
      <c r="J124" s="41">
        <f t="shared" si="3"/>
        <v>50309</v>
      </c>
    </row>
    <row r="125" spans="1:10">
      <c r="A125" s="37" t="s">
        <v>574</v>
      </c>
      <c r="B125" s="38" t="s">
        <v>60</v>
      </c>
      <c r="C125" s="37" t="s">
        <v>58</v>
      </c>
      <c r="D125" s="37" t="s">
        <v>65</v>
      </c>
      <c r="E125" s="113">
        <v>43490</v>
      </c>
      <c r="F125" s="43">
        <f t="shared" ca="1" si="2"/>
        <v>4</v>
      </c>
      <c r="G125" s="44" t="s">
        <v>68</v>
      </c>
      <c r="H125" s="45">
        <v>34381</v>
      </c>
      <c r="I125" s="38">
        <v>3</v>
      </c>
      <c r="J125" s="41">
        <f t="shared" si="3"/>
        <v>35320</v>
      </c>
    </row>
    <row r="126" spans="1:10">
      <c r="A126" s="37" t="s">
        <v>1093</v>
      </c>
      <c r="B126" s="38" t="s">
        <v>61</v>
      </c>
      <c r="C126" s="37" t="s">
        <v>91</v>
      </c>
      <c r="D126" s="37" t="s">
        <v>59</v>
      </c>
      <c r="E126" s="113">
        <v>42384</v>
      </c>
      <c r="F126" s="43">
        <f t="shared" ca="1" si="2"/>
        <v>7</v>
      </c>
      <c r="G126" s="44"/>
      <c r="H126" s="45">
        <v>119173</v>
      </c>
      <c r="I126" s="38">
        <v>2</v>
      </c>
      <c r="J126" s="41">
        <f t="shared" si="3"/>
        <v>122426</v>
      </c>
    </row>
    <row r="127" spans="1:10">
      <c r="A127" s="37" t="s">
        <v>1030</v>
      </c>
      <c r="B127" s="38" t="s">
        <v>64</v>
      </c>
      <c r="C127" s="37" t="s">
        <v>88</v>
      </c>
      <c r="D127" s="37" t="s">
        <v>65</v>
      </c>
      <c r="E127" s="113">
        <v>44768</v>
      </c>
      <c r="F127" s="43">
        <f t="shared" ca="1" si="2"/>
        <v>1</v>
      </c>
      <c r="G127" s="44" t="s">
        <v>68</v>
      </c>
      <c r="H127" s="45">
        <v>89467</v>
      </c>
      <c r="I127" s="38">
        <v>3</v>
      </c>
      <c r="J127" s="41">
        <f t="shared" si="3"/>
        <v>91909</v>
      </c>
    </row>
    <row r="128" spans="1:10">
      <c r="A128" s="37" t="s">
        <v>846</v>
      </c>
      <c r="B128" s="38" t="s">
        <v>57</v>
      </c>
      <c r="C128" s="37" t="s">
        <v>83</v>
      </c>
      <c r="D128" s="37" t="s">
        <v>59</v>
      </c>
      <c r="E128" s="113">
        <v>41411</v>
      </c>
      <c r="F128" s="43">
        <f t="shared" ca="1" si="2"/>
        <v>10</v>
      </c>
      <c r="G128" s="44"/>
      <c r="H128" s="45">
        <v>104597</v>
      </c>
      <c r="I128" s="38">
        <v>1</v>
      </c>
      <c r="J128" s="41">
        <f t="shared" si="3"/>
        <v>107452</v>
      </c>
    </row>
    <row r="129" spans="1:10">
      <c r="A129" s="37" t="s">
        <v>695</v>
      </c>
      <c r="B129" s="38" t="s">
        <v>61</v>
      </c>
      <c r="C129" s="37" t="s">
        <v>77</v>
      </c>
      <c r="D129" s="37" t="s">
        <v>65</v>
      </c>
      <c r="E129" s="113">
        <v>40097</v>
      </c>
      <c r="F129" s="43">
        <f t="shared" ca="1" si="2"/>
        <v>13</v>
      </c>
      <c r="G129" s="44" t="s">
        <v>70</v>
      </c>
      <c r="H129" s="45">
        <v>44518</v>
      </c>
      <c r="I129" s="38">
        <v>1</v>
      </c>
      <c r="J129" s="41">
        <f t="shared" si="3"/>
        <v>45733</v>
      </c>
    </row>
    <row r="130" spans="1:10">
      <c r="A130" s="37" t="s">
        <v>774</v>
      </c>
      <c r="B130" s="38" t="s">
        <v>60</v>
      </c>
      <c r="C130" s="37" t="s">
        <v>80</v>
      </c>
      <c r="D130" s="37" t="s">
        <v>65</v>
      </c>
      <c r="E130" s="113">
        <v>44043</v>
      </c>
      <c r="F130" s="43">
        <f t="shared" ref="F130:F193" ca="1" si="4">DATEDIF(E130,TODAY(),"Y")</f>
        <v>3</v>
      </c>
      <c r="G130" s="44" t="s">
        <v>70</v>
      </c>
      <c r="H130" s="45">
        <v>60204</v>
      </c>
      <c r="I130" s="38">
        <v>1</v>
      </c>
      <c r="J130" s="41">
        <f t="shared" ref="J130:J193" si="5">ROUND(H130*$L$1+H130,0)</f>
        <v>61848</v>
      </c>
    </row>
    <row r="131" spans="1:10">
      <c r="A131" s="37" t="s">
        <v>575</v>
      </c>
      <c r="B131" s="38" t="s">
        <v>61</v>
      </c>
      <c r="C131" s="37" t="s">
        <v>58</v>
      </c>
      <c r="D131" s="37" t="s">
        <v>59</v>
      </c>
      <c r="E131" s="113">
        <v>43850</v>
      </c>
      <c r="F131" s="43">
        <f t="shared" ca="1" si="4"/>
        <v>3</v>
      </c>
      <c r="G131" s="44"/>
      <c r="H131" s="45">
        <v>101504</v>
      </c>
      <c r="I131" s="38">
        <v>1</v>
      </c>
      <c r="J131" s="41">
        <f t="shared" si="5"/>
        <v>104275</v>
      </c>
    </row>
    <row r="132" spans="1:10">
      <c r="A132" s="37" t="s">
        <v>1161</v>
      </c>
      <c r="B132" s="38" t="s">
        <v>61</v>
      </c>
      <c r="C132" s="37" t="s">
        <v>93</v>
      </c>
      <c r="D132" s="37" t="s">
        <v>65</v>
      </c>
      <c r="E132" s="113">
        <v>42874</v>
      </c>
      <c r="F132" s="43">
        <f t="shared" ca="1" si="4"/>
        <v>6</v>
      </c>
      <c r="G132" s="44" t="s">
        <v>68</v>
      </c>
      <c r="H132" s="45">
        <v>34644</v>
      </c>
      <c r="I132" s="38">
        <v>3</v>
      </c>
      <c r="J132" s="41">
        <f t="shared" si="5"/>
        <v>35590</v>
      </c>
    </row>
    <row r="133" spans="1:10">
      <c r="A133" s="37" t="s">
        <v>750</v>
      </c>
      <c r="B133" s="38" t="s">
        <v>62</v>
      </c>
      <c r="C133" s="37" t="s">
        <v>78</v>
      </c>
      <c r="D133" s="37" t="s">
        <v>71</v>
      </c>
      <c r="E133" s="113">
        <v>44096</v>
      </c>
      <c r="F133" s="43">
        <f t="shared" ca="1" si="4"/>
        <v>3</v>
      </c>
      <c r="G133" s="44" t="s">
        <v>70</v>
      </c>
      <c r="H133" s="45">
        <v>64115</v>
      </c>
      <c r="I133" s="38">
        <v>2</v>
      </c>
      <c r="J133" s="41">
        <f t="shared" si="5"/>
        <v>65865</v>
      </c>
    </row>
    <row r="134" spans="1:10">
      <c r="A134" s="37" t="s">
        <v>847</v>
      </c>
      <c r="B134" s="38" t="s">
        <v>64</v>
      </c>
      <c r="C134" s="37" t="s">
        <v>83</v>
      </c>
      <c r="D134" s="37" t="s">
        <v>59</v>
      </c>
      <c r="E134" s="113">
        <v>40191</v>
      </c>
      <c r="F134" s="43">
        <f t="shared" ca="1" si="4"/>
        <v>13</v>
      </c>
      <c r="G134" s="44"/>
      <c r="H134" s="45">
        <v>58026</v>
      </c>
      <c r="I134" s="38">
        <v>2</v>
      </c>
      <c r="J134" s="41">
        <f t="shared" si="5"/>
        <v>59610</v>
      </c>
    </row>
    <row r="135" spans="1:10">
      <c r="A135" s="37" t="s">
        <v>848</v>
      </c>
      <c r="B135" s="38" t="s">
        <v>61</v>
      </c>
      <c r="C135" s="37" t="s">
        <v>83</v>
      </c>
      <c r="D135" s="37" t="s">
        <v>65</v>
      </c>
      <c r="E135" s="113">
        <v>42998</v>
      </c>
      <c r="F135" s="43">
        <f t="shared" ca="1" si="4"/>
        <v>6</v>
      </c>
      <c r="G135" s="44" t="s">
        <v>70</v>
      </c>
      <c r="H135" s="45">
        <v>101340</v>
      </c>
      <c r="I135" s="38">
        <v>5</v>
      </c>
      <c r="J135" s="41">
        <f t="shared" si="5"/>
        <v>104107</v>
      </c>
    </row>
    <row r="136" spans="1:10">
      <c r="A136" s="37" t="s">
        <v>1094</v>
      </c>
      <c r="B136" s="38" t="s">
        <v>61</v>
      </c>
      <c r="C136" s="37" t="s">
        <v>91</v>
      </c>
      <c r="D136" s="37" t="s">
        <v>65</v>
      </c>
      <c r="E136" s="113">
        <v>39998</v>
      </c>
      <c r="F136" s="43">
        <f t="shared" ca="1" si="4"/>
        <v>14</v>
      </c>
      <c r="G136" s="44" t="s">
        <v>67</v>
      </c>
      <c r="H136" s="45">
        <v>63629</v>
      </c>
      <c r="I136" s="38">
        <v>5</v>
      </c>
      <c r="J136" s="41">
        <f t="shared" si="5"/>
        <v>65366</v>
      </c>
    </row>
    <row r="137" spans="1:10">
      <c r="A137" s="37" t="s">
        <v>849</v>
      </c>
      <c r="B137" s="38" t="s">
        <v>60</v>
      </c>
      <c r="C137" s="37" t="s">
        <v>83</v>
      </c>
      <c r="D137" s="37" t="s">
        <v>59</v>
      </c>
      <c r="E137" s="113">
        <v>43224</v>
      </c>
      <c r="F137" s="43">
        <f t="shared" ca="1" si="4"/>
        <v>5</v>
      </c>
      <c r="G137" s="44"/>
      <c r="H137" s="45">
        <v>55030</v>
      </c>
      <c r="I137" s="38">
        <v>1</v>
      </c>
      <c r="J137" s="41">
        <f t="shared" si="5"/>
        <v>56532</v>
      </c>
    </row>
    <row r="138" spans="1:10">
      <c r="A138" s="37" t="s">
        <v>850</v>
      </c>
      <c r="B138" s="38" t="s">
        <v>61</v>
      </c>
      <c r="C138" s="37" t="s">
        <v>83</v>
      </c>
      <c r="D138" s="37" t="s">
        <v>65</v>
      </c>
      <c r="E138" s="113">
        <v>40985</v>
      </c>
      <c r="F138" s="43">
        <f t="shared" ca="1" si="4"/>
        <v>11</v>
      </c>
      <c r="G138" s="44" t="s">
        <v>68</v>
      </c>
      <c r="H138" s="45">
        <v>40178</v>
      </c>
      <c r="I138" s="38">
        <v>3</v>
      </c>
      <c r="J138" s="41">
        <f t="shared" si="5"/>
        <v>41275</v>
      </c>
    </row>
    <row r="139" spans="1:10">
      <c r="A139" s="37" t="s">
        <v>851</v>
      </c>
      <c r="B139" s="38" t="s">
        <v>63</v>
      </c>
      <c r="C139" s="37" t="s">
        <v>83</v>
      </c>
      <c r="D139" s="37" t="s">
        <v>59</v>
      </c>
      <c r="E139" s="113">
        <v>42853</v>
      </c>
      <c r="F139" s="43">
        <f t="shared" ca="1" si="4"/>
        <v>6</v>
      </c>
      <c r="G139" s="44"/>
      <c r="H139" s="45">
        <v>63477</v>
      </c>
      <c r="I139" s="38">
        <v>5</v>
      </c>
      <c r="J139" s="41">
        <f t="shared" si="5"/>
        <v>65210</v>
      </c>
    </row>
    <row r="140" spans="1:10">
      <c r="A140" s="37" t="s">
        <v>84</v>
      </c>
      <c r="B140" s="38" t="s">
        <v>64</v>
      </c>
      <c r="C140" s="37" t="s">
        <v>83</v>
      </c>
      <c r="D140" s="37" t="s">
        <v>65</v>
      </c>
      <c r="E140" s="113">
        <v>43063</v>
      </c>
      <c r="F140" s="43">
        <f t="shared" ca="1" si="4"/>
        <v>5</v>
      </c>
      <c r="G140" s="44" t="s">
        <v>68</v>
      </c>
      <c r="H140" s="45">
        <v>56944</v>
      </c>
      <c r="I140" s="38">
        <v>3</v>
      </c>
      <c r="J140" s="41">
        <f t="shared" si="5"/>
        <v>58499</v>
      </c>
    </row>
    <row r="141" spans="1:10">
      <c r="A141" s="37" t="s">
        <v>852</v>
      </c>
      <c r="B141" s="38" t="s">
        <v>60</v>
      </c>
      <c r="C141" s="37" t="s">
        <v>83</v>
      </c>
      <c r="D141" s="37" t="s">
        <v>59</v>
      </c>
      <c r="E141" s="113">
        <v>43413</v>
      </c>
      <c r="F141" s="43">
        <f t="shared" ca="1" si="4"/>
        <v>4</v>
      </c>
      <c r="G141" s="44"/>
      <c r="H141" s="45">
        <v>83267</v>
      </c>
      <c r="I141" s="38">
        <v>5</v>
      </c>
      <c r="J141" s="41">
        <f t="shared" si="5"/>
        <v>85540</v>
      </c>
    </row>
    <row r="142" spans="1:10">
      <c r="A142" s="37" t="s">
        <v>1065</v>
      </c>
      <c r="B142" s="38" t="s">
        <v>63</v>
      </c>
      <c r="C142" s="37" t="s">
        <v>90</v>
      </c>
      <c r="D142" s="37" t="s">
        <v>65</v>
      </c>
      <c r="E142" s="113">
        <v>44336</v>
      </c>
      <c r="F142" s="43">
        <f t="shared" ca="1" si="4"/>
        <v>2</v>
      </c>
      <c r="G142" s="44" t="s">
        <v>68</v>
      </c>
      <c r="H142" s="45">
        <v>96248</v>
      </c>
      <c r="I142" s="38">
        <v>5</v>
      </c>
      <c r="J142" s="41">
        <f t="shared" si="5"/>
        <v>98876</v>
      </c>
    </row>
    <row r="143" spans="1:10">
      <c r="A143" s="37" t="s">
        <v>696</v>
      </c>
      <c r="B143" s="38" t="s">
        <v>64</v>
      </c>
      <c r="C143" s="37" t="s">
        <v>77</v>
      </c>
      <c r="D143" s="37" t="s">
        <v>59</v>
      </c>
      <c r="E143" s="113">
        <v>39629</v>
      </c>
      <c r="F143" s="43">
        <f t="shared" ca="1" si="4"/>
        <v>15</v>
      </c>
      <c r="G143" s="44"/>
      <c r="H143" s="45">
        <v>42077</v>
      </c>
      <c r="I143" s="38">
        <v>3</v>
      </c>
      <c r="J143" s="41">
        <f t="shared" si="5"/>
        <v>43226</v>
      </c>
    </row>
    <row r="144" spans="1:10">
      <c r="A144" s="37" t="s">
        <v>1162</v>
      </c>
      <c r="B144" s="38" t="s">
        <v>57</v>
      </c>
      <c r="C144" s="37" t="s">
        <v>93</v>
      </c>
      <c r="D144" s="37" t="s">
        <v>59</v>
      </c>
      <c r="E144" s="113">
        <v>43925</v>
      </c>
      <c r="F144" s="43">
        <f t="shared" ca="1" si="4"/>
        <v>3</v>
      </c>
      <c r="G144" s="44"/>
      <c r="H144" s="45">
        <v>65571</v>
      </c>
      <c r="I144" s="38">
        <v>1</v>
      </c>
      <c r="J144" s="41">
        <f t="shared" si="5"/>
        <v>67361</v>
      </c>
    </row>
    <row r="145" spans="1:10">
      <c r="A145" s="37" t="s">
        <v>1095</v>
      </c>
      <c r="B145" s="38" t="s">
        <v>61</v>
      </c>
      <c r="C145" s="37" t="s">
        <v>91</v>
      </c>
      <c r="D145" s="37" t="s">
        <v>65</v>
      </c>
      <c r="E145" s="113">
        <v>43336</v>
      </c>
      <c r="F145" s="43">
        <f t="shared" ca="1" si="4"/>
        <v>5</v>
      </c>
      <c r="G145" s="44" t="s">
        <v>70</v>
      </c>
      <c r="H145" s="45">
        <v>40677</v>
      </c>
      <c r="I145" s="38">
        <v>5</v>
      </c>
      <c r="J145" s="41">
        <f t="shared" si="5"/>
        <v>41787</v>
      </c>
    </row>
    <row r="146" spans="1:10">
      <c r="A146" s="37" t="s">
        <v>651</v>
      </c>
      <c r="B146" s="38" t="s">
        <v>57</v>
      </c>
      <c r="C146" s="37" t="s">
        <v>74</v>
      </c>
      <c r="D146" s="37" t="s">
        <v>59</v>
      </c>
      <c r="E146" s="113">
        <v>39933</v>
      </c>
      <c r="F146" s="43">
        <f t="shared" ca="1" si="4"/>
        <v>14</v>
      </c>
      <c r="G146" s="44"/>
      <c r="H146" s="45">
        <v>120615</v>
      </c>
      <c r="I146" s="38">
        <v>4</v>
      </c>
      <c r="J146" s="41">
        <f t="shared" si="5"/>
        <v>123908</v>
      </c>
    </row>
    <row r="147" spans="1:10">
      <c r="A147" s="37" t="s">
        <v>751</v>
      </c>
      <c r="B147" s="38" t="s">
        <v>63</v>
      </c>
      <c r="C147" s="37" t="s">
        <v>78</v>
      </c>
      <c r="D147" s="37" t="s">
        <v>65</v>
      </c>
      <c r="E147" s="113">
        <v>43083</v>
      </c>
      <c r="F147" s="43">
        <f t="shared" ca="1" si="4"/>
        <v>5</v>
      </c>
      <c r="G147" s="44" t="s">
        <v>68</v>
      </c>
      <c r="H147" s="45">
        <v>50801</v>
      </c>
      <c r="I147" s="38">
        <v>4</v>
      </c>
      <c r="J147" s="41">
        <f t="shared" si="5"/>
        <v>52188</v>
      </c>
    </row>
    <row r="148" spans="1:10">
      <c r="A148" s="37" t="s">
        <v>853</v>
      </c>
      <c r="B148" s="38" t="s">
        <v>57</v>
      </c>
      <c r="C148" s="37" t="s">
        <v>83</v>
      </c>
      <c r="D148" s="37" t="s">
        <v>65</v>
      </c>
      <c r="E148" s="113">
        <v>43046</v>
      </c>
      <c r="F148" s="43">
        <f t="shared" ca="1" si="4"/>
        <v>5</v>
      </c>
      <c r="G148" s="44" t="s">
        <v>70</v>
      </c>
      <c r="H148" s="45">
        <v>82407</v>
      </c>
      <c r="I148" s="38">
        <v>4</v>
      </c>
      <c r="J148" s="41">
        <f t="shared" si="5"/>
        <v>84657</v>
      </c>
    </row>
    <row r="149" spans="1:10">
      <c r="A149" s="37" t="s">
        <v>1163</v>
      </c>
      <c r="B149" s="38" t="s">
        <v>63</v>
      </c>
      <c r="C149" s="37" t="s">
        <v>93</v>
      </c>
      <c r="D149" s="37" t="s">
        <v>59</v>
      </c>
      <c r="E149" s="113">
        <v>43359</v>
      </c>
      <c r="F149" s="43">
        <f t="shared" ca="1" si="4"/>
        <v>5</v>
      </c>
      <c r="G149" s="44"/>
      <c r="H149" s="45">
        <v>88218</v>
      </c>
      <c r="I149" s="38">
        <v>5</v>
      </c>
      <c r="J149" s="41">
        <f t="shared" si="5"/>
        <v>90626</v>
      </c>
    </row>
    <row r="150" spans="1:10">
      <c r="A150" s="37" t="s">
        <v>1164</v>
      </c>
      <c r="B150" s="38" t="s">
        <v>61</v>
      </c>
      <c r="C150" s="37" t="s">
        <v>93</v>
      </c>
      <c r="D150" s="37" t="s">
        <v>65</v>
      </c>
      <c r="E150" s="113">
        <v>39616</v>
      </c>
      <c r="F150" s="43">
        <f t="shared" ca="1" si="4"/>
        <v>15</v>
      </c>
      <c r="G150" s="44" t="s">
        <v>67</v>
      </c>
      <c r="H150" s="45">
        <v>89411</v>
      </c>
      <c r="I150" s="38">
        <v>5</v>
      </c>
      <c r="J150" s="41">
        <f t="shared" si="5"/>
        <v>91852</v>
      </c>
    </row>
    <row r="151" spans="1:10">
      <c r="A151" s="37" t="s">
        <v>1066</v>
      </c>
      <c r="B151" s="38" t="s">
        <v>61</v>
      </c>
      <c r="C151" s="37" t="s">
        <v>90</v>
      </c>
      <c r="D151" s="37" t="s">
        <v>72</v>
      </c>
      <c r="E151" s="113">
        <v>43324</v>
      </c>
      <c r="F151" s="43">
        <f t="shared" ca="1" si="4"/>
        <v>5</v>
      </c>
      <c r="G151" s="44"/>
      <c r="H151" s="45">
        <v>46088</v>
      </c>
      <c r="I151" s="38">
        <v>4</v>
      </c>
      <c r="J151" s="41">
        <f t="shared" si="5"/>
        <v>47346</v>
      </c>
    </row>
    <row r="152" spans="1:10">
      <c r="A152" s="37" t="s">
        <v>1165</v>
      </c>
      <c r="B152" s="38" t="s">
        <v>64</v>
      </c>
      <c r="C152" s="37" t="s">
        <v>93</v>
      </c>
      <c r="D152" s="37" t="s">
        <v>71</v>
      </c>
      <c r="E152" s="113">
        <v>39644</v>
      </c>
      <c r="F152" s="43">
        <f t="shared" ca="1" si="4"/>
        <v>15</v>
      </c>
      <c r="G152" s="44" t="s">
        <v>69</v>
      </c>
      <c r="H152" s="45">
        <v>63941</v>
      </c>
      <c r="I152" s="38">
        <v>5</v>
      </c>
      <c r="J152" s="41">
        <f t="shared" si="5"/>
        <v>65687</v>
      </c>
    </row>
    <row r="153" spans="1:10">
      <c r="A153" s="37" t="s">
        <v>1031</v>
      </c>
      <c r="B153" s="38" t="s">
        <v>63</v>
      </c>
      <c r="C153" s="37" t="s">
        <v>88</v>
      </c>
      <c r="D153" s="37" t="s">
        <v>71</v>
      </c>
      <c r="E153" s="113">
        <v>43359</v>
      </c>
      <c r="F153" s="43">
        <f t="shared" ca="1" si="4"/>
        <v>5</v>
      </c>
      <c r="G153" s="44" t="s">
        <v>68</v>
      </c>
      <c r="H153" s="45">
        <v>54801</v>
      </c>
      <c r="I153" s="38">
        <v>5</v>
      </c>
      <c r="J153" s="41">
        <f t="shared" si="5"/>
        <v>56297</v>
      </c>
    </row>
    <row r="154" spans="1:10">
      <c r="A154" s="37" t="s">
        <v>697</v>
      </c>
      <c r="B154" s="38" t="s">
        <v>63</v>
      </c>
      <c r="C154" s="37" t="s">
        <v>77</v>
      </c>
      <c r="D154" s="37" t="s">
        <v>65</v>
      </c>
      <c r="E154" s="113">
        <v>43791</v>
      </c>
      <c r="F154" s="43">
        <f t="shared" ca="1" si="4"/>
        <v>3</v>
      </c>
      <c r="G154" s="44" t="s">
        <v>66</v>
      </c>
      <c r="H154" s="45">
        <v>107274</v>
      </c>
      <c r="I154" s="38">
        <v>5</v>
      </c>
      <c r="J154" s="41">
        <f t="shared" si="5"/>
        <v>110203</v>
      </c>
    </row>
    <row r="155" spans="1:10">
      <c r="A155" s="37" t="s">
        <v>576</v>
      </c>
      <c r="B155" s="38" t="s">
        <v>63</v>
      </c>
      <c r="C155" s="37" t="s">
        <v>58</v>
      </c>
      <c r="D155" s="37" t="s">
        <v>71</v>
      </c>
      <c r="E155" s="113">
        <v>40840</v>
      </c>
      <c r="F155" s="43">
        <f t="shared" ca="1" si="4"/>
        <v>11</v>
      </c>
      <c r="G155" s="44" t="s">
        <v>69</v>
      </c>
      <c r="H155" s="45">
        <v>17398</v>
      </c>
      <c r="I155" s="38">
        <v>4</v>
      </c>
      <c r="J155" s="41">
        <f t="shared" si="5"/>
        <v>17873</v>
      </c>
    </row>
    <row r="156" spans="1:10">
      <c r="A156" s="37" t="s">
        <v>1032</v>
      </c>
      <c r="B156" s="38" t="s">
        <v>61</v>
      </c>
      <c r="C156" s="37" t="s">
        <v>88</v>
      </c>
      <c r="D156" s="37" t="s">
        <v>71</v>
      </c>
      <c r="E156" s="113">
        <v>43890</v>
      </c>
      <c r="F156" s="43">
        <f t="shared" ca="1" si="4"/>
        <v>3</v>
      </c>
      <c r="G156" s="44" t="s">
        <v>69</v>
      </c>
      <c r="H156" s="45">
        <v>45537</v>
      </c>
      <c r="I156" s="38">
        <v>2</v>
      </c>
      <c r="J156" s="41">
        <f t="shared" si="5"/>
        <v>46780</v>
      </c>
    </row>
    <row r="157" spans="1:10">
      <c r="A157" s="37" t="s">
        <v>1245</v>
      </c>
      <c r="B157" s="38" t="s">
        <v>60</v>
      </c>
      <c r="C157" s="37" t="s">
        <v>95</v>
      </c>
      <c r="D157" s="37" t="s">
        <v>59</v>
      </c>
      <c r="E157" s="113">
        <v>44283</v>
      </c>
      <c r="F157" s="43">
        <f t="shared" ca="1" si="4"/>
        <v>2</v>
      </c>
      <c r="G157" s="44"/>
      <c r="H157" s="45">
        <v>118590</v>
      </c>
      <c r="I157" s="38">
        <v>4</v>
      </c>
      <c r="J157" s="41">
        <f t="shared" si="5"/>
        <v>121828</v>
      </c>
    </row>
    <row r="158" spans="1:10">
      <c r="A158" s="37" t="s">
        <v>759</v>
      </c>
      <c r="B158" s="38" t="s">
        <v>61</v>
      </c>
      <c r="C158" s="37" t="s">
        <v>79</v>
      </c>
      <c r="D158" s="37" t="s">
        <v>59</v>
      </c>
      <c r="E158" s="113">
        <v>43214</v>
      </c>
      <c r="F158" s="43">
        <f t="shared" ca="1" si="4"/>
        <v>5</v>
      </c>
      <c r="G158" s="44"/>
      <c r="H158" s="45">
        <v>83295</v>
      </c>
      <c r="I158" s="38">
        <v>2</v>
      </c>
      <c r="J158" s="41">
        <f t="shared" si="5"/>
        <v>85569</v>
      </c>
    </row>
    <row r="159" spans="1:10">
      <c r="A159" s="37" t="s">
        <v>1166</v>
      </c>
      <c r="B159" s="38" t="s">
        <v>61</v>
      </c>
      <c r="C159" s="37" t="s">
        <v>93</v>
      </c>
      <c r="D159" s="37" t="s">
        <v>65</v>
      </c>
      <c r="E159" s="113">
        <v>40547</v>
      </c>
      <c r="F159" s="43">
        <f t="shared" ca="1" si="4"/>
        <v>12</v>
      </c>
      <c r="G159" s="44" t="s">
        <v>69</v>
      </c>
      <c r="H159" s="45">
        <v>69246</v>
      </c>
      <c r="I159" s="38">
        <v>1</v>
      </c>
      <c r="J159" s="41">
        <f t="shared" si="5"/>
        <v>71136</v>
      </c>
    </row>
    <row r="160" spans="1:10">
      <c r="A160" s="37" t="s">
        <v>1167</v>
      </c>
      <c r="B160" s="38" t="s">
        <v>61</v>
      </c>
      <c r="C160" s="37" t="s">
        <v>93</v>
      </c>
      <c r="D160" s="37" t="s">
        <v>65</v>
      </c>
      <c r="E160" s="113">
        <v>41401</v>
      </c>
      <c r="F160" s="43">
        <f t="shared" ca="1" si="4"/>
        <v>10</v>
      </c>
      <c r="G160" s="44" t="s">
        <v>70</v>
      </c>
      <c r="H160" s="45">
        <v>66583</v>
      </c>
      <c r="I160" s="38">
        <v>3</v>
      </c>
      <c r="J160" s="41">
        <f t="shared" si="5"/>
        <v>68401</v>
      </c>
    </row>
    <row r="161" spans="1:10">
      <c r="A161" s="37" t="s">
        <v>854</v>
      </c>
      <c r="B161" s="38" t="s">
        <v>57</v>
      </c>
      <c r="C161" s="37" t="s">
        <v>83</v>
      </c>
      <c r="D161" s="37" t="s">
        <v>59</v>
      </c>
      <c r="E161" s="113">
        <v>41490</v>
      </c>
      <c r="F161" s="43">
        <f t="shared" ca="1" si="4"/>
        <v>10</v>
      </c>
      <c r="G161" s="44"/>
      <c r="H161" s="45">
        <v>89064</v>
      </c>
      <c r="I161" s="38">
        <v>5</v>
      </c>
      <c r="J161" s="41">
        <f t="shared" si="5"/>
        <v>91495</v>
      </c>
    </row>
    <row r="162" spans="1:10">
      <c r="A162" s="37" t="s">
        <v>1168</v>
      </c>
      <c r="B162" s="38" t="s">
        <v>63</v>
      </c>
      <c r="C162" s="37" t="s">
        <v>93</v>
      </c>
      <c r="D162" s="37" t="s">
        <v>65</v>
      </c>
      <c r="E162" s="113">
        <v>44702</v>
      </c>
      <c r="F162" s="43">
        <f t="shared" ca="1" si="4"/>
        <v>1</v>
      </c>
      <c r="G162" s="44" t="s">
        <v>67</v>
      </c>
      <c r="H162" s="45">
        <v>87067</v>
      </c>
      <c r="I162" s="38">
        <v>3</v>
      </c>
      <c r="J162" s="41">
        <f t="shared" si="5"/>
        <v>89444</v>
      </c>
    </row>
    <row r="163" spans="1:10">
      <c r="A163" s="37" t="s">
        <v>644</v>
      </c>
      <c r="B163" s="38" t="s">
        <v>60</v>
      </c>
      <c r="C163" s="37" t="s">
        <v>73</v>
      </c>
      <c r="D163" s="37" t="s">
        <v>59</v>
      </c>
      <c r="E163" s="113">
        <v>42738</v>
      </c>
      <c r="F163" s="43">
        <f t="shared" ca="1" si="4"/>
        <v>6</v>
      </c>
      <c r="G163" s="44"/>
      <c r="H163" s="45">
        <v>58997</v>
      </c>
      <c r="I163" s="38">
        <v>5</v>
      </c>
      <c r="J163" s="41">
        <f t="shared" si="5"/>
        <v>60608</v>
      </c>
    </row>
    <row r="164" spans="1:10">
      <c r="A164" s="37" t="s">
        <v>855</v>
      </c>
      <c r="B164" s="38" t="s">
        <v>63</v>
      </c>
      <c r="C164" s="37" t="s">
        <v>83</v>
      </c>
      <c r="D164" s="37" t="s">
        <v>65</v>
      </c>
      <c r="E164" s="113">
        <v>41534</v>
      </c>
      <c r="F164" s="43">
        <f t="shared" ca="1" si="4"/>
        <v>10</v>
      </c>
      <c r="G164" s="44" t="s">
        <v>68</v>
      </c>
      <c r="H164" s="45">
        <v>104259</v>
      </c>
      <c r="I164" s="38">
        <v>3</v>
      </c>
      <c r="J164" s="41">
        <f t="shared" si="5"/>
        <v>107105</v>
      </c>
    </row>
    <row r="165" spans="1:10">
      <c r="A165" s="37" t="s">
        <v>1096</v>
      </c>
      <c r="B165" s="38" t="s">
        <v>61</v>
      </c>
      <c r="C165" s="37" t="s">
        <v>91</v>
      </c>
      <c r="D165" s="37" t="s">
        <v>59</v>
      </c>
      <c r="E165" s="113">
        <v>40070</v>
      </c>
      <c r="F165" s="43">
        <f t="shared" ca="1" si="4"/>
        <v>14</v>
      </c>
      <c r="G165" s="44"/>
      <c r="H165" s="45">
        <v>76055</v>
      </c>
      <c r="I165" s="38">
        <v>4</v>
      </c>
      <c r="J165" s="41">
        <f t="shared" si="5"/>
        <v>78131</v>
      </c>
    </row>
    <row r="166" spans="1:10">
      <c r="A166" s="37" t="s">
        <v>856</v>
      </c>
      <c r="B166" s="38" t="s">
        <v>64</v>
      </c>
      <c r="C166" s="37" t="s">
        <v>83</v>
      </c>
      <c r="D166" s="37" t="s">
        <v>65</v>
      </c>
      <c r="E166" s="113">
        <v>39675</v>
      </c>
      <c r="F166" s="43">
        <f t="shared" ca="1" si="4"/>
        <v>15</v>
      </c>
      <c r="G166" s="44" t="s">
        <v>68</v>
      </c>
      <c r="H166" s="45">
        <v>46058</v>
      </c>
      <c r="I166" s="38">
        <v>4</v>
      </c>
      <c r="J166" s="41">
        <f t="shared" si="5"/>
        <v>47315</v>
      </c>
    </row>
    <row r="167" spans="1:10">
      <c r="A167" s="37" t="s">
        <v>698</v>
      </c>
      <c r="B167" s="38" t="s">
        <v>61</v>
      </c>
      <c r="C167" s="37" t="s">
        <v>77</v>
      </c>
      <c r="D167" s="37" t="s">
        <v>65</v>
      </c>
      <c r="E167" s="113">
        <v>43911</v>
      </c>
      <c r="F167" s="43">
        <f t="shared" ca="1" si="4"/>
        <v>3</v>
      </c>
      <c r="G167" s="44" t="s">
        <v>66</v>
      </c>
      <c r="H167" s="45">
        <v>107592</v>
      </c>
      <c r="I167" s="38">
        <v>3</v>
      </c>
      <c r="J167" s="41">
        <f t="shared" si="5"/>
        <v>110529</v>
      </c>
    </row>
    <row r="168" spans="1:10">
      <c r="A168" s="37" t="s">
        <v>577</v>
      </c>
      <c r="B168" s="38" t="s">
        <v>61</v>
      </c>
      <c r="C168" s="37" t="s">
        <v>58</v>
      </c>
      <c r="D168" s="37" t="s">
        <v>65</v>
      </c>
      <c r="E168" s="113">
        <v>44029</v>
      </c>
      <c r="F168" s="43">
        <f t="shared" ca="1" si="4"/>
        <v>3</v>
      </c>
      <c r="G168" s="44" t="s">
        <v>66</v>
      </c>
      <c r="H168" s="45">
        <v>82033</v>
      </c>
      <c r="I168" s="38">
        <v>4</v>
      </c>
      <c r="J168" s="41">
        <f t="shared" si="5"/>
        <v>84273</v>
      </c>
    </row>
    <row r="169" spans="1:10">
      <c r="A169" s="37" t="s">
        <v>1097</v>
      </c>
      <c r="B169" s="38" t="s">
        <v>63</v>
      </c>
      <c r="C169" s="37" t="s">
        <v>91</v>
      </c>
      <c r="D169" s="37" t="s">
        <v>59</v>
      </c>
      <c r="E169" s="113">
        <v>39997</v>
      </c>
      <c r="F169" s="43">
        <f t="shared" ca="1" si="4"/>
        <v>14</v>
      </c>
      <c r="G169" s="44"/>
      <c r="H169" s="45">
        <v>84321</v>
      </c>
      <c r="I169" s="38">
        <v>4</v>
      </c>
      <c r="J169" s="41">
        <f t="shared" si="5"/>
        <v>86623</v>
      </c>
    </row>
    <row r="170" spans="1:10">
      <c r="A170" s="37" t="s">
        <v>857</v>
      </c>
      <c r="B170" s="38" t="s">
        <v>63</v>
      </c>
      <c r="C170" s="37" t="s">
        <v>83</v>
      </c>
      <c r="D170" s="37" t="s">
        <v>59</v>
      </c>
      <c r="E170" s="113">
        <v>40046</v>
      </c>
      <c r="F170" s="43">
        <f t="shared" ca="1" si="4"/>
        <v>14</v>
      </c>
      <c r="G170" s="44"/>
      <c r="H170" s="45">
        <v>33022</v>
      </c>
      <c r="I170" s="38">
        <v>4</v>
      </c>
      <c r="J170" s="41">
        <f t="shared" si="5"/>
        <v>33924</v>
      </c>
    </row>
    <row r="171" spans="1:10">
      <c r="A171" s="37" t="s">
        <v>858</v>
      </c>
      <c r="B171" s="38" t="s">
        <v>61</v>
      </c>
      <c r="C171" s="37" t="s">
        <v>83</v>
      </c>
      <c r="D171" s="37" t="s">
        <v>72</v>
      </c>
      <c r="E171" s="113">
        <v>41321</v>
      </c>
      <c r="F171" s="43">
        <f t="shared" ca="1" si="4"/>
        <v>10</v>
      </c>
      <c r="G171" s="44"/>
      <c r="H171" s="45">
        <v>12332</v>
      </c>
      <c r="I171" s="38">
        <v>1</v>
      </c>
      <c r="J171" s="41">
        <f t="shared" si="5"/>
        <v>12669</v>
      </c>
    </row>
    <row r="172" spans="1:10">
      <c r="A172" s="37" t="s">
        <v>859</v>
      </c>
      <c r="B172" s="38" t="s">
        <v>60</v>
      </c>
      <c r="C172" s="37" t="s">
        <v>83</v>
      </c>
      <c r="D172" s="37" t="s">
        <v>65</v>
      </c>
      <c r="E172" s="113">
        <v>42324</v>
      </c>
      <c r="F172" s="43">
        <f t="shared" ca="1" si="4"/>
        <v>7</v>
      </c>
      <c r="G172" s="44" t="s">
        <v>69</v>
      </c>
      <c r="H172" s="45">
        <v>95291</v>
      </c>
      <c r="I172" s="38">
        <v>4</v>
      </c>
      <c r="J172" s="41">
        <f t="shared" si="5"/>
        <v>97892</v>
      </c>
    </row>
    <row r="173" spans="1:10">
      <c r="A173" s="37" t="s">
        <v>1067</v>
      </c>
      <c r="B173" s="38" t="s">
        <v>61</v>
      </c>
      <c r="C173" s="37" t="s">
        <v>90</v>
      </c>
      <c r="D173" s="37" t="s">
        <v>71</v>
      </c>
      <c r="E173" s="113">
        <v>43278</v>
      </c>
      <c r="F173" s="43">
        <f t="shared" ca="1" si="4"/>
        <v>5</v>
      </c>
      <c r="G173" s="44" t="s">
        <v>66</v>
      </c>
      <c r="H173" s="45">
        <v>34415</v>
      </c>
      <c r="I173" s="38">
        <v>1</v>
      </c>
      <c r="J173" s="41">
        <f t="shared" si="5"/>
        <v>35355</v>
      </c>
    </row>
    <row r="174" spans="1:10">
      <c r="A174" s="37" t="s">
        <v>860</v>
      </c>
      <c r="B174" s="38" t="s">
        <v>61</v>
      </c>
      <c r="C174" s="37" t="s">
        <v>83</v>
      </c>
      <c r="D174" s="37" t="s">
        <v>59</v>
      </c>
      <c r="E174" s="113">
        <v>41912</v>
      </c>
      <c r="F174" s="43">
        <f t="shared" ca="1" si="4"/>
        <v>8</v>
      </c>
      <c r="G174" s="44"/>
      <c r="H174" s="45">
        <v>52673</v>
      </c>
      <c r="I174" s="38">
        <v>4</v>
      </c>
      <c r="J174" s="41">
        <f t="shared" si="5"/>
        <v>54111</v>
      </c>
    </row>
    <row r="175" spans="1:10">
      <c r="A175" s="37" t="s">
        <v>699</v>
      </c>
      <c r="B175" s="38" t="s">
        <v>63</v>
      </c>
      <c r="C175" s="37" t="s">
        <v>77</v>
      </c>
      <c r="D175" s="37" t="s">
        <v>65</v>
      </c>
      <c r="E175" s="113">
        <v>44092</v>
      </c>
      <c r="F175" s="43">
        <f t="shared" ca="1" si="4"/>
        <v>3</v>
      </c>
      <c r="G175" s="44" t="s">
        <v>66</v>
      </c>
      <c r="H175" s="45">
        <v>107925</v>
      </c>
      <c r="I175" s="38">
        <v>3</v>
      </c>
      <c r="J175" s="41">
        <f t="shared" si="5"/>
        <v>110871</v>
      </c>
    </row>
    <row r="176" spans="1:10">
      <c r="A176" s="37" t="s">
        <v>812</v>
      </c>
      <c r="B176" s="38" t="s">
        <v>61</v>
      </c>
      <c r="C176" s="37" t="s">
        <v>82</v>
      </c>
      <c r="D176" s="37" t="s">
        <v>72</v>
      </c>
      <c r="E176" s="113">
        <v>41537</v>
      </c>
      <c r="F176" s="43">
        <f t="shared" ca="1" si="4"/>
        <v>10</v>
      </c>
      <c r="G176" s="44" t="s">
        <v>68</v>
      </c>
      <c r="H176" s="45">
        <v>118063</v>
      </c>
      <c r="I176" s="38">
        <v>5</v>
      </c>
      <c r="J176" s="41">
        <f t="shared" si="5"/>
        <v>121286</v>
      </c>
    </row>
    <row r="177" spans="1:10">
      <c r="A177" s="37" t="s">
        <v>578</v>
      </c>
      <c r="B177" s="38" t="s">
        <v>62</v>
      </c>
      <c r="C177" s="37" t="s">
        <v>58</v>
      </c>
      <c r="D177" s="37" t="s">
        <v>65</v>
      </c>
      <c r="E177" s="113">
        <v>39727</v>
      </c>
      <c r="F177" s="43">
        <f t="shared" ca="1" si="4"/>
        <v>14</v>
      </c>
      <c r="G177" s="44" t="s">
        <v>70</v>
      </c>
      <c r="H177" s="45">
        <v>62408</v>
      </c>
      <c r="I177" s="38">
        <v>4</v>
      </c>
      <c r="J177" s="41">
        <f t="shared" si="5"/>
        <v>64112</v>
      </c>
    </row>
    <row r="178" spans="1:10">
      <c r="A178" s="37" t="s">
        <v>861</v>
      </c>
      <c r="B178" s="38" t="s">
        <v>64</v>
      </c>
      <c r="C178" s="37" t="s">
        <v>83</v>
      </c>
      <c r="D178" s="37" t="s">
        <v>65</v>
      </c>
      <c r="E178" s="113">
        <v>42939</v>
      </c>
      <c r="F178" s="43">
        <f t="shared" ca="1" si="4"/>
        <v>6</v>
      </c>
      <c r="G178" s="44" t="s">
        <v>68</v>
      </c>
      <c r="H178" s="45">
        <v>64100</v>
      </c>
      <c r="I178" s="38">
        <v>2</v>
      </c>
      <c r="J178" s="41">
        <f t="shared" si="5"/>
        <v>65850</v>
      </c>
    </row>
    <row r="179" spans="1:10">
      <c r="A179" s="37" t="s">
        <v>775</v>
      </c>
      <c r="B179" s="38" t="s">
        <v>64</v>
      </c>
      <c r="C179" s="37" t="s">
        <v>80</v>
      </c>
      <c r="D179" s="37" t="s">
        <v>59</v>
      </c>
      <c r="E179" s="113">
        <v>39512</v>
      </c>
      <c r="F179" s="43">
        <f t="shared" ca="1" si="4"/>
        <v>15</v>
      </c>
      <c r="G179" s="44"/>
      <c r="H179" s="45">
        <v>87830</v>
      </c>
      <c r="I179" s="38">
        <v>4</v>
      </c>
      <c r="J179" s="41">
        <f t="shared" si="5"/>
        <v>90228</v>
      </c>
    </row>
    <row r="180" spans="1:10">
      <c r="A180" s="37" t="s">
        <v>1098</v>
      </c>
      <c r="B180" s="38" t="s">
        <v>61</v>
      </c>
      <c r="C180" s="37" t="s">
        <v>91</v>
      </c>
      <c r="D180" s="37" t="s">
        <v>65</v>
      </c>
      <c r="E180" s="113">
        <v>42864</v>
      </c>
      <c r="F180" s="43">
        <f t="shared" ca="1" si="4"/>
        <v>6</v>
      </c>
      <c r="G180" s="44" t="s">
        <v>68</v>
      </c>
      <c r="H180" s="45">
        <v>75168</v>
      </c>
      <c r="I180" s="38">
        <v>4</v>
      </c>
      <c r="J180" s="41">
        <f t="shared" si="5"/>
        <v>77220</v>
      </c>
    </row>
    <row r="181" spans="1:10">
      <c r="A181" s="37" t="s">
        <v>673</v>
      </c>
      <c r="B181" s="38" t="s">
        <v>61</v>
      </c>
      <c r="C181" s="37" t="s">
        <v>75</v>
      </c>
      <c r="D181" s="37" t="s">
        <v>65</v>
      </c>
      <c r="E181" s="113">
        <v>39805</v>
      </c>
      <c r="F181" s="43">
        <f t="shared" ca="1" si="4"/>
        <v>14</v>
      </c>
      <c r="G181" s="44" t="s">
        <v>69</v>
      </c>
      <c r="H181" s="45">
        <v>66362</v>
      </c>
      <c r="I181" s="38">
        <v>1</v>
      </c>
      <c r="J181" s="41">
        <f t="shared" si="5"/>
        <v>68174</v>
      </c>
    </row>
    <row r="182" spans="1:10">
      <c r="A182" s="37" t="s">
        <v>645</v>
      </c>
      <c r="B182" s="38" t="s">
        <v>62</v>
      </c>
      <c r="C182" s="37" t="s">
        <v>73</v>
      </c>
      <c r="D182" s="37" t="s">
        <v>72</v>
      </c>
      <c r="E182" s="113">
        <v>44742</v>
      </c>
      <c r="F182" s="43">
        <f t="shared" ca="1" si="4"/>
        <v>1</v>
      </c>
      <c r="G182" s="44"/>
      <c r="H182" s="45">
        <v>49483</v>
      </c>
      <c r="I182" s="38">
        <v>2</v>
      </c>
      <c r="J182" s="41">
        <f t="shared" si="5"/>
        <v>50834</v>
      </c>
    </row>
    <row r="183" spans="1:10">
      <c r="A183" s="37" t="s">
        <v>652</v>
      </c>
      <c r="B183" s="38" t="s">
        <v>64</v>
      </c>
      <c r="C183" s="37" t="s">
        <v>74</v>
      </c>
      <c r="D183" s="37" t="s">
        <v>59</v>
      </c>
      <c r="E183" s="113">
        <v>41258</v>
      </c>
      <c r="F183" s="43">
        <f t="shared" ca="1" si="4"/>
        <v>10</v>
      </c>
      <c r="G183" s="44"/>
      <c r="H183" s="45">
        <v>101782</v>
      </c>
      <c r="I183" s="38">
        <v>2</v>
      </c>
      <c r="J183" s="41">
        <f t="shared" si="5"/>
        <v>104561</v>
      </c>
    </row>
    <row r="184" spans="1:10">
      <c r="A184" s="37" t="s">
        <v>1099</v>
      </c>
      <c r="B184" s="38" t="s">
        <v>61</v>
      </c>
      <c r="C184" s="37" t="s">
        <v>91</v>
      </c>
      <c r="D184" s="37" t="s">
        <v>65</v>
      </c>
      <c r="E184" s="113">
        <v>44581</v>
      </c>
      <c r="F184" s="43">
        <f t="shared" ca="1" si="4"/>
        <v>1</v>
      </c>
      <c r="G184" s="44" t="s">
        <v>68</v>
      </c>
      <c r="H184" s="45">
        <v>90938</v>
      </c>
      <c r="I184" s="38">
        <v>3</v>
      </c>
      <c r="J184" s="41">
        <f t="shared" si="5"/>
        <v>93421</v>
      </c>
    </row>
    <row r="185" spans="1:10">
      <c r="A185" s="37" t="s">
        <v>862</v>
      </c>
      <c r="B185" s="38" t="s">
        <v>63</v>
      </c>
      <c r="C185" s="37" t="s">
        <v>83</v>
      </c>
      <c r="D185" s="37" t="s">
        <v>65</v>
      </c>
      <c r="E185" s="113">
        <v>43861</v>
      </c>
      <c r="F185" s="43">
        <f t="shared" ca="1" si="4"/>
        <v>3</v>
      </c>
      <c r="G185" s="44" t="s">
        <v>70</v>
      </c>
      <c r="H185" s="45">
        <v>48956</v>
      </c>
      <c r="I185" s="38">
        <v>5</v>
      </c>
      <c r="J185" s="41">
        <f t="shared" si="5"/>
        <v>50292</v>
      </c>
    </row>
    <row r="186" spans="1:10">
      <c r="A186" s="37" t="s">
        <v>579</v>
      </c>
      <c r="B186" s="38" t="s">
        <v>57</v>
      </c>
      <c r="C186" s="37" t="s">
        <v>58</v>
      </c>
      <c r="D186" s="37" t="s">
        <v>71</v>
      </c>
      <c r="E186" s="113">
        <v>43884</v>
      </c>
      <c r="F186" s="43">
        <f t="shared" ca="1" si="4"/>
        <v>3</v>
      </c>
      <c r="G186" s="44" t="s">
        <v>68</v>
      </c>
      <c r="H186" s="45">
        <v>16379</v>
      </c>
      <c r="I186" s="38">
        <v>1</v>
      </c>
      <c r="J186" s="41">
        <f t="shared" si="5"/>
        <v>16826</v>
      </c>
    </row>
    <row r="187" spans="1:10">
      <c r="A187" s="37" t="s">
        <v>863</v>
      </c>
      <c r="B187" s="38" t="s">
        <v>62</v>
      </c>
      <c r="C187" s="37" t="s">
        <v>83</v>
      </c>
      <c r="D187" s="37" t="s">
        <v>59</v>
      </c>
      <c r="E187" s="113">
        <v>42503</v>
      </c>
      <c r="F187" s="43">
        <f t="shared" ca="1" si="4"/>
        <v>7</v>
      </c>
      <c r="G187" s="44"/>
      <c r="H187" s="45">
        <v>111407</v>
      </c>
      <c r="I187" s="38">
        <v>4</v>
      </c>
      <c r="J187" s="41">
        <f t="shared" si="5"/>
        <v>114448</v>
      </c>
    </row>
    <row r="188" spans="1:10">
      <c r="A188" s="37" t="s">
        <v>776</v>
      </c>
      <c r="B188" s="38" t="s">
        <v>60</v>
      </c>
      <c r="C188" s="37" t="s">
        <v>80</v>
      </c>
      <c r="D188" s="37" t="s">
        <v>65</v>
      </c>
      <c r="E188" s="113">
        <v>44516</v>
      </c>
      <c r="F188" s="43">
        <f t="shared" ca="1" si="4"/>
        <v>1</v>
      </c>
      <c r="G188" s="44" t="s">
        <v>70</v>
      </c>
      <c r="H188" s="45">
        <v>59899</v>
      </c>
      <c r="I188" s="38">
        <v>2</v>
      </c>
      <c r="J188" s="41">
        <f t="shared" si="5"/>
        <v>61534</v>
      </c>
    </row>
    <row r="189" spans="1:10">
      <c r="A189" s="37" t="s">
        <v>1169</v>
      </c>
      <c r="B189" s="38" t="s">
        <v>61</v>
      </c>
      <c r="C189" s="37" t="s">
        <v>93</v>
      </c>
      <c r="D189" s="37" t="s">
        <v>71</v>
      </c>
      <c r="E189" s="113">
        <v>42844</v>
      </c>
      <c r="F189" s="43">
        <f t="shared" ca="1" si="4"/>
        <v>6</v>
      </c>
      <c r="G189" s="44" t="s">
        <v>69</v>
      </c>
      <c r="H189" s="45">
        <v>15575</v>
      </c>
      <c r="I189" s="38">
        <v>4</v>
      </c>
      <c r="J189" s="41">
        <f t="shared" si="5"/>
        <v>16000</v>
      </c>
    </row>
    <row r="190" spans="1:10">
      <c r="A190" s="37" t="s">
        <v>864</v>
      </c>
      <c r="B190" s="38" t="s">
        <v>61</v>
      </c>
      <c r="C190" s="37" t="s">
        <v>83</v>
      </c>
      <c r="D190" s="37" t="s">
        <v>59</v>
      </c>
      <c r="E190" s="113">
        <v>44670</v>
      </c>
      <c r="F190" s="43">
        <f t="shared" ca="1" si="4"/>
        <v>1</v>
      </c>
      <c r="G190" s="44"/>
      <c r="H190" s="45">
        <v>44643</v>
      </c>
      <c r="I190" s="38">
        <v>3</v>
      </c>
      <c r="J190" s="41">
        <f t="shared" si="5"/>
        <v>45862</v>
      </c>
    </row>
    <row r="191" spans="1:10">
      <c r="A191" s="37" t="s">
        <v>1170</v>
      </c>
      <c r="B191" s="38" t="s">
        <v>61</v>
      </c>
      <c r="C191" s="37" t="s">
        <v>93</v>
      </c>
      <c r="D191" s="37" t="s">
        <v>59</v>
      </c>
      <c r="E191" s="113">
        <v>43826</v>
      </c>
      <c r="F191" s="43">
        <f t="shared" ca="1" si="4"/>
        <v>3</v>
      </c>
      <c r="G191" s="44"/>
      <c r="H191" s="45">
        <v>111959</v>
      </c>
      <c r="I191" s="38">
        <v>3</v>
      </c>
      <c r="J191" s="41">
        <f t="shared" si="5"/>
        <v>115015</v>
      </c>
    </row>
    <row r="192" spans="1:10">
      <c r="A192" s="37" t="s">
        <v>580</v>
      </c>
      <c r="B192" s="38" t="s">
        <v>61</v>
      </c>
      <c r="C192" s="37" t="s">
        <v>58</v>
      </c>
      <c r="D192" s="37" t="s">
        <v>65</v>
      </c>
      <c r="E192" s="113">
        <v>43294</v>
      </c>
      <c r="F192" s="43">
        <f t="shared" ca="1" si="4"/>
        <v>5</v>
      </c>
      <c r="G192" s="44" t="s">
        <v>66</v>
      </c>
      <c r="H192" s="45">
        <v>63948</v>
      </c>
      <c r="I192" s="38">
        <v>4</v>
      </c>
      <c r="J192" s="41">
        <f t="shared" si="5"/>
        <v>65694</v>
      </c>
    </row>
    <row r="193" spans="1:10">
      <c r="A193" s="37" t="s">
        <v>1068</v>
      </c>
      <c r="B193" s="38" t="s">
        <v>61</v>
      </c>
      <c r="C193" s="37" t="s">
        <v>90</v>
      </c>
      <c r="D193" s="37" t="s">
        <v>65</v>
      </c>
      <c r="E193" s="113">
        <v>43352</v>
      </c>
      <c r="F193" s="43">
        <f t="shared" ca="1" si="4"/>
        <v>5</v>
      </c>
      <c r="G193" s="44" t="s">
        <v>68</v>
      </c>
      <c r="H193" s="45">
        <v>56778</v>
      </c>
      <c r="I193" s="38">
        <v>3</v>
      </c>
      <c r="J193" s="41">
        <f t="shared" si="5"/>
        <v>58328</v>
      </c>
    </row>
    <row r="194" spans="1:10">
      <c r="A194" s="37" t="s">
        <v>1033</v>
      </c>
      <c r="B194" s="38" t="s">
        <v>63</v>
      </c>
      <c r="C194" s="37" t="s">
        <v>88</v>
      </c>
      <c r="D194" s="37" t="s">
        <v>65</v>
      </c>
      <c r="E194" s="113">
        <v>43990</v>
      </c>
      <c r="F194" s="43">
        <f t="shared" ref="F194:F257" ca="1" si="6">DATEDIF(E194,TODAY(),"Y")</f>
        <v>3</v>
      </c>
      <c r="G194" s="44" t="s">
        <v>66</v>
      </c>
      <c r="H194" s="45">
        <v>45267</v>
      </c>
      <c r="I194" s="38">
        <v>4</v>
      </c>
      <c r="J194" s="41">
        <f t="shared" ref="J194:J257" si="7">ROUND(H194*$L$1+H194,0)</f>
        <v>46503</v>
      </c>
    </row>
    <row r="195" spans="1:10">
      <c r="A195" s="37" t="s">
        <v>1034</v>
      </c>
      <c r="B195" s="38" t="s">
        <v>61</v>
      </c>
      <c r="C195" s="37" t="s">
        <v>88</v>
      </c>
      <c r="D195" s="37" t="s">
        <v>65</v>
      </c>
      <c r="E195" s="113">
        <v>43957</v>
      </c>
      <c r="F195" s="43">
        <f t="shared" ca="1" si="6"/>
        <v>3</v>
      </c>
      <c r="G195" s="44" t="s">
        <v>68</v>
      </c>
      <c r="H195" s="45">
        <v>88454</v>
      </c>
      <c r="I195" s="38">
        <v>5</v>
      </c>
      <c r="J195" s="41">
        <f t="shared" si="7"/>
        <v>90869</v>
      </c>
    </row>
    <row r="196" spans="1:10">
      <c r="A196" s="37" t="s">
        <v>985</v>
      </c>
      <c r="B196" s="38" t="s">
        <v>63</v>
      </c>
      <c r="C196" s="37" t="s">
        <v>87</v>
      </c>
      <c r="D196" s="37" t="s">
        <v>71</v>
      </c>
      <c r="E196" s="113">
        <v>43942</v>
      </c>
      <c r="F196" s="43">
        <f t="shared" ca="1" si="6"/>
        <v>3</v>
      </c>
      <c r="G196" s="44" t="s">
        <v>70</v>
      </c>
      <c r="H196" s="45">
        <v>27793</v>
      </c>
      <c r="I196" s="38">
        <v>3</v>
      </c>
      <c r="J196" s="41">
        <f t="shared" si="7"/>
        <v>28552</v>
      </c>
    </row>
    <row r="197" spans="1:10">
      <c r="A197" s="37" t="s">
        <v>581</v>
      </c>
      <c r="B197" s="38" t="s">
        <v>60</v>
      </c>
      <c r="C197" s="37" t="s">
        <v>58</v>
      </c>
      <c r="D197" s="37" t="s">
        <v>65</v>
      </c>
      <c r="E197" s="113">
        <v>39412</v>
      </c>
      <c r="F197" s="43">
        <f t="shared" ca="1" si="6"/>
        <v>15</v>
      </c>
      <c r="G197" s="44" t="s">
        <v>66</v>
      </c>
      <c r="H197" s="45">
        <v>31718</v>
      </c>
      <c r="I197" s="38">
        <v>3</v>
      </c>
      <c r="J197" s="41">
        <f t="shared" si="7"/>
        <v>32584</v>
      </c>
    </row>
    <row r="198" spans="1:10">
      <c r="A198" s="37" t="s">
        <v>700</v>
      </c>
      <c r="B198" s="38" t="s">
        <v>57</v>
      </c>
      <c r="C198" s="37" t="s">
        <v>77</v>
      </c>
      <c r="D198" s="37" t="s">
        <v>65</v>
      </c>
      <c r="E198" s="113">
        <v>42970</v>
      </c>
      <c r="F198" s="43">
        <f t="shared" ca="1" si="6"/>
        <v>6</v>
      </c>
      <c r="G198" s="44" t="s">
        <v>68</v>
      </c>
      <c r="H198" s="45">
        <v>94154</v>
      </c>
      <c r="I198" s="38">
        <v>5</v>
      </c>
      <c r="J198" s="41">
        <f t="shared" si="7"/>
        <v>96724</v>
      </c>
    </row>
    <row r="199" spans="1:10">
      <c r="A199" s="37" t="s">
        <v>1100</v>
      </c>
      <c r="B199" s="38" t="s">
        <v>63</v>
      </c>
      <c r="C199" s="37" t="s">
        <v>91</v>
      </c>
      <c r="D199" s="37" t="s">
        <v>71</v>
      </c>
      <c r="E199" s="113">
        <v>42566</v>
      </c>
      <c r="F199" s="43">
        <f t="shared" ca="1" si="6"/>
        <v>7</v>
      </c>
      <c r="G199" s="44" t="s">
        <v>70</v>
      </c>
      <c r="H199" s="45">
        <v>59274</v>
      </c>
      <c r="I199" s="38">
        <v>2</v>
      </c>
      <c r="J199" s="41">
        <f t="shared" si="7"/>
        <v>60892</v>
      </c>
    </row>
    <row r="200" spans="1:10">
      <c r="A200" s="37" t="s">
        <v>865</v>
      </c>
      <c r="B200" s="38" t="s">
        <v>61</v>
      </c>
      <c r="C200" s="37" t="s">
        <v>83</v>
      </c>
      <c r="D200" s="37" t="s">
        <v>65</v>
      </c>
      <c r="E200" s="113">
        <v>42404</v>
      </c>
      <c r="F200" s="43">
        <f t="shared" ca="1" si="6"/>
        <v>7</v>
      </c>
      <c r="G200" s="44" t="s">
        <v>70</v>
      </c>
      <c r="H200" s="45">
        <v>44921</v>
      </c>
      <c r="I200" s="38">
        <v>2</v>
      </c>
      <c r="J200" s="41">
        <f t="shared" si="7"/>
        <v>46147</v>
      </c>
    </row>
    <row r="201" spans="1:10">
      <c r="A201" s="37" t="s">
        <v>866</v>
      </c>
      <c r="B201" s="38" t="s">
        <v>62</v>
      </c>
      <c r="C201" s="37" t="s">
        <v>83</v>
      </c>
      <c r="D201" s="37" t="s">
        <v>59</v>
      </c>
      <c r="E201" s="113">
        <v>39518</v>
      </c>
      <c r="F201" s="43">
        <f t="shared" ca="1" si="6"/>
        <v>15</v>
      </c>
      <c r="G201" s="44"/>
      <c r="H201" s="45">
        <v>106664</v>
      </c>
      <c r="I201" s="38">
        <v>1</v>
      </c>
      <c r="J201" s="41">
        <f t="shared" si="7"/>
        <v>109576</v>
      </c>
    </row>
    <row r="202" spans="1:10">
      <c r="A202" s="37" t="s">
        <v>653</v>
      </c>
      <c r="B202" s="38" t="s">
        <v>63</v>
      </c>
      <c r="C202" s="37" t="s">
        <v>74</v>
      </c>
      <c r="D202" s="37" t="s">
        <v>59</v>
      </c>
      <c r="E202" s="113">
        <v>42615</v>
      </c>
      <c r="F202" s="43">
        <f t="shared" ca="1" si="6"/>
        <v>7</v>
      </c>
      <c r="G202" s="44"/>
      <c r="H202" s="45">
        <v>105429</v>
      </c>
      <c r="I202" s="38">
        <v>1</v>
      </c>
      <c r="J202" s="41">
        <f t="shared" si="7"/>
        <v>108307</v>
      </c>
    </row>
    <row r="203" spans="1:10">
      <c r="A203" s="37" t="s">
        <v>867</v>
      </c>
      <c r="B203" s="38" t="s">
        <v>64</v>
      </c>
      <c r="C203" s="37" t="s">
        <v>83</v>
      </c>
      <c r="D203" s="37" t="s">
        <v>65</v>
      </c>
      <c r="E203" s="113">
        <v>40004</v>
      </c>
      <c r="F203" s="43">
        <f t="shared" ca="1" si="6"/>
        <v>14</v>
      </c>
      <c r="G203" s="44" t="s">
        <v>68</v>
      </c>
      <c r="H203" s="45">
        <v>55557</v>
      </c>
      <c r="I203" s="38">
        <v>3</v>
      </c>
      <c r="J203" s="41">
        <f t="shared" si="7"/>
        <v>57074</v>
      </c>
    </row>
    <row r="204" spans="1:10">
      <c r="A204" s="37" t="s">
        <v>986</v>
      </c>
      <c r="B204" s="38" t="s">
        <v>61</v>
      </c>
      <c r="C204" s="37" t="s">
        <v>87</v>
      </c>
      <c r="D204" s="37" t="s">
        <v>65</v>
      </c>
      <c r="E204" s="113">
        <v>42849</v>
      </c>
      <c r="F204" s="43">
        <f t="shared" ca="1" si="6"/>
        <v>6</v>
      </c>
      <c r="G204" s="44" t="s">
        <v>69</v>
      </c>
      <c r="H204" s="45">
        <v>92808</v>
      </c>
      <c r="I204" s="38">
        <v>2</v>
      </c>
      <c r="J204" s="41">
        <f t="shared" si="7"/>
        <v>95342</v>
      </c>
    </row>
    <row r="205" spans="1:10">
      <c r="A205" s="37" t="s">
        <v>1101</v>
      </c>
      <c r="B205" s="38" t="s">
        <v>61</v>
      </c>
      <c r="C205" s="37" t="s">
        <v>91</v>
      </c>
      <c r="D205" s="37" t="s">
        <v>65</v>
      </c>
      <c r="E205" s="113">
        <v>44500</v>
      </c>
      <c r="F205" s="43">
        <f t="shared" ca="1" si="6"/>
        <v>1</v>
      </c>
      <c r="G205" s="44" t="s">
        <v>68</v>
      </c>
      <c r="H205" s="45">
        <v>76042</v>
      </c>
      <c r="I205" s="38">
        <v>1</v>
      </c>
      <c r="J205" s="41">
        <f t="shared" si="7"/>
        <v>78118</v>
      </c>
    </row>
    <row r="206" spans="1:10">
      <c r="A206" s="37" t="s">
        <v>582</v>
      </c>
      <c r="B206" s="38" t="s">
        <v>60</v>
      </c>
      <c r="C206" s="37" t="s">
        <v>58</v>
      </c>
      <c r="D206" s="37" t="s">
        <v>59</v>
      </c>
      <c r="E206" s="113">
        <v>44554</v>
      </c>
      <c r="F206" s="43">
        <f t="shared" ca="1" si="6"/>
        <v>1</v>
      </c>
      <c r="G206" s="44"/>
      <c r="H206" s="45">
        <v>83975</v>
      </c>
      <c r="I206" s="38">
        <v>2</v>
      </c>
      <c r="J206" s="41">
        <f t="shared" si="7"/>
        <v>86268</v>
      </c>
    </row>
    <row r="207" spans="1:10">
      <c r="A207" s="37" t="s">
        <v>674</v>
      </c>
      <c r="B207" s="38" t="s">
        <v>60</v>
      </c>
      <c r="C207" s="37" t="s">
        <v>75</v>
      </c>
      <c r="D207" s="37" t="s">
        <v>71</v>
      </c>
      <c r="E207" s="113">
        <v>42442</v>
      </c>
      <c r="F207" s="43">
        <f t="shared" ca="1" si="6"/>
        <v>7</v>
      </c>
      <c r="G207" s="44" t="s">
        <v>68</v>
      </c>
      <c r="H207" s="45">
        <v>15290</v>
      </c>
      <c r="I207" s="38">
        <v>1</v>
      </c>
      <c r="J207" s="41">
        <f t="shared" si="7"/>
        <v>15707</v>
      </c>
    </row>
    <row r="208" spans="1:10">
      <c r="A208" s="37" t="s">
        <v>701</v>
      </c>
      <c r="B208" s="38" t="s">
        <v>63</v>
      </c>
      <c r="C208" s="37" t="s">
        <v>77</v>
      </c>
      <c r="D208" s="37" t="s">
        <v>65</v>
      </c>
      <c r="E208" s="113">
        <v>40767</v>
      </c>
      <c r="F208" s="43">
        <f t="shared" ca="1" si="6"/>
        <v>12</v>
      </c>
      <c r="G208" s="44" t="s">
        <v>66</v>
      </c>
      <c r="H208" s="45">
        <v>87081</v>
      </c>
      <c r="I208" s="38">
        <v>2</v>
      </c>
      <c r="J208" s="41">
        <f t="shared" si="7"/>
        <v>89458</v>
      </c>
    </row>
    <row r="209" spans="1:10">
      <c r="A209" s="37" t="s">
        <v>868</v>
      </c>
      <c r="B209" s="38" t="s">
        <v>57</v>
      </c>
      <c r="C209" s="37" t="s">
        <v>83</v>
      </c>
      <c r="D209" s="37" t="s">
        <v>65</v>
      </c>
      <c r="E209" s="113">
        <v>41912</v>
      </c>
      <c r="F209" s="43">
        <f t="shared" ca="1" si="6"/>
        <v>8</v>
      </c>
      <c r="G209" s="44" t="s">
        <v>67</v>
      </c>
      <c r="H209" s="45">
        <v>98134</v>
      </c>
      <c r="I209" s="38">
        <v>1</v>
      </c>
      <c r="J209" s="41">
        <f t="shared" si="7"/>
        <v>100813</v>
      </c>
    </row>
    <row r="210" spans="1:10">
      <c r="A210" s="37" t="s">
        <v>702</v>
      </c>
      <c r="B210" s="38" t="s">
        <v>63</v>
      </c>
      <c r="C210" s="37" t="s">
        <v>77</v>
      </c>
      <c r="D210" s="37" t="s">
        <v>65</v>
      </c>
      <c r="E210" s="113">
        <v>42806</v>
      </c>
      <c r="F210" s="43">
        <f t="shared" ca="1" si="6"/>
        <v>6</v>
      </c>
      <c r="G210" s="44" t="s">
        <v>68</v>
      </c>
      <c r="H210" s="45">
        <v>44255</v>
      </c>
      <c r="I210" s="38">
        <v>5</v>
      </c>
      <c r="J210" s="41">
        <f t="shared" si="7"/>
        <v>45463</v>
      </c>
    </row>
    <row r="211" spans="1:10">
      <c r="A211" s="37" t="s">
        <v>777</v>
      </c>
      <c r="B211" s="38" t="s">
        <v>62</v>
      </c>
      <c r="C211" s="37" t="s">
        <v>80</v>
      </c>
      <c r="D211" s="37" t="s">
        <v>59</v>
      </c>
      <c r="E211" s="113">
        <v>43207</v>
      </c>
      <c r="F211" s="43">
        <f t="shared" ca="1" si="6"/>
        <v>5</v>
      </c>
      <c r="G211" s="44"/>
      <c r="H211" s="45">
        <v>92518</v>
      </c>
      <c r="I211" s="38">
        <v>2</v>
      </c>
      <c r="J211" s="41">
        <f t="shared" si="7"/>
        <v>95044</v>
      </c>
    </row>
    <row r="212" spans="1:10">
      <c r="A212" s="37" t="s">
        <v>1250</v>
      </c>
      <c r="B212" s="38" t="s">
        <v>57</v>
      </c>
      <c r="C212" s="37" t="s">
        <v>96</v>
      </c>
      <c r="D212" s="37" t="s">
        <v>72</v>
      </c>
      <c r="E212" s="113">
        <v>44134</v>
      </c>
      <c r="F212" s="43">
        <f t="shared" ca="1" si="6"/>
        <v>2</v>
      </c>
      <c r="G212" s="44"/>
      <c r="H212" s="45">
        <v>26411</v>
      </c>
      <c r="I212" s="38">
        <v>1</v>
      </c>
      <c r="J212" s="41">
        <f t="shared" si="7"/>
        <v>27132</v>
      </c>
    </row>
    <row r="213" spans="1:10">
      <c r="A213" s="37" t="s">
        <v>683</v>
      </c>
      <c r="B213" s="38" t="s">
        <v>63</v>
      </c>
      <c r="C213" s="37" t="s">
        <v>76</v>
      </c>
      <c r="D213" s="37" t="s">
        <v>65</v>
      </c>
      <c r="E213" s="113">
        <v>39840</v>
      </c>
      <c r="F213" s="43">
        <f t="shared" ca="1" si="6"/>
        <v>14</v>
      </c>
      <c r="G213" s="44" t="s">
        <v>68</v>
      </c>
      <c r="H213" s="45">
        <v>69149</v>
      </c>
      <c r="I213" s="38">
        <v>2</v>
      </c>
      <c r="J213" s="41">
        <f t="shared" si="7"/>
        <v>71037</v>
      </c>
    </row>
    <row r="214" spans="1:10">
      <c r="A214" s="37" t="s">
        <v>583</v>
      </c>
      <c r="B214" s="38" t="s">
        <v>60</v>
      </c>
      <c r="C214" s="37" t="s">
        <v>58</v>
      </c>
      <c r="D214" s="37" t="s">
        <v>59</v>
      </c>
      <c r="E214" s="113">
        <v>44474</v>
      </c>
      <c r="F214" s="43">
        <f t="shared" ca="1" si="6"/>
        <v>1</v>
      </c>
      <c r="G214" s="44"/>
      <c r="H214" s="45">
        <v>70508</v>
      </c>
      <c r="I214" s="38">
        <v>4</v>
      </c>
      <c r="J214" s="41">
        <f t="shared" si="7"/>
        <v>72433</v>
      </c>
    </row>
    <row r="215" spans="1:10">
      <c r="A215" s="37" t="s">
        <v>1102</v>
      </c>
      <c r="B215" s="38" t="s">
        <v>63</v>
      </c>
      <c r="C215" s="37" t="s">
        <v>91</v>
      </c>
      <c r="D215" s="37" t="s">
        <v>72</v>
      </c>
      <c r="E215" s="113">
        <v>43049</v>
      </c>
      <c r="F215" s="43">
        <f t="shared" ca="1" si="6"/>
        <v>5</v>
      </c>
      <c r="G215" s="44"/>
      <c r="H215" s="45">
        <v>51020</v>
      </c>
      <c r="I215" s="38">
        <v>4</v>
      </c>
      <c r="J215" s="41">
        <f t="shared" si="7"/>
        <v>52413</v>
      </c>
    </row>
    <row r="216" spans="1:10">
      <c r="A216" s="37" t="s">
        <v>778</v>
      </c>
      <c r="B216" s="38" t="s">
        <v>61</v>
      </c>
      <c r="C216" s="37" t="s">
        <v>80</v>
      </c>
      <c r="D216" s="37" t="s">
        <v>65</v>
      </c>
      <c r="E216" s="113">
        <v>42398</v>
      </c>
      <c r="F216" s="43">
        <f t="shared" ca="1" si="6"/>
        <v>7</v>
      </c>
      <c r="G216" s="44" t="s">
        <v>68</v>
      </c>
      <c r="H216" s="45">
        <v>65265</v>
      </c>
      <c r="I216" s="38">
        <v>4</v>
      </c>
      <c r="J216" s="41">
        <f t="shared" si="7"/>
        <v>67047</v>
      </c>
    </row>
    <row r="217" spans="1:10">
      <c r="A217" s="37" t="s">
        <v>584</v>
      </c>
      <c r="B217" s="38" t="s">
        <v>61</v>
      </c>
      <c r="C217" s="37" t="s">
        <v>58</v>
      </c>
      <c r="D217" s="37" t="s">
        <v>65</v>
      </c>
      <c r="E217" s="113">
        <v>42571</v>
      </c>
      <c r="F217" s="43">
        <f t="shared" ca="1" si="6"/>
        <v>7</v>
      </c>
      <c r="G217" s="44" t="s">
        <v>67</v>
      </c>
      <c r="H217" s="45">
        <v>33756</v>
      </c>
      <c r="I217" s="38">
        <v>4</v>
      </c>
      <c r="J217" s="41">
        <f t="shared" si="7"/>
        <v>34678</v>
      </c>
    </row>
    <row r="218" spans="1:10">
      <c r="A218" s="37" t="s">
        <v>869</v>
      </c>
      <c r="B218" s="38" t="s">
        <v>63</v>
      </c>
      <c r="C218" s="37" t="s">
        <v>83</v>
      </c>
      <c r="D218" s="37" t="s">
        <v>71</v>
      </c>
      <c r="E218" s="113">
        <v>39860</v>
      </c>
      <c r="F218" s="43">
        <f t="shared" ca="1" si="6"/>
        <v>14</v>
      </c>
      <c r="G218" s="44" t="s">
        <v>70</v>
      </c>
      <c r="H218" s="45">
        <v>66833</v>
      </c>
      <c r="I218" s="38">
        <v>1</v>
      </c>
      <c r="J218" s="41">
        <f t="shared" si="7"/>
        <v>68658</v>
      </c>
    </row>
    <row r="219" spans="1:10">
      <c r="A219" s="37" t="s">
        <v>585</v>
      </c>
      <c r="B219" s="38" t="s">
        <v>63</v>
      </c>
      <c r="C219" s="37" t="s">
        <v>58</v>
      </c>
      <c r="D219" s="37" t="s">
        <v>65</v>
      </c>
      <c r="E219" s="113">
        <v>44406</v>
      </c>
      <c r="F219" s="43">
        <f t="shared" ca="1" si="6"/>
        <v>2</v>
      </c>
      <c r="G219" s="44" t="s">
        <v>67</v>
      </c>
      <c r="H219" s="45">
        <v>75584</v>
      </c>
      <c r="I219" s="38">
        <v>5</v>
      </c>
      <c r="J219" s="41">
        <f t="shared" si="7"/>
        <v>77647</v>
      </c>
    </row>
    <row r="220" spans="1:10">
      <c r="A220" s="37" t="s">
        <v>1261</v>
      </c>
      <c r="B220" s="38" t="s">
        <v>57</v>
      </c>
      <c r="C220" s="37" t="s">
        <v>97</v>
      </c>
      <c r="D220" s="37" t="s">
        <v>65</v>
      </c>
      <c r="E220" s="113">
        <v>40057</v>
      </c>
      <c r="F220" s="43">
        <f t="shared" ca="1" si="6"/>
        <v>14</v>
      </c>
      <c r="G220" s="44" t="s">
        <v>70</v>
      </c>
      <c r="H220" s="45">
        <v>94875</v>
      </c>
      <c r="I220" s="38">
        <v>5</v>
      </c>
      <c r="J220" s="41">
        <f t="shared" si="7"/>
        <v>97465</v>
      </c>
    </row>
    <row r="221" spans="1:10">
      <c r="A221" s="37" t="s">
        <v>870</v>
      </c>
      <c r="B221" s="38" t="s">
        <v>63</v>
      </c>
      <c r="C221" s="37" t="s">
        <v>83</v>
      </c>
      <c r="D221" s="37" t="s">
        <v>65</v>
      </c>
      <c r="E221" s="113">
        <v>43109</v>
      </c>
      <c r="F221" s="43">
        <f t="shared" ca="1" si="6"/>
        <v>5</v>
      </c>
      <c r="G221" s="44" t="s">
        <v>70</v>
      </c>
      <c r="H221" s="45">
        <v>34270</v>
      </c>
      <c r="I221" s="38">
        <v>2</v>
      </c>
      <c r="J221" s="41">
        <f t="shared" si="7"/>
        <v>35206</v>
      </c>
    </row>
    <row r="222" spans="1:10">
      <c r="A222" s="37" t="s">
        <v>586</v>
      </c>
      <c r="B222" s="38" t="s">
        <v>61</v>
      </c>
      <c r="C222" s="37" t="s">
        <v>58</v>
      </c>
      <c r="D222" s="37" t="s">
        <v>65</v>
      </c>
      <c r="E222" s="113">
        <v>42406</v>
      </c>
      <c r="F222" s="43">
        <f t="shared" ca="1" si="6"/>
        <v>7</v>
      </c>
      <c r="G222" s="44" t="s">
        <v>68</v>
      </c>
      <c r="H222" s="45">
        <v>87747</v>
      </c>
      <c r="I222" s="38">
        <v>1</v>
      </c>
      <c r="J222" s="41">
        <f t="shared" si="7"/>
        <v>90142</v>
      </c>
    </row>
    <row r="223" spans="1:10">
      <c r="A223" s="37" t="s">
        <v>587</v>
      </c>
      <c r="B223" s="38" t="s">
        <v>60</v>
      </c>
      <c r="C223" s="37" t="s">
        <v>58</v>
      </c>
      <c r="D223" s="37" t="s">
        <v>59</v>
      </c>
      <c r="E223" s="113">
        <v>42419</v>
      </c>
      <c r="F223" s="43">
        <f t="shared" ca="1" si="6"/>
        <v>7</v>
      </c>
      <c r="G223" s="44"/>
      <c r="H223" s="45">
        <v>68691</v>
      </c>
      <c r="I223" s="38">
        <v>4</v>
      </c>
      <c r="J223" s="41">
        <f t="shared" si="7"/>
        <v>70566</v>
      </c>
    </row>
    <row r="224" spans="1:10">
      <c r="A224" s="37" t="s">
        <v>588</v>
      </c>
      <c r="B224" s="38" t="s">
        <v>60</v>
      </c>
      <c r="C224" s="37" t="s">
        <v>58</v>
      </c>
      <c r="D224" s="37" t="s">
        <v>59</v>
      </c>
      <c r="E224" s="113">
        <v>44534</v>
      </c>
      <c r="F224" s="43">
        <f t="shared" ca="1" si="6"/>
        <v>1</v>
      </c>
      <c r="G224" s="44"/>
      <c r="H224" s="45">
        <v>66001</v>
      </c>
      <c r="I224" s="38">
        <v>3</v>
      </c>
      <c r="J224" s="41">
        <f t="shared" si="7"/>
        <v>67803</v>
      </c>
    </row>
    <row r="225" spans="1:10">
      <c r="A225" s="37" t="s">
        <v>871</v>
      </c>
      <c r="B225" s="38" t="s">
        <v>63</v>
      </c>
      <c r="C225" s="37" t="s">
        <v>83</v>
      </c>
      <c r="D225" s="37" t="s">
        <v>65</v>
      </c>
      <c r="E225" s="113">
        <v>44617</v>
      </c>
      <c r="F225" s="43">
        <f t="shared" ca="1" si="6"/>
        <v>1</v>
      </c>
      <c r="G225" s="44" t="s">
        <v>70</v>
      </c>
      <c r="H225" s="45">
        <v>36322</v>
      </c>
      <c r="I225" s="38">
        <v>5</v>
      </c>
      <c r="J225" s="41">
        <f t="shared" si="7"/>
        <v>37314</v>
      </c>
    </row>
    <row r="226" spans="1:10">
      <c r="A226" s="37" t="s">
        <v>1103</v>
      </c>
      <c r="B226" s="38" t="s">
        <v>61</v>
      </c>
      <c r="C226" s="37" t="s">
        <v>91</v>
      </c>
      <c r="D226" s="37" t="s">
        <v>65</v>
      </c>
      <c r="E226" s="113">
        <v>39903</v>
      </c>
      <c r="F226" s="43">
        <f t="shared" ca="1" si="6"/>
        <v>14</v>
      </c>
      <c r="G226" s="44" t="s">
        <v>68</v>
      </c>
      <c r="H226" s="45">
        <v>95970</v>
      </c>
      <c r="I226" s="38">
        <v>4</v>
      </c>
      <c r="J226" s="41">
        <f t="shared" si="7"/>
        <v>98590</v>
      </c>
    </row>
    <row r="227" spans="1:10">
      <c r="A227" s="37" t="s">
        <v>1278</v>
      </c>
      <c r="B227" s="38" t="s">
        <v>60</v>
      </c>
      <c r="C227" s="37" t="s">
        <v>98</v>
      </c>
      <c r="D227" s="37" t="s">
        <v>72</v>
      </c>
      <c r="E227" s="113">
        <v>43717</v>
      </c>
      <c r="F227" s="43">
        <f t="shared" ca="1" si="6"/>
        <v>4</v>
      </c>
      <c r="G227" s="44"/>
      <c r="H227" s="45">
        <v>14751</v>
      </c>
      <c r="I227" s="38">
        <v>4</v>
      </c>
      <c r="J227" s="41">
        <f t="shared" si="7"/>
        <v>15154</v>
      </c>
    </row>
    <row r="228" spans="1:10">
      <c r="A228" s="37" t="s">
        <v>1035</v>
      </c>
      <c r="B228" s="38" t="s">
        <v>63</v>
      </c>
      <c r="C228" s="37" t="s">
        <v>88</v>
      </c>
      <c r="D228" s="37" t="s">
        <v>59</v>
      </c>
      <c r="E228" s="113">
        <v>39530</v>
      </c>
      <c r="F228" s="43">
        <f t="shared" ca="1" si="6"/>
        <v>15</v>
      </c>
      <c r="G228" s="44"/>
      <c r="H228" s="45">
        <v>34838</v>
      </c>
      <c r="I228" s="38">
        <v>5</v>
      </c>
      <c r="J228" s="41">
        <f t="shared" si="7"/>
        <v>35789</v>
      </c>
    </row>
    <row r="229" spans="1:10">
      <c r="A229" s="37" t="s">
        <v>1171</v>
      </c>
      <c r="B229" s="38" t="s">
        <v>63</v>
      </c>
      <c r="C229" s="37" t="s">
        <v>93</v>
      </c>
      <c r="D229" s="37" t="s">
        <v>65</v>
      </c>
      <c r="E229" s="113">
        <v>44853</v>
      </c>
      <c r="F229" s="43">
        <f t="shared" ca="1" si="6"/>
        <v>0</v>
      </c>
      <c r="G229" s="44" t="s">
        <v>67</v>
      </c>
      <c r="H229" s="45">
        <v>82505</v>
      </c>
      <c r="I229" s="38">
        <v>3</v>
      </c>
      <c r="J229" s="41">
        <f t="shared" si="7"/>
        <v>84757</v>
      </c>
    </row>
    <row r="230" spans="1:10">
      <c r="A230" s="37" t="s">
        <v>703</v>
      </c>
      <c r="B230" s="38" t="s">
        <v>63</v>
      </c>
      <c r="C230" s="37" t="s">
        <v>77</v>
      </c>
      <c r="D230" s="37" t="s">
        <v>59</v>
      </c>
      <c r="E230" s="113">
        <v>43394</v>
      </c>
      <c r="F230" s="43">
        <f t="shared" ca="1" si="6"/>
        <v>4</v>
      </c>
      <c r="G230" s="44"/>
      <c r="H230" s="45">
        <v>59552</v>
      </c>
      <c r="I230" s="38">
        <v>1</v>
      </c>
      <c r="J230" s="41">
        <f t="shared" si="7"/>
        <v>61178</v>
      </c>
    </row>
    <row r="231" spans="1:10">
      <c r="A231" s="37" t="s">
        <v>654</v>
      </c>
      <c r="B231" s="38" t="s">
        <v>57</v>
      </c>
      <c r="C231" s="37" t="s">
        <v>74</v>
      </c>
      <c r="D231" s="37" t="s">
        <v>65</v>
      </c>
      <c r="E231" s="113">
        <v>42365</v>
      </c>
      <c r="F231" s="43">
        <f t="shared" ca="1" si="6"/>
        <v>7</v>
      </c>
      <c r="G231" s="44" t="s">
        <v>68</v>
      </c>
      <c r="H231" s="45">
        <v>111115</v>
      </c>
      <c r="I231" s="38">
        <v>4</v>
      </c>
      <c r="J231" s="41">
        <f t="shared" si="7"/>
        <v>114148</v>
      </c>
    </row>
    <row r="232" spans="1:10">
      <c r="A232" s="37" t="s">
        <v>1172</v>
      </c>
      <c r="B232" s="38" t="s">
        <v>60</v>
      </c>
      <c r="C232" s="37" t="s">
        <v>93</v>
      </c>
      <c r="D232" s="37" t="s">
        <v>65</v>
      </c>
      <c r="E232" s="113">
        <v>43193</v>
      </c>
      <c r="F232" s="43">
        <f t="shared" ca="1" si="6"/>
        <v>5</v>
      </c>
      <c r="G232" s="44" t="s">
        <v>68</v>
      </c>
      <c r="H232" s="45">
        <v>110089</v>
      </c>
      <c r="I232" s="38">
        <v>5</v>
      </c>
      <c r="J232" s="41">
        <f t="shared" si="7"/>
        <v>113094</v>
      </c>
    </row>
    <row r="233" spans="1:10">
      <c r="A233" s="37" t="s">
        <v>779</v>
      </c>
      <c r="B233" s="38" t="s">
        <v>61</v>
      </c>
      <c r="C233" s="37" t="s">
        <v>80</v>
      </c>
      <c r="D233" s="37" t="s">
        <v>65</v>
      </c>
      <c r="E233" s="113">
        <v>39494</v>
      </c>
      <c r="F233" s="43">
        <f t="shared" ca="1" si="6"/>
        <v>15</v>
      </c>
      <c r="G233" s="44" t="s">
        <v>68</v>
      </c>
      <c r="H233" s="45">
        <v>95027</v>
      </c>
      <c r="I233" s="38">
        <v>5</v>
      </c>
      <c r="J233" s="41">
        <f t="shared" si="7"/>
        <v>97621</v>
      </c>
    </row>
    <row r="234" spans="1:10">
      <c r="A234" s="37" t="s">
        <v>1069</v>
      </c>
      <c r="B234" s="38" t="s">
        <v>63</v>
      </c>
      <c r="C234" s="37" t="s">
        <v>90</v>
      </c>
      <c r="D234" s="37" t="s">
        <v>65</v>
      </c>
      <c r="E234" s="113">
        <v>44432</v>
      </c>
      <c r="F234" s="43">
        <f t="shared" ca="1" si="6"/>
        <v>2</v>
      </c>
      <c r="G234" s="44" t="s">
        <v>68</v>
      </c>
      <c r="H234" s="45">
        <v>113071</v>
      </c>
      <c r="I234" s="38">
        <v>5</v>
      </c>
      <c r="J234" s="41">
        <f t="shared" si="7"/>
        <v>116158</v>
      </c>
    </row>
    <row r="235" spans="1:10">
      <c r="A235" s="37" t="s">
        <v>1036</v>
      </c>
      <c r="B235" s="38" t="s">
        <v>57</v>
      </c>
      <c r="C235" s="37" t="s">
        <v>88</v>
      </c>
      <c r="D235" s="37" t="s">
        <v>59</v>
      </c>
      <c r="E235" s="113">
        <v>43850</v>
      </c>
      <c r="F235" s="43">
        <f t="shared" ca="1" si="6"/>
        <v>3</v>
      </c>
      <c r="G235" s="44"/>
      <c r="H235" s="45">
        <v>63394</v>
      </c>
      <c r="I235" s="38">
        <v>3</v>
      </c>
      <c r="J235" s="41">
        <f t="shared" si="7"/>
        <v>65125</v>
      </c>
    </row>
    <row r="236" spans="1:10">
      <c r="A236" s="37" t="s">
        <v>1070</v>
      </c>
      <c r="B236" s="38" t="s">
        <v>61</v>
      </c>
      <c r="C236" s="37" t="s">
        <v>90</v>
      </c>
      <c r="D236" s="37" t="s">
        <v>65</v>
      </c>
      <c r="E236" s="113">
        <v>44176</v>
      </c>
      <c r="F236" s="43">
        <f t="shared" ca="1" si="6"/>
        <v>2</v>
      </c>
      <c r="G236" s="44" t="s">
        <v>68</v>
      </c>
      <c r="H236" s="45">
        <v>121974</v>
      </c>
      <c r="I236" s="38">
        <v>4</v>
      </c>
      <c r="J236" s="41">
        <f t="shared" si="7"/>
        <v>125304</v>
      </c>
    </row>
    <row r="237" spans="1:10">
      <c r="A237" s="37" t="s">
        <v>1173</v>
      </c>
      <c r="B237" s="38" t="s">
        <v>61</v>
      </c>
      <c r="C237" s="37" t="s">
        <v>93</v>
      </c>
      <c r="D237" s="37" t="s">
        <v>59</v>
      </c>
      <c r="E237" s="113">
        <v>42678</v>
      </c>
      <c r="F237" s="43">
        <f t="shared" ca="1" si="6"/>
        <v>6</v>
      </c>
      <c r="G237" s="44"/>
      <c r="H237" s="45">
        <v>97288</v>
      </c>
      <c r="I237" s="38">
        <v>2</v>
      </c>
      <c r="J237" s="41">
        <f t="shared" si="7"/>
        <v>99944</v>
      </c>
    </row>
    <row r="238" spans="1:10">
      <c r="A238" s="37" t="s">
        <v>872</v>
      </c>
      <c r="B238" s="38" t="s">
        <v>61</v>
      </c>
      <c r="C238" s="37" t="s">
        <v>83</v>
      </c>
      <c r="D238" s="37" t="s">
        <v>65</v>
      </c>
      <c r="E238" s="113">
        <v>44194</v>
      </c>
      <c r="F238" s="43">
        <f t="shared" ca="1" si="6"/>
        <v>2</v>
      </c>
      <c r="G238" s="44" t="s">
        <v>66</v>
      </c>
      <c r="H238" s="45">
        <v>61382</v>
      </c>
      <c r="I238" s="38">
        <v>1</v>
      </c>
      <c r="J238" s="41">
        <f t="shared" si="7"/>
        <v>63058</v>
      </c>
    </row>
    <row r="239" spans="1:10">
      <c r="A239" s="37" t="s">
        <v>1174</v>
      </c>
      <c r="B239" s="38" t="s">
        <v>61</v>
      </c>
      <c r="C239" s="37" t="s">
        <v>93</v>
      </c>
      <c r="D239" s="37" t="s">
        <v>59</v>
      </c>
      <c r="E239" s="113">
        <v>43310</v>
      </c>
      <c r="F239" s="43">
        <f t="shared" ca="1" si="6"/>
        <v>5</v>
      </c>
      <c r="G239" s="44"/>
      <c r="H239" s="45">
        <v>32369</v>
      </c>
      <c r="I239" s="38">
        <v>4</v>
      </c>
      <c r="J239" s="41">
        <f t="shared" si="7"/>
        <v>33253</v>
      </c>
    </row>
    <row r="240" spans="1:10">
      <c r="A240" s="37" t="s">
        <v>589</v>
      </c>
      <c r="B240" s="38" t="s">
        <v>57</v>
      </c>
      <c r="C240" s="37" t="s">
        <v>58</v>
      </c>
      <c r="D240" s="37" t="s">
        <v>65</v>
      </c>
      <c r="E240" s="113">
        <v>42381</v>
      </c>
      <c r="F240" s="43">
        <f t="shared" ca="1" si="6"/>
        <v>7</v>
      </c>
      <c r="G240" s="44" t="s">
        <v>67</v>
      </c>
      <c r="H240" s="45">
        <v>86939</v>
      </c>
      <c r="I240" s="38">
        <v>3</v>
      </c>
      <c r="J240" s="41">
        <f t="shared" si="7"/>
        <v>89312</v>
      </c>
    </row>
    <row r="241" spans="1:10">
      <c r="A241" s="37" t="s">
        <v>1175</v>
      </c>
      <c r="B241" s="38" t="s">
        <v>64</v>
      </c>
      <c r="C241" s="37" t="s">
        <v>93</v>
      </c>
      <c r="D241" s="37" t="s">
        <v>65</v>
      </c>
      <c r="E241" s="113">
        <v>42682</v>
      </c>
      <c r="F241" s="43">
        <f t="shared" ca="1" si="6"/>
        <v>6</v>
      </c>
      <c r="G241" s="44" t="s">
        <v>70</v>
      </c>
      <c r="H241" s="45">
        <v>64364</v>
      </c>
      <c r="I241" s="38">
        <v>2</v>
      </c>
      <c r="J241" s="41">
        <f t="shared" si="7"/>
        <v>66121</v>
      </c>
    </row>
    <row r="242" spans="1:10">
      <c r="A242" s="37" t="s">
        <v>987</v>
      </c>
      <c r="B242" s="38" t="s">
        <v>61</v>
      </c>
      <c r="C242" s="37" t="s">
        <v>87</v>
      </c>
      <c r="D242" s="37" t="s">
        <v>65</v>
      </c>
      <c r="E242" s="113">
        <v>42738</v>
      </c>
      <c r="F242" s="43">
        <f t="shared" ca="1" si="6"/>
        <v>6</v>
      </c>
      <c r="G242" s="44" t="s">
        <v>66</v>
      </c>
      <c r="H242" s="45">
        <v>62658</v>
      </c>
      <c r="I242" s="38">
        <v>5</v>
      </c>
      <c r="J242" s="41">
        <f t="shared" si="7"/>
        <v>64369</v>
      </c>
    </row>
    <row r="243" spans="1:10">
      <c r="A243" s="37" t="s">
        <v>813</v>
      </c>
      <c r="B243" s="38" t="s">
        <v>61</v>
      </c>
      <c r="C243" s="37" t="s">
        <v>82</v>
      </c>
      <c r="D243" s="37" t="s">
        <v>71</v>
      </c>
      <c r="E243" s="113">
        <v>41096</v>
      </c>
      <c r="F243" s="43">
        <f t="shared" ca="1" si="6"/>
        <v>11</v>
      </c>
      <c r="G243" s="44" t="s">
        <v>69</v>
      </c>
      <c r="H243" s="45">
        <v>71839</v>
      </c>
      <c r="I243" s="38">
        <v>1</v>
      </c>
      <c r="J243" s="41">
        <f t="shared" si="7"/>
        <v>73800</v>
      </c>
    </row>
    <row r="244" spans="1:10">
      <c r="A244" s="37" t="s">
        <v>590</v>
      </c>
      <c r="B244" s="38" t="s">
        <v>63</v>
      </c>
      <c r="C244" s="37" t="s">
        <v>58</v>
      </c>
      <c r="D244" s="37" t="s">
        <v>59</v>
      </c>
      <c r="E244" s="113">
        <v>43400</v>
      </c>
      <c r="F244" s="43">
        <f t="shared" ca="1" si="6"/>
        <v>4</v>
      </c>
      <c r="G244" s="44"/>
      <c r="H244" s="45">
        <v>81340</v>
      </c>
      <c r="I244" s="38">
        <v>4</v>
      </c>
      <c r="J244" s="41">
        <f t="shared" si="7"/>
        <v>83561</v>
      </c>
    </row>
    <row r="245" spans="1:10">
      <c r="A245" s="37" t="s">
        <v>1104</v>
      </c>
      <c r="B245" s="38" t="s">
        <v>64</v>
      </c>
      <c r="C245" s="37" t="s">
        <v>91</v>
      </c>
      <c r="D245" s="37" t="s">
        <v>71</v>
      </c>
      <c r="E245" s="113">
        <v>41406</v>
      </c>
      <c r="F245" s="43">
        <f t="shared" ca="1" si="6"/>
        <v>10</v>
      </c>
      <c r="G245" s="44" t="s">
        <v>68</v>
      </c>
      <c r="H245" s="45">
        <v>67595</v>
      </c>
      <c r="I245" s="38">
        <v>1</v>
      </c>
      <c r="J245" s="41">
        <f t="shared" si="7"/>
        <v>69440</v>
      </c>
    </row>
    <row r="246" spans="1:10">
      <c r="A246" s="37" t="s">
        <v>873</v>
      </c>
      <c r="B246" s="38" t="s">
        <v>63</v>
      </c>
      <c r="C246" s="37" t="s">
        <v>83</v>
      </c>
      <c r="D246" s="37" t="s">
        <v>71</v>
      </c>
      <c r="E246" s="113">
        <v>40094</v>
      </c>
      <c r="F246" s="43">
        <f t="shared" ca="1" si="6"/>
        <v>13</v>
      </c>
      <c r="G246" s="44" t="s">
        <v>66</v>
      </c>
      <c r="H246" s="45">
        <v>57714</v>
      </c>
      <c r="I246" s="38">
        <v>1</v>
      </c>
      <c r="J246" s="41">
        <f t="shared" si="7"/>
        <v>59290</v>
      </c>
    </row>
    <row r="247" spans="1:10">
      <c r="A247" s="37" t="s">
        <v>874</v>
      </c>
      <c r="B247" s="38" t="s">
        <v>62</v>
      </c>
      <c r="C247" s="37" t="s">
        <v>83</v>
      </c>
      <c r="D247" s="37" t="s">
        <v>65</v>
      </c>
      <c r="E247" s="113">
        <v>43188</v>
      </c>
      <c r="F247" s="43">
        <f t="shared" ca="1" si="6"/>
        <v>5</v>
      </c>
      <c r="G247" s="44" t="s">
        <v>68</v>
      </c>
      <c r="H247" s="45">
        <v>112350</v>
      </c>
      <c r="I247" s="38">
        <v>4</v>
      </c>
      <c r="J247" s="41">
        <f t="shared" si="7"/>
        <v>115417</v>
      </c>
    </row>
    <row r="248" spans="1:10">
      <c r="A248" s="37" t="s">
        <v>684</v>
      </c>
      <c r="B248" s="38" t="s">
        <v>64</v>
      </c>
      <c r="C248" s="37" t="s">
        <v>76</v>
      </c>
      <c r="D248" s="37" t="s">
        <v>65</v>
      </c>
      <c r="E248" s="113">
        <v>39773</v>
      </c>
      <c r="F248" s="43">
        <f t="shared" ca="1" si="6"/>
        <v>14</v>
      </c>
      <c r="G248" s="44" t="s">
        <v>70</v>
      </c>
      <c r="H248" s="45">
        <v>94722</v>
      </c>
      <c r="I248" s="38">
        <v>5</v>
      </c>
      <c r="J248" s="41">
        <f t="shared" si="7"/>
        <v>97308</v>
      </c>
    </row>
    <row r="249" spans="1:10">
      <c r="A249" s="37" t="s">
        <v>988</v>
      </c>
      <c r="B249" s="38" t="s">
        <v>63</v>
      </c>
      <c r="C249" s="37" t="s">
        <v>87</v>
      </c>
      <c r="D249" s="37" t="s">
        <v>65</v>
      </c>
      <c r="E249" s="113">
        <v>43952</v>
      </c>
      <c r="F249" s="43">
        <f t="shared" ca="1" si="6"/>
        <v>3</v>
      </c>
      <c r="G249" s="44" t="s">
        <v>66</v>
      </c>
      <c r="H249" s="45">
        <v>105096</v>
      </c>
      <c r="I249" s="38">
        <v>2</v>
      </c>
      <c r="J249" s="41">
        <f t="shared" si="7"/>
        <v>107965</v>
      </c>
    </row>
    <row r="250" spans="1:10">
      <c r="A250" s="37" t="s">
        <v>1176</v>
      </c>
      <c r="B250" s="38" t="s">
        <v>62</v>
      </c>
      <c r="C250" s="37" t="s">
        <v>93</v>
      </c>
      <c r="D250" s="37" t="s">
        <v>65</v>
      </c>
      <c r="E250" s="113">
        <v>40434</v>
      </c>
      <c r="F250" s="43">
        <f t="shared" ca="1" si="6"/>
        <v>13</v>
      </c>
      <c r="G250" s="44" t="s">
        <v>70</v>
      </c>
      <c r="H250" s="45">
        <v>66056</v>
      </c>
      <c r="I250" s="38">
        <v>3</v>
      </c>
      <c r="J250" s="41">
        <f t="shared" si="7"/>
        <v>67859</v>
      </c>
    </row>
    <row r="251" spans="1:10">
      <c r="A251" s="37" t="s">
        <v>704</v>
      </c>
      <c r="B251" s="38" t="s">
        <v>61</v>
      </c>
      <c r="C251" s="37" t="s">
        <v>77</v>
      </c>
      <c r="D251" s="37" t="s">
        <v>71</v>
      </c>
      <c r="E251" s="113">
        <v>44368</v>
      </c>
      <c r="F251" s="43">
        <f t="shared" ca="1" si="6"/>
        <v>2</v>
      </c>
      <c r="G251" s="44" t="s">
        <v>67</v>
      </c>
      <c r="H251" s="45">
        <v>19139</v>
      </c>
      <c r="I251" s="38">
        <v>3</v>
      </c>
      <c r="J251" s="41">
        <f t="shared" si="7"/>
        <v>19661</v>
      </c>
    </row>
    <row r="252" spans="1:10">
      <c r="A252" s="37" t="s">
        <v>1177</v>
      </c>
      <c r="B252" s="38" t="s">
        <v>61</v>
      </c>
      <c r="C252" s="37" t="s">
        <v>93</v>
      </c>
      <c r="D252" s="37" t="s">
        <v>71</v>
      </c>
      <c r="E252" s="113">
        <v>40053</v>
      </c>
      <c r="F252" s="43">
        <f t="shared" ca="1" si="6"/>
        <v>14</v>
      </c>
      <c r="G252" s="44" t="s">
        <v>70</v>
      </c>
      <c r="H252" s="45">
        <v>36315</v>
      </c>
      <c r="I252" s="38">
        <v>5</v>
      </c>
      <c r="J252" s="41">
        <f t="shared" si="7"/>
        <v>37306</v>
      </c>
    </row>
    <row r="253" spans="1:10">
      <c r="A253" s="37" t="s">
        <v>591</v>
      </c>
      <c r="B253" s="38" t="s">
        <v>64</v>
      </c>
      <c r="C253" s="37" t="s">
        <v>58</v>
      </c>
      <c r="D253" s="37" t="s">
        <v>59</v>
      </c>
      <c r="E253" s="113">
        <v>42889</v>
      </c>
      <c r="F253" s="43">
        <f t="shared" ca="1" si="6"/>
        <v>6</v>
      </c>
      <c r="G253" s="44"/>
      <c r="H253" s="45">
        <v>106608</v>
      </c>
      <c r="I253" s="38">
        <v>5</v>
      </c>
      <c r="J253" s="41">
        <f t="shared" si="7"/>
        <v>109518</v>
      </c>
    </row>
    <row r="254" spans="1:10">
      <c r="A254" s="37" t="s">
        <v>1178</v>
      </c>
      <c r="B254" s="38" t="s">
        <v>61</v>
      </c>
      <c r="C254" s="37" t="s">
        <v>93</v>
      </c>
      <c r="D254" s="37" t="s">
        <v>59</v>
      </c>
      <c r="E254" s="113">
        <v>44391</v>
      </c>
      <c r="F254" s="43">
        <f t="shared" ca="1" si="6"/>
        <v>2</v>
      </c>
      <c r="G254" s="44"/>
      <c r="H254" s="45">
        <v>86651</v>
      </c>
      <c r="I254" s="38">
        <v>5</v>
      </c>
      <c r="J254" s="41">
        <f t="shared" si="7"/>
        <v>89017</v>
      </c>
    </row>
    <row r="255" spans="1:10">
      <c r="A255" s="37" t="s">
        <v>592</v>
      </c>
      <c r="B255" s="38" t="s">
        <v>64</v>
      </c>
      <c r="C255" s="37" t="s">
        <v>58</v>
      </c>
      <c r="D255" s="37" t="s">
        <v>71</v>
      </c>
      <c r="E255" s="113">
        <v>39417</v>
      </c>
      <c r="F255" s="43">
        <f t="shared" ca="1" si="6"/>
        <v>15</v>
      </c>
      <c r="G255" s="44" t="s">
        <v>68</v>
      </c>
      <c r="H255" s="45">
        <v>43277</v>
      </c>
      <c r="I255" s="38">
        <v>2</v>
      </c>
      <c r="J255" s="41">
        <f t="shared" si="7"/>
        <v>44458</v>
      </c>
    </row>
    <row r="256" spans="1:10">
      <c r="A256" s="37" t="s">
        <v>1179</v>
      </c>
      <c r="B256" s="38" t="s">
        <v>61</v>
      </c>
      <c r="C256" s="37" t="s">
        <v>93</v>
      </c>
      <c r="D256" s="37" t="s">
        <v>65</v>
      </c>
      <c r="E256" s="113">
        <v>40558</v>
      </c>
      <c r="F256" s="43">
        <f t="shared" ca="1" si="6"/>
        <v>12</v>
      </c>
      <c r="G256" s="44" t="s">
        <v>68</v>
      </c>
      <c r="H256" s="45">
        <v>87455</v>
      </c>
      <c r="I256" s="38">
        <v>4</v>
      </c>
      <c r="J256" s="41">
        <f t="shared" si="7"/>
        <v>89843</v>
      </c>
    </row>
    <row r="257" spans="1:10">
      <c r="A257" s="37" t="s">
        <v>1180</v>
      </c>
      <c r="B257" s="38" t="s">
        <v>62</v>
      </c>
      <c r="C257" s="37" t="s">
        <v>93</v>
      </c>
      <c r="D257" s="37" t="s">
        <v>65</v>
      </c>
      <c r="E257" s="113">
        <v>43313</v>
      </c>
      <c r="F257" s="43">
        <f t="shared" ca="1" si="6"/>
        <v>5</v>
      </c>
      <c r="G257" s="44" t="s">
        <v>68</v>
      </c>
      <c r="H257" s="45">
        <v>61757</v>
      </c>
      <c r="I257" s="38">
        <v>2</v>
      </c>
      <c r="J257" s="41">
        <f t="shared" si="7"/>
        <v>63443</v>
      </c>
    </row>
    <row r="258" spans="1:10">
      <c r="A258" s="37" t="s">
        <v>1251</v>
      </c>
      <c r="B258" s="38" t="s">
        <v>57</v>
      </c>
      <c r="C258" s="37" t="s">
        <v>96</v>
      </c>
      <c r="D258" s="37" t="s">
        <v>71</v>
      </c>
      <c r="E258" s="113">
        <v>40148</v>
      </c>
      <c r="F258" s="43">
        <f t="shared" ref="F258:F321" ca="1" si="8">DATEDIF(E258,TODAY(),"Y")</f>
        <v>13</v>
      </c>
      <c r="G258" s="44" t="s">
        <v>68</v>
      </c>
      <c r="H258" s="45">
        <v>43340</v>
      </c>
      <c r="I258" s="38">
        <v>2</v>
      </c>
      <c r="J258" s="41">
        <f t="shared" ref="J258:J321" si="9">ROUND(H258*$L$1+H258,0)</f>
        <v>44523</v>
      </c>
    </row>
    <row r="259" spans="1:10">
      <c r="A259" s="37" t="s">
        <v>875</v>
      </c>
      <c r="B259" s="38" t="s">
        <v>60</v>
      </c>
      <c r="C259" s="37" t="s">
        <v>83</v>
      </c>
      <c r="D259" s="37" t="s">
        <v>65</v>
      </c>
      <c r="E259" s="113">
        <v>44616</v>
      </c>
      <c r="F259" s="43">
        <f t="shared" ca="1" si="8"/>
        <v>1</v>
      </c>
      <c r="G259" s="44" t="s">
        <v>70</v>
      </c>
      <c r="H259" s="45">
        <v>81700</v>
      </c>
      <c r="I259" s="38">
        <v>1</v>
      </c>
      <c r="J259" s="41">
        <f t="shared" si="9"/>
        <v>83930</v>
      </c>
    </row>
    <row r="260" spans="1:10">
      <c r="A260" s="37" t="s">
        <v>780</v>
      </c>
      <c r="B260" s="38" t="s">
        <v>62</v>
      </c>
      <c r="C260" s="37" t="s">
        <v>80</v>
      </c>
      <c r="D260" s="37" t="s">
        <v>59</v>
      </c>
      <c r="E260" s="113">
        <v>44211</v>
      </c>
      <c r="F260" s="43">
        <f t="shared" ca="1" si="8"/>
        <v>2</v>
      </c>
      <c r="G260" s="44"/>
      <c r="H260" s="45">
        <v>116912</v>
      </c>
      <c r="I260" s="38">
        <v>1</v>
      </c>
      <c r="J260" s="41">
        <f t="shared" si="9"/>
        <v>120104</v>
      </c>
    </row>
    <row r="261" spans="1:10">
      <c r="A261" s="37" t="s">
        <v>760</v>
      </c>
      <c r="B261" s="38" t="s">
        <v>60</v>
      </c>
      <c r="C261" s="37" t="s">
        <v>79</v>
      </c>
      <c r="D261" s="37" t="s">
        <v>65</v>
      </c>
      <c r="E261" s="113">
        <v>43991</v>
      </c>
      <c r="F261" s="43">
        <f t="shared" ca="1" si="8"/>
        <v>3</v>
      </c>
      <c r="G261" s="44" t="s">
        <v>70</v>
      </c>
      <c r="H261" s="45">
        <v>109770</v>
      </c>
      <c r="I261" s="38">
        <v>2</v>
      </c>
      <c r="J261" s="41">
        <f t="shared" si="9"/>
        <v>112767</v>
      </c>
    </row>
    <row r="262" spans="1:10">
      <c r="A262" s="37" t="s">
        <v>989</v>
      </c>
      <c r="B262" s="38" t="s">
        <v>63</v>
      </c>
      <c r="C262" s="37" t="s">
        <v>87</v>
      </c>
      <c r="D262" s="37" t="s">
        <v>65</v>
      </c>
      <c r="E262" s="113">
        <v>44038</v>
      </c>
      <c r="F262" s="43">
        <f t="shared" ca="1" si="8"/>
        <v>3</v>
      </c>
      <c r="G262" s="44" t="s">
        <v>68</v>
      </c>
      <c r="H262" s="45">
        <v>47112</v>
      </c>
      <c r="I262" s="38">
        <v>4</v>
      </c>
      <c r="J262" s="41">
        <f t="shared" si="9"/>
        <v>48398</v>
      </c>
    </row>
    <row r="263" spans="1:10">
      <c r="A263" s="37" t="s">
        <v>705</v>
      </c>
      <c r="B263" s="38" t="s">
        <v>64</v>
      </c>
      <c r="C263" s="37" t="s">
        <v>77</v>
      </c>
      <c r="D263" s="37" t="s">
        <v>59</v>
      </c>
      <c r="E263" s="113">
        <v>43824</v>
      </c>
      <c r="F263" s="43">
        <f t="shared" ca="1" si="8"/>
        <v>3</v>
      </c>
      <c r="G263" s="44"/>
      <c r="H263" s="45">
        <v>89300</v>
      </c>
      <c r="I263" s="38">
        <v>2</v>
      </c>
      <c r="J263" s="41">
        <f t="shared" si="9"/>
        <v>91738</v>
      </c>
    </row>
    <row r="264" spans="1:10">
      <c r="A264" s="37" t="s">
        <v>1181</v>
      </c>
      <c r="B264" s="38" t="s">
        <v>61</v>
      </c>
      <c r="C264" s="37" t="s">
        <v>93</v>
      </c>
      <c r="D264" s="37" t="s">
        <v>72</v>
      </c>
      <c r="E264" s="113">
        <v>42799</v>
      </c>
      <c r="F264" s="43">
        <f t="shared" ca="1" si="8"/>
        <v>6</v>
      </c>
      <c r="G264" s="44"/>
      <c r="H264" s="45">
        <v>37367</v>
      </c>
      <c r="I264" s="38">
        <v>4</v>
      </c>
      <c r="J264" s="41">
        <f t="shared" si="9"/>
        <v>38387</v>
      </c>
    </row>
    <row r="265" spans="1:10">
      <c r="A265" s="37" t="s">
        <v>1037</v>
      </c>
      <c r="B265" s="38" t="s">
        <v>63</v>
      </c>
      <c r="C265" s="37" t="s">
        <v>88</v>
      </c>
      <c r="D265" s="37" t="s">
        <v>65</v>
      </c>
      <c r="E265" s="113">
        <v>44301</v>
      </c>
      <c r="F265" s="43">
        <f t="shared" ca="1" si="8"/>
        <v>2</v>
      </c>
      <c r="G265" s="44" t="s">
        <v>70</v>
      </c>
      <c r="H265" s="45">
        <v>44574</v>
      </c>
      <c r="I265" s="38">
        <v>2</v>
      </c>
      <c r="J265" s="41">
        <f t="shared" si="9"/>
        <v>45791</v>
      </c>
    </row>
    <row r="266" spans="1:10">
      <c r="A266" s="37" t="s">
        <v>781</v>
      </c>
      <c r="B266" s="38" t="s">
        <v>64</v>
      </c>
      <c r="C266" s="37" t="s">
        <v>80</v>
      </c>
      <c r="D266" s="37" t="s">
        <v>59</v>
      </c>
      <c r="E266" s="113">
        <v>43374</v>
      </c>
      <c r="F266" s="43">
        <f t="shared" ca="1" si="8"/>
        <v>4</v>
      </c>
      <c r="G266" s="44"/>
      <c r="H266" s="45">
        <v>74890</v>
      </c>
      <c r="I266" s="38">
        <v>3</v>
      </c>
      <c r="J266" s="41">
        <f t="shared" si="9"/>
        <v>76934</v>
      </c>
    </row>
    <row r="267" spans="1:10">
      <c r="A267" s="37" t="s">
        <v>782</v>
      </c>
      <c r="B267" s="38" t="s">
        <v>62</v>
      </c>
      <c r="C267" s="37" t="s">
        <v>80</v>
      </c>
      <c r="D267" s="37" t="s">
        <v>71</v>
      </c>
      <c r="E267" s="113">
        <v>42890</v>
      </c>
      <c r="F267" s="43">
        <f t="shared" ca="1" si="8"/>
        <v>6</v>
      </c>
      <c r="G267" s="44" t="s">
        <v>69</v>
      </c>
      <c r="H267" s="45">
        <v>66236</v>
      </c>
      <c r="I267" s="38">
        <v>3</v>
      </c>
      <c r="J267" s="41">
        <f t="shared" si="9"/>
        <v>68044</v>
      </c>
    </row>
    <row r="268" spans="1:10">
      <c r="A268" s="37" t="s">
        <v>593</v>
      </c>
      <c r="B268" s="38" t="s">
        <v>63</v>
      </c>
      <c r="C268" s="37" t="s">
        <v>58</v>
      </c>
      <c r="D268" s="37" t="s">
        <v>59</v>
      </c>
      <c r="E268" s="113">
        <v>42700</v>
      </c>
      <c r="F268" s="43">
        <f t="shared" ca="1" si="8"/>
        <v>6</v>
      </c>
      <c r="G268" s="44"/>
      <c r="H268" s="45">
        <v>45933</v>
      </c>
      <c r="I268" s="38">
        <v>2</v>
      </c>
      <c r="J268" s="41">
        <f t="shared" si="9"/>
        <v>47187</v>
      </c>
    </row>
    <row r="269" spans="1:10">
      <c r="A269" s="37" t="s">
        <v>1105</v>
      </c>
      <c r="B269" s="38" t="s">
        <v>63</v>
      </c>
      <c r="C269" s="37" t="s">
        <v>91</v>
      </c>
      <c r="D269" s="37" t="s">
        <v>59</v>
      </c>
      <c r="E269" s="113">
        <v>40233</v>
      </c>
      <c r="F269" s="43">
        <f t="shared" ca="1" si="8"/>
        <v>13</v>
      </c>
      <c r="G269" s="44"/>
      <c r="H269" s="45">
        <v>107842</v>
      </c>
      <c r="I269" s="38">
        <v>3</v>
      </c>
      <c r="J269" s="41">
        <f t="shared" si="9"/>
        <v>110786</v>
      </c>
    </row>
    <row r="270" spans="1:10">
      <c r="A270" s="37" t="s">
        <v>1038</v>
      </c>
      <c r="B270" s="38" t="s">
        <v>63</v>
      </c>
      <c r="C270" s="37" t="s">
        <v>88</v>
      </c>
      <c r="D270" s="37" t="s">
        <v>72</v>
      </c>
      <c r="E270" s="113">
        <v>43484</v>
      </c>
      <c r="F270" s="43">
        <f t="shared" ca="1" si="8"/>
        <v>4</v>
      </c>
      <c r="G270" s="44"/>
      <c r="H270" s="45">
        <v>21834</v>
      </c>
      <c r="I270" s="38">
        <v>3</v>
      </c>
      <c r="J270" s="41">
        <f t="shared" si="9"/>
        <v>22430</v>
      </c>
    </row>
    <row r="271" spans="1:10">
      <c r="A271" s="37" t="s">
        <v>1182</v>
      </c>
      <c r="B271" s="38" t="s">
        <v>64</v>
      </c>
      <c r="C271" s="37" t="s">
        <v>93</v>
      </c>
      <c r="D271" s="37" t="s">
        <v>59</v>
      </c>
      <c r="E271" s="113">
        <v>44042</v>
      </c>
      <c r="F271" s="43">
        <f t="shared" ca="1" si="8"/>
        <v>3</v>
      </c>
      <c r="G271" s="44"/>
      <c r="H271" s="45">
        <v>121808</v>
      </c>
      <c r="I271" s="38">
        <v>2</v>
      </c>
      <c r="J271" s="41">
        <f t="shared" si="9"/>
        <v>125133</v>
      </c>
    </row>
    <row r="272" spans="1:10">
      <c r="A272" s="37" t="s">
        <v>990</v>
      </c>
      <c r="B272" s="38" t="s">
        <v>62</v>
      </c>
      <c r="C272" s="37" t="s">
        <v>87</v>
      </c>
      <c r="D272" s="37" t="s">
        <v>65</v>
      </c>
      <c r="E272" s="113">
        <v>44303</v>
      </c>
      <c r="F272" s="43">
        <f t="shared" ca="1" si="8"/>
        <v>2</v>
      </c>
      <c r="G272" s="44" t="s">
        <v>68</v>
      </c>
      <c r="H272" s="45">
        <v>31759</v>
      </c>
      <c r="I272" s="38">
        <v>1</v>
      </c>
      <c r="J272" s="41">
        <f t="shared" si="9"/>
        <v>32626</v>
      </c>
    </row>
    <row r="273" spans="1:10">
      <c r="A273" s="37" t="s">
        <v>706</v>
      </c>
      <c r="B273" s="38" t="s">
        <v>63</v>
      </c>
      <c r="C273" s="37" t="s">
        <v>77</v>
      </c>
      <c r="D273" s="37" t="s">
        <v>65</v>
      </c>
      <c r="E273" s="113">
        <v>44471</v>
      </c>
      <c r="F273" s="43">
        <f t="shared" ca="1" si="8"/>
        <v>1</v>
      </c>
      <c r="G273" s="44" t="s">
        <v>67</v>
      </c>
      <c r="H273" s="45">
        <v>85153</v>
      </c>
      <c r="I273" s="38">
        <v>5</v>
      </c>
      <c r="J273" s="41">
        <f t="shared" si="9"/>
        <v>87478</v>
      </c>
    </row>
    <row r="274" spans="1:10">
      <c r="A274" s="37" t="s">
        <v>876</v>
      </c>
      <c r="B274" s="38" t="s">
        <v>63</v>
      </c>
      <c r="C274" s="37" t="s">
        <v>83</v>
      </c>
      <c r="D274" s="37" t="s">
        <v>65</v>
      </c>
      <c r="E274" s="113">
        <v>42855</v>
      </c>
      <c r="F274" s="43">
        <f t="shared" ca="1" si="8"/>
        <v>6</v>
      </c>
      <c r="G274" s="44" t="s">
        <v>70</v>
      </c>
      <c r="H274" s="45">
        <v>113694</v>
      </c>
      <c r="I274" s="38">
        <v>2</v>
      </c>
      <c r="J274" s="41">
        <f t="shared" si="9"/>
        <v>116798</v>
      </c>
    </row>
    <row r="275" spans="1:10">
      <c r="A275" s="37" t="s">
        <v>783</v>
      </c>
      <c r="B275" s="38" t="s">
        <v>61</v>
      </c>
      <c r="C275" s="37" t="s">
        <v>80</v>
      </c>
      <c r="D275" s="37" t="s">
        <v>65</v>
      </c>
      <c r="E275" s="113">
        <v>42711</v>
      </c>
      <c r="F275" s="43">
        <f t="shared" ca="1" si="8"/>
        <v>6</v>
      </c>
      <c r="G275" s="44" t="s">
        <v>68</v>
      </c>
      <c r="H275" s="45">
        <v>123223</v>
      </c>
      <c r="I275" s="38">
        <v>3</v>
      </c>
      <c r="J275" s="41">
        <f t="shared" si="9"/>
        <v>126587</v>
      </c>
    </row>
    <row r="276" spans="1:10">
      <c r="A276" s="37" t="s">
        <v>1183</v>
      </c>
      <c r="B276" s="38" t="s">
        <v>61</v>
      </c>
      <c r="C276" s="37" t="s">
        <v>93</v>
      </c>
      <c r="D276" s="37" t="s">
        <v>71</v>
      </c>
      <c r="E276" s="113">
        <v>44287</v>
      </c>
      <c r="F276" s="43">
        <f t="shared" ca="1" si="8"/>
        <v>2</v>
      </c>
      <c r="G276" s="44" t="s">
        <v>70</v>
      </c>
      <c r="H276" s="45">
        <v>18660</v>
      </c>
      <c r="I276" s="38">
        <v>2</v>
      </c>
      <c r="J276" s="41">
        <f t="shared" si="9"/>
        <v>19169</v>
      </c>
    </row>
    <row r="277" spans="1:10">
      <c r="A277" s="37" t="s">
        <v>970</v>
      </c>
      <c r="B277" s="38" t="s">
        <v>57</v>
      </c>
      <c r="C277" s="37" t="s">
        <v>86</v>
      </c>
      <c r="D277" s="37" t="s">
        <v>59</v>
      </c>
      <c r="E277" s="113">
        <v>43883</v>
      </c>
      <c r="F277" s="43">
        <f t="shared" ca="1" si="8"/>
        <v>3</v>
      </c>
      <c r="G277" s="44"/>
      <c r="H277" s="45">
        <v>85833</v>
      </c>
      <c r="I277" s="38">
        <v>2</v>
      </c>
      <c r="J277" s="41">
        <f t="shared" si="9"/>
        <v>88176</v>
      </c>
    </row>
    <row r="278" spans="1:10">
      <c r="A278" s="37" t="s">
        <v>752</v>
      </c>
      <c r="B278" s="38" t="s">
        <v>61</v>
      </c>
      <c r="C278" s="37" t="s">
        <v>78</v>
      </c>
      <c r="D278" s="37" t="s">
        <v>59</v>
      </c>
      <c r="E278" s="113">
        <v>42346</v>
      </c>
      <c r="F278" s="43">
        <f t="shared" ca="1" si="8"/>
        <v>7</v>
      </c>
      <c r="G278" s="44"/>
      <c r="H278" s="45">
        <v>109367</v>
      </c>
      <c r="I278" s="38">
        <v>2</v>
      </c>
      <c r="J278" s="41">
        <f t="shared" si="9"/>
        <v>112353</v>
      </c>
    </row>
    <row r="279" spans="1:10">
      <c r="A279" s="37" t="s">
        <v>707</v>
      </c>
      <c r="B279" s="38" t="s">
        <v>60</v>
      </c>
      <c r="C279" s="37" t="s">
        <v>77</v>
      </c>
      <c r="D279" s="37" t="s">
        <v>65</v>
      </c>
      <c r="E279" s="113">
        <v>39556</v>
      </c>
      <c r="F279" s="46">
        <f t="shared" ca="1" si="8"/>
        <v>15</v>
      </c>
      <c r="G279" s="47" t="s">
        <v>66</v>
      </c>
      <c r="H279" s="45">
        <v>48235</v>
      </c>
      <c r="I279" s="38">
        <v>4</v>
      </c>
      <c r="J279" s="41">
        <f t="shared" si="9"/>
        <v>49552</v>
      </c>
    </row>
    <row r="280" spans="1:10">
      <c r="A280" s="37" t="s">
        <v>1039</v>
      </c>
      <c r="B280" s="38" t="s">
        <v>60</v>
      </c>
      <c r="C280" s="37" t="s">
        <v>88</v>
      </c>
      <c r="D280" s="37" t="s">
        <v>59</v>
      </c>
      <c r="E280" s="113">
        <v>42735</v>
      </c>
      <c r="F280" s="43">
        <f t="shared" ca="1" si="8"/>
        <v>6</v>
      </c>
      <c r="G280" s="44"/>
      <c r="H280" s="45">
        <v>62464</v>
      </c>
      <c r="I280" s="38">
        <v>5</v>
      </c>
      <c r="J280" s="41">
        <f t="shared" si="9"/>
        <v>64169</v>
      </c>
    </row>
    <row r="281" spans="1:10">
      <c r="A281" s="37" t="s">
        <v>708</v>
      </c>
      <c r="B281" s="38" t="s">
        <v>61</v>
      </c>
      <c r="C281" s="37" t="s">
        <v>77</v>
      </c>
      <c r="D281" s="37" t="s">
        <v>65</v>
      </c>
      <c r="E281" s="113">
        <v>40939</v>
      </c>
      <c r="F281" s="43">
        <f t="shared" ca="1" si="8"/>
        <v>11</v>
      </c>
      <c r="G281" s="44" t="s">
        <v>67</v>
      </c>
      <c r="H281" s="45">
        <v>119103</v>
      </c>
      <c r="I281" s="38">
        <v>3</v>
      </c>
      <c r="J281" s="41">
        <f t="shared" si="9"/>
        <v>122355</v>
      </c>
    </row>
    <row r="282" spans="1:10">
      <c r="A282" s="37" t="s">
        <v>594</v>
      </c>
      <c r="B282" s="38" t="s">
        <v>61</v>
      </c>
      <c r="C282" s="37" t="s">
        <v>58</v>
      </c>
      <c r="D282" s="37" t="s">
        <v>65</v>
      </c>
      <c r="E282" s="113">
        <v>42494</v>
      </c>
      <c r="F282" s="43">
        <f t="shared" ca="1" si="8"/>
        <v>7</v>
      </c>
      <c r="G282" s="44" t="s">
        <v>70</v>
      </c>
      <c r="H282" s="45">
        <v>47236</v>
      </c>
      <c r="I282" s="38">
        <v>2</v>
      </c>
      <c r="J282" s="41">
        <f t="shared" si="9"/>
        <v>48526</v>
      </c>
    </row>
    <row r="283" spans="1:10">
      <c r="A283" s="37" t="s">
        <v>1106</v>
      </c>
      <c r="B283" s="38" t="s">
        <v>61</v>
      </c>
      <c r="C283" s="37" t="s">
        <v>91</v>
      </c>
      <c r="D283" s="37" t="s">
        <v>65</v>
      </c>
      <c r="E283" s="113">
        <v>44172</v>
      </c>
      <c r="F283" s="43">
        <f t="shared" ca="1" si="8"/>
        <v>2</v>
      </c>
      <c r="G283" s="44" t="s">
        <v>66</v>
      </c>
      <c r="H283" s="45">
        <v>111309</v>
      </c>
      <c r="I283" s="38">
        <v>3</v>
      </c>
      <c r="J283" s="41">
        <f t="shared" si="9"/>
        <v>114348</v>
      </c>
    </row>
    <row r="284" spans="1:10">
      <c r="A284" s="37" t="s">
        <v>1107</v>
      </c>
      <c r="B284" s="38" t="s">
        <v>57</v>
      </c>
      <c r="C284" s="37" t="s">
        <v>91</v>
      </c>
      <c r="D284" s="37" t="s">
        <v>71</v>
      </c>
      <c r="E284" s="113">
        <v>44786</v>
      </c>
      <c r="F284" s="43">
        <f t="shared" ca="1" si="8"/>
        <v>1</v>
      </c>
      <c r="G284" s="44" t="s">
        <v>70</v>
      </c>
      <c r="H284" s="45">
        <v>35899</v>
      </c>
      <c r="I284" s="38">
        <v>5</v>
      </c>
      <c r="J284" s="41">
        <f t="shared" si="9"/>
        <v>36879</v>
      </c>
    </row>
    <row r="285" spans="1:10">
      <c r="A285" s="37" t="s">
        <v>877</v>
      </c>
      <c r="B285" s="38" t="s">
        <v>60</v>
      </c>
      <c r="C285" s="37" t="s">
        <v>83</v>
      </c>
      <c r="D285" s="37" t="s">
        <v>65</v>
      </c>
      <c r="E285" s="113">
        <v>42400</v>
      </c>
      <c r="F285" s="43">
        <f t="shared" ca="1" si="8"/>
        <v>7</v>
      </c>
      <c r="G285" s="44" t="s">
        <v>67</v>
      </c>
      <c r="H285" s="45">
        <v>106210</v>
      </c>
      <c r="I285" s="38">
        <v>1</v>
      </c>
      <c r="J285" s="41">
        <f t="shared" si="9"/>
        <v>109110</v>
      </c>
    </row>
    <row r="286" spans="1:10">
      <c r="A286" s="37" t="s">
        <v>878</v>
      </c>
      <c r="B286" s="38" t="s">
        <v>57</v>
      </c>
      <c r="C286" s="37" t="s">
        <v>83</v>
      </c>
      <c r="D286" s="37" t="s">
        <v>72</v>
      </c>
      <c r="E286" s="113">
        <v>43338</v>
      </c>
      <c r="F286" s="43">
        <f t="shared" ca="1" si="8"/>
        <v>5</v>
      </c>
      <c r="G286" s="44"/>
      <c r="H286" s="45">
        <v>14662</v>
      </c>
      <c r="I286" s="38">
        <v>4</v>
      </c>
      <c r="J286" s="41">
        <f t="shared" si="9"/>
        <v>15062</v>
      </c>
    </row>
    <row r="287" spans="1:10">
      <c r="A287" s="37" t="s">
        <v>1184</v>
      </c>
      <c r="B287" s="38" t="s">
        <v>57</v>
      </c>
      <c r="C287" s="37" t="s">
        <v>93</v>
      </c>
      <c r="D287" s="37" t="s">
        <v>65</v>
      </c>
      <c r="E287" s="113">
        <v>42654</v>
      </c>
      <c r="F287" s="43">
        <f t="shared" ca="1" si="8"/>
        <v>6</v>
      </c>
      <c r="G287" s="44" t="s">
        <v>68</v>
      </c>
      <c r="H287" s="45">
        <v>119713</v>
      </c>
      <c r="I287" s="38">
        <v>4</v>
      </c>
      <c r="J287" s="41">
        <f t="shared" si="9"/>
        <v>122981</v>
      </c>
    </row>
    <row r="288" spans="1:10">
      <c r="A288" s="37" t="s">
        <v>1071</v>
      </c>
      <c r="B288" s="38" t="s">
        <v>60</v>
      </c>
      <c r="C288" s="37" t="s">
        <v>90</v>
      </c>
      <c r="D288" s="37" t="s">
        <v>65</v>
      </c>
      <c r="E288" s="113">
        <v>44484</v>
      </c>
      <c r="F288" s="43">
        <f t="shared" ca="1" si="8"/>
        <v>1</v>
      </c>
      <c r="G288" s="44" t="s">
        <v>70</v>
      </c>
      <c r="H288" s="45">
        <v>61881</v>
      </c>
      <c r="I288" s="38">
        <v>5</v>
      </c>
      <c r="J288" s="41">
        <f t="shared" si="9"/>
        <v>63570</v>
      </c>
    </row>
    <row r="289" spans="1:10">
      <c r="A289" s="37" t="s">
        <v>1185</v>
      </c>
      <c r="B289" s="38" t="s">
        <v>61</v>
      </c>
      <c r="C289" s="37" t="s">
        <v>93</v>
      </c>
      <c r="D289" s="37" t="s">
        <v>65</v>
      </c>
      <c r="E289" s="113">
        <v>43980</v>
      </c>
      <c r="F289" s="43">
        <f t="shared" ca="1" si="8"/>
        <v>3</v>
      </c>
      <c r="G289" s="44" t="s">
        <v>68</v>
      </c>
      <c r="H289" s="45">
        <v>80951</v>
      </c>
      <c r="I289" s="38">
        <v>5</v>
      </c>
      <c r="J289" s="41">
        <f t="shared" si="9"/>
        <v>83161</v>
      </c>
    </row>
    <row r="290" spans="1:10">
      <c r="A290" s="37" t="s">
        <v>1108</v>
      </c>
      <c r="B290" s="38" t="s">
        <v>63</v>
      </c>
      <c r="C290" s="37" t="s">
        <v>91</v>
      </c>
      <c r="D290" s="37" t="s">
        <v>65</v>
      </c>
      <c r="E290" s="113">
        <v>44060</v>
      </c>
      <c r="F290" s="43">
        <f t="shared" ca="1" si="8"/>
        <v>3</v>
      </c>
      <c r="G290" s="44" t="s">
        <v>67</v>
      </c>
      <c r="H290" s="45">
        <v>87414</v>
      </c>
      <c r="I290" s="38">
        <v>1</v>
      </c>
      <c r="J290" s="41">
        <f t="shared" si="9"/>
        <v>89800</v>
      </c>
    </row>
    <row r="291" spans="1:10">
      <c r="A291" s="37" t="s">
        <v>685</v>
      </c>
      <c r="B291" s="38" t="s">
        <v>63</v>
      </c>
      <c r="C291" s="37" t="s">
        <v>76</v>
      </c>
      <c r="D291" s="37" t="s">
        <v>71</v>
      </c>
      <c r="E291" s="113">
        <v>44107</v>
      </c>
      <c r="F291" s="43">
        <f t="shared" ca="1" si="8"/>
        <v>2</v>
      </c>
      <c r="G291" s="44" t="s">
        <v>70</v>
      </c>
      <c r="H291" s="45">
        <v>39699</v>
      </c>
      <c r="I291" s="38">
        <v>1</v>
      </c>
      <c r="J291" s="41">
        <f t="shared" si="9"/>
        <v>40783</v>
      </c>
    </row>
    <row r="292" spans="1:10">
      <c r="A292" s="37" t="s">
        <v>595</v>
      </c>
      <c r="B292" s="38" t="s">
        <v>63</v>
      </c>
      <c r="C292" s="37" t="s">
        <v>58</v>
      </c>
      <c r="D292" s="37" t="s">
        <v>65</v>
      </c>
      <c r="E292" s="113">
        <v>40127</v>
      </c>
      <c r="F292" s="43">
        <f t="shared" ca="1" si="8"/>
        <v>13</v>
      </c>
      <c r="G292" s="44" t="s">
        <v>68</v>
      </c>
      <c r="H292" s="45">
        <v>86540</v>
      </c>
      <c r="I292" s="38">
        <v>4</v>
      </c>
      <c r="J292" s="41">
        <f t="shared" si="9"/>
        <v>88903</v>
      </c>
    </row>
    <row r="293" spans="1:10">
      <c r="A293" s="37" t="s">
        <v>879</v>
      </c>
      <c r="B293" s="38" t="s">
        <v>60</v>
      </c>
      <c r="C293" s="37" t="s">
        <v>83</v>
      </c>
      <c r="D293" s="37" t="s">
        <v>71</v>
      </c>
      <c r="E293" s="113">
        <v>41211</v>
      </c>
      <c r="F293" s="43">
        <f t="shared" ca="1" si="8"/>
        <v>10</v>
      </c>
      <c r="G293" s="44" t="s">
        <v>68</v>
      </c>
      <c r="H293" s="45">
        <v>33922</v>
      </c>
      <c r="I293" s="38">
        <v>1</v>
      </c>
      <c r="J293" s="41">
        <f t="shared" si="9"/>
        <v>34848</v>
      </c>
    </row>
    <row r="294" spans="1:10">
      <c r="A294" s="37" t="s">
        <v>880</v>
      </c>
      <c r="B294" s="38" t="s">
        <v>57</v>
      </c>
      <c r="C294" s="37" t="s">
        <v>83</v>
      </c>
      <c r="D294" s="37" t="s">
        <v>65</v>
      </c>
      <c r="E294" s="113">
        <v>41527</v>
      </c>
      <c r="F294" s="43">
        <f t="shared" ca="1" si="8"/>
        <v>10</v>
      </c>
      <c r="G294" s="44" t="s">
        <v>70</v>
      </c>
      <c r="H294" s="45">
        <v>42882</v>
      </c>
      <c r="I294" s="38">
        <v>5</v>
      </c>
      <c r="J294" s="41">
        <f t="shared" si="9"/>
        <v>44053</v>
      </c>
    </row>
    <row r="295" spans="1:10">
      <c r="A295" s="37" t="s">
        <v>1186</v>
      </c>
      <c r="B295" s="38" t="s">
        <v>64</v>
      </c>
      <c r="C295" s="37" t="s">
        <v>93</v>
      </c>
      <c r="D295" s="37" t="s">
        <v>65</v>
      </c>
      <c r="E295" s="113">
        <v>43032</v>
      </c>
      <c r="F295" s="43">
        <f t="shared" ca="1" si="8"/>
        <v>5</v>
      </c>
      <c r="G295" s="44" t="s">
        <v>67</v>
      </c>
      <c r="H295" s="45">
        <v>95499</v>
      </c>
      <c r="I295" s="38">
        <v>2</v>
      </c>
      <c r="J295" s="41">
        <f t="shared" si="9"/>
        <v>98106</v>
      </c>
    </row>
    <row r="296" spans="1:10">
      <c r="A296" s="37" t="s">
        <v>92</v>
      </c>
      <c r="B296" s="38" t="s">
        <v>61</v>
      </c>
      <c r="C296" s="37" t="s">
        <v>91</v>
      </c>
      <c r="D296" s="37" t="s">
        <v>65</v>
      </c>
      <c r="E296" s="113">
        <v>39487</v>
      </c>
      <c r="F296" s="43">
        <f t="shared" ca="1" si="8"/>
        <v>15</v>
      </c>
      <c r="G296" s="44" t="s">
        <v>70</v>
      </c>
      <c r="H296" s="45">
        <v>97468</v>
      </c>
      <c r="I296" s="38">
        <v>3</v>
      </c>
      <c r="J296" s="41">
        <f t="shared" si="9"/>
        <v>100129</v>
      </c>
    </row>
    <row r="297" spans="1:10">
      <c r="A297" s="37" t="s">
        <v>1187</v>
      </c>
      <c r="B297" s="38" t="s">
        <v>61</v>
      </c>
      <c r="C297" s="37" t="s">
        <v>93</v>
      </c>
      <c r="D297" s="37" t="s">
        <v>71</v>
      </c>
      <c r="E297" s="113">
        <v>42344</v>
      </c>
      <c r="F297" s="43">
        <f t="shared" ca="1" si="8"/>
        <v>7</v>
      </c>
      <c r="G297" s="44" t="s">
        <v>67</v>
      </c>
      <c r="H297" s="45">
        <v>52229</v>
      </c>
      <c r="I297" s="38">
        <v>4</v>
      </c>
      <c r="J297" s="41">
        <f t="shared" si="9"/>
        <v>53655</v>
      </c>
    </row>
    <row r="298" spans="1:10">
      <c r="A298" s="37" t="s">
        <v>596</v>
      </c>
      <c r="B298" s="38" t="s">
        <v>61</v>
      </c>
      <c r="C298" s="37" t="s">
        <v>58</v>
      </c>
      <c r="D298" s="37" t="s">
        <v>65</v>
      </c>
      <c r="E298" s="113">
        <v>43455</v>
      </c>
      <c r="F298" s="43">
        <f t="shared" ca="1" si="8"/>
        <v>4</v>
      </c>
      <c r="G298" s="44" t="s">
        <v>68</v>
      </c>
      <c r="H298" s="45">
        <v>89203</v>
      </c>
      <c r="I298" s="38">
        <v>5</v>
      </c>
      <c r="J298" s="41">
        <f t="shared" si="9"/>
        <v>91638</v>
      </c>
    </row>
    <row r="299" spans="1:10">
      <c r="A299" s="37" t="s">
        <v>881</v>
      </c>
      <c r="B299" s="38" t="s">
        <v>63</v>
      </c>
      <c r="C299" s="37" t="s">
        <v>83</v>
      </c>
      <c r="D299" s="37" t="s">
        <v>65</v>
      </c>
      <c r="E299" s="113">
        <v>44544</v>
      </c>
      <c r="F299" s="43">
        <f t="shared" ca="1" si="8"/>
        <v>1</v>
      </c>
      <c r="G299" s="44" t="s">
        <v>69</v>
      </c>
      <c r="H299" s="45">
        <v>83738</v>
      </c>
      <c r="I299" s="38">
        <v>4</v>
      </c>
      <c r="J299" s="41">
        <f t="shared" si="9"/>
        <v>86024</v>
      </c>
    </row>
    <row r="300" spans="1:10">
      <c r="A300" s="37" t="s">
        <v>971</v>
      </c>
      <c r="B300" s="38" t="s">
        <v>61</v>
      </c>
      <c r="C300" s="37" t="s">
        <v>86</v>
      </c>
      <c r="D300" s="37" t="s">
        <v>65</v>
      </c>
      <c r="E300" s="113">
        <v>41527</v>
      </c>
      <c r="F300" s="43">
        <f t="shared" ca="1" si="8"/>
        <v>10</v>
      </c>
      <c r="G300" s="44" t="s">
        <v>70</v>
      </c>
      <c r="H300" s="45">
        <v>74710</v>
      </c>
      <c r="I300" s="38">
        <v>2</v>
      </c>
      <c r="J300" s="41">
        <f t="shared" si="9"/>
        <v>76750</v>
      </c>
    </row>
    <row r="301" spans="1:10">
      <c r="A301" s="37" t="s">
        <v>597</v>
      </c>
      <c r="B301" s="38" t="s">
        <v>63</v>
      </c>
      <c r="C301" s="37" t="s">
        <v>58</v>
      </c>
      <c r="D301" s="37" t="s">
        <v>65</v>
      </c>
      <c r="E301" s="113">
        <v>44422</v>
      </c>
      <c r="F301" s="43">
        <f t="shared" ca="1" si="8"/>
        <v>2</v>
      </c>
      <c r="G301" s="44" t="s">
        <v>66</v>
      </c>
      <c r="H301" s="45">
        <v>110116</v>
      </c>
      <c r="I301" s="38">
        <v>4</v>
      </c>
      <c r="J301" s="41">
        <f t="shared" si="9"/>
        <v>113122</v>
      </c>
    </row>
    <row r="302" spans="1:10">
      <c r="A302" s="37" t="s">
        <v>882</v>
      </c>
      <c r="B302" s="38" t="s">
        <v>61</v>
      </c>
      <c r="C302" s="37" t="s">
        <v>83</v>
      </c>
      <c r="D302" s="37" t="s">
        <v>59</v>
      </c>
      <c r="E302" s="113">
        <v>43889</v>
      </c>
      <c r="F302" s="43">
        <f t="shared" ca="1" si="8"/>
        <v>3</v>
      </c>
      <c r="G302" s="44"/>
      <c r="H302" s="45">
        <v>33854</v>
      </c>
      <c r="I302" s="38">
        <v>3</v>
      </c>
      <c r="J302" s="41">
        <f t="shared" si="9"/>
        <v>34778</v>
      </c>
    </row>
    <row r="303" spans="1:10">
      <c r="A303" s="37" t="s">
        <v>784</v>
      </c>
      <c r="B303" s="38" t="s">
        <v>61</v>
      </c>
      <c r="C303" s="37" t="s">
        <v>80</v>
      </c>
      <c r="D303" s="37" t="s">
        <v>65</v>
      </c>
      <c r="E303" s="113">
        <v>42507</v>
      </c>
      <c r="F303" s="43">
        <f t="shared" ca="1" si="8"/>
        <v>7</v>
      </c>
      <c r="G303" s="44" t="s">
        <v>67</v>
      </c>
      <c r="H303" s="45">
        <v>38222</v>
      </c>
      <c r="I303" s="38">
        <v>2</v>
      </c>
      <c r="J303" s="41">
        <f t="shared" si="9"/>
        <v>39265</v>
      </c>
    </row>
    <row r="304" spans="1:10">
      <c r="A304" s="37" t="s">
        <v>709</v>
      </c>
      <c r="B304" s="38" t="s">
        <v>60</v>
      </c>
      <c r="C304" s="37" t="s">
        <v>77</v>
      </c>
      <c r="D304" s="37" t="s">
        <v>65</v>
      </c>
      <c r="E304" s="113">
        <v>44682</v>
      </c>
      <c r="F304" s="43">
        <f t="shared" ca="1" si="8"/>
        <v>1</v>
      </c>
      <c r="G304" s="44" t="s">
        <v>68</v>
      </c>
      <c r="H304" s="45">
        <v>98675</v>
      </c>
      <c r="I304" s="38">
        <v>2</v>
      </c>
      <c r="J304" s="41">
        <f t="shared" si="9"/>
        <v>101369</v>
      </c>
    </row>
    <row r="305" spans="1:10">
      <c r="A305" s="37" t="s">
        <v>1188</v>
      </c>
      <c r="B305" s="38" t="s">
        <v>64</v>
      </c>
      <c r="C305" s="37" t="s">
        <v>93</v>
      </c>
      <c r="D305" s="37" t="s">
        <v>59</v>
      </c>
      <c r="E305" s="113">
        <v>43125</v>
      </c>
      <c r="F305" s="43">
        <f t="shared" ca="1" si="8"/>
        <v>5</v>
      </c>
      <c r="G305" s="44"/>
      <c r="H305" s="45">
        <v>45600</v>
      </c>
      <c r="I305" s="38">
        <v>3</v>
      </c>
      <c r="J305" s="41">
        <f t="shared" si="9"/>
        <v>46845</v>
      </c>
    </row>
    <row r="306" spans="1:10">
      <c r="A306" s="37" t="s">
        <v>598</v>
      </c>
      <c r="B306" s="38" t="s">
        <v>60</v>
      </c>
      <c r="C306" s="37" t="s">
        <v>58</v>
      </c>
      <c r="D306" s="37" t="s">
        <v>71</v>
      </c>
      <c r="E306" s="113">
        <v>44567</v>
      </c>
      <c r="F306" s="43">
        <f t="shared" ca="1" si="8"/>
        <v>1</v>
      </c>
      <c r="G306" s="44" t="s">
        <v>68</v>
      </c>
      <c r="H306" s="45">
        <v>64322</v>
      </c>
      <c r="I306" s="38">
        <v>3</v>
      </c>
      <c r="J306" s="41">
        <f t="shared" si="9"/>
        <v>66078</v>
      </c>
    </row>
    <row r="307" spans="1:10">
      <c r="A307" s="37" t="s">
        <v>686</v>
      </c>
      <c r="B307" s="38" t="s">
        <v>63</v>
      </c>
      <c r="C307" s="37" t="s">
        <v>76</v>
      </c>
      <c r="D307" s="37" t="s">
        <v>72</v>
      </c>
      <c r="E307" s="113">
        <v>43904</v>
      </c>
      <c r="F307" s="43">
        <f t="shared" ca="1" si="8"/>
        <v>3</v>
      </c>
      <c r="G307" s="44"/>
      <c r="H307" s="45">
        <v>38116</v>
      </c>
      <c r="I307" s="38">
        <v>4</v>
      </c>
      <c r="J307" s="41">
        <f t="shared" si="9"/>
        <v>39157</v>
      </c>
    </row>
    <row r="308" spans="1:10">
      <c r="A308" s="37" t="s">
        <v>785</v>
      </c>
      <c r="B308" s="38" t="s">
        <v>63</v>
      </c>
      <c r="C308" s="37" t="s">
        <v>80</v>
      </c>
      <c r="D308" s="37" t="s">
        <v>72</v>
      </c>
      <c r="E308" s="113">
        <v>44043</v>
      </c>
      <c r="F308" s="43">
        <f t="shared" ca="1" si="8"/>
        <v>3</v>
      </c>
      <c r="G308" s="44"/>
      <c r="H308" s="45">
        <v>12731</v>
      </c>
      <c r="I308" s="38">
        <v>3</v>
      </c>
      <c r="J308" s="41">
        <f t="shared" si="9"/>
        <v>13079</v>
      </c>
    </row>
    <row r="309" spans="1:10">
      <c r="A309" s="37" t="s">
        <v>883</v>
      </c>
      <c r="B309" s="38" t="s">
        <v>61</v>
      </c>
      <c r="C309" s="37" t="s">
        <v>83</v>
      </c>
      <c r="D309" s="37" t="s">
        <v>65</v>
      </c>
      <c r="E309" s="113">
        <v>42423</v>
      </c>
      <c r="F309" s="43">
        <f t="shared" ca="1" si="8"/>
        <v>7</v>
      </c>
      <c r="G309" s="44" t="s">
        <v>69</v>
      </c>
      <c r="H309" s="45">
        <v>40801</v>
      </c>
      <c r="I309" s="38">
        <v>5</v>
      </c>
      <c r="J309" s="41">
        <f t="shared" si="9"/>
        <v>41915</v>
      </c>
    </row>
    <row r="310" spans="1:10">
      <c r="A310" s="37" t="s">
        <v>1109</v>
      </c>
      <c r="B310" s="38" t="s">
        <v>57</v>
      </c>
      <c r="C310" s="37" t="s">
        <v>91</v>
      </c>
      <c r="D310" s="37" t="s">
        <v>72</v>
      </c>
      <c r="E310" s="113">
        <v>43008</v>
      </c>
      <c r="F310" s="43">
        <f t="shared" ca="1" si="8"/>
        <v>5</v>
      </c>
      <c r="G310" s="44"/>
      <c r="H310" s="45">
        <v>32857</v>
      </c>
      <c r="I310" s="38">
        <v>4</v>
      </c>
      <c r="J310" s="41">
        <f t="shared" si="9"/>
        <v>33754</v>
      </c>
    </row>
    <row r="311" spans="1:10">
      <c r="A311" s="37" t="s">
        <v>786</v>
      </c>
      <c r="B311" s="38" t="s">
        <v>61</v>
      </c>
      <c r="C311" s="37" t="s">
        <v>80</v>
      </c>
      <c r="D311" s="37" t="s">
        <v>65</v>
      </c>
      <c r="E311" s="113">
        <v>44353</v>
      </c>
      <c r="F311" s="43">
        <f t="shared" ca="1" si="8"/>
        <v>2</v>
      </c>
      <c r="G311" s="44" t="s">
        <v>66</v>
      </c>
      <c r="H311" s="45">
        <v>85250</v>
      </c>
      <c r="I311" s="38">
        <v>5</v>
      </c>
      <c r="J311" s="41">
        <f t="shared" si="9"/>
        <v>87577</v>
      </c>
    </row>
    <row r="312" spans="1:10">
      <c r="A312" s="37" t="s">
        <v>1110</v>
      </c>
      <c r="B312" s="38" t="s">
        <v>61</v>
      </c>
      <c r="C312" s="37" t="s">
        <v>91</v>
      </c>
      <c r="D312" s="37" t="s">
        <v>59</v>
      </c>
      <c r="E312" s="113">
        <v>39805</v>
      </c>
      <c r="F312" s="43">
        <f t="shared" ca="1" si="8"/>
        <v>14</v>
      </c>
      <c r="G312" s="44"/>
      <c r="H312" s="45">
        <v>73934</v>
      </c>
      <c r="I312" s="38">
        <v>5</v>
      </c>
      <c r="J312" s="41">
        <f t="shared" si="9"/>
        <v>75952</v>
      </c>
    </row>
    <row r="313" spans="1:10">
      <c r="A313" s="37" t="s">
        <v>991</v>
      </c>
      <c r="B313" s="38" t="s">
        <v>61</v>
      </c>
      <c r="C313" s="37" t="s">
        <v>87</v>
      </c>
      <c r="D313" s="37" t="s">
        <v>65</v>
      </c>
      <c r="E313" s="113">
        <v>44591</v>
      </c>
      <c r="F313" s="43">
        <f t="shared" ca="1" si="8"/>
        <v>1</v>
      </c>
      <c r="G313" s="44" t="s">
        <v>67</v>
      </c>
      <c r="H313" s="45">
        <v>83988</v>
      </c>
      <c r="I313" s="38">
        <v>4</v>
      </c>
      <c r="J313" s="41">
        <f t="shared" si="9"/>
        <v>86281</v>
      </c>
    </row>
    <row r="314" spans="1:10">
      <c r="A314" s="37" t="s">
        <v>1279</v>
      </c>
      <c r="B314" s="38" t="s">
        <v>64</v>
      </c>
      <c r="C314" s="37" t="s">
        <v>98</v>
      </c>
      <c r="D314" s="37" t="s">
        <v>72</v>
      </c>
      <c r="E314" s="113">
        <v>44378</v>
      </c>
      <c r="F314" s="43">
        <f t="shared" ca="1" si="8"/>
        <v>2</v>
      </c>
      <c r="G314" s="44" t="s">
        <v>68</v>
      </c>
      <c r="H314" s="45">
        <v>40316</v>
      </c>
      <c r="I314" s="38">
        <v>3</v>
      </c>
      <c r="J314" s="41">
        <f t="shared" si="9"/>
        <v>41417</v>
      </c>
    </row>
    <row r="315" spans="1:10">
      <c r="A315" s="37" t="s">
        <v>599</v>
      </c>
      <c r="B315" s="38" t="s">
        <v>61</v>
      </c>
      <c r="C315" s="37" t="s">
        <v>58</v>
      </c>
      <c r="D315" s="37" t="s">
        <v>59</v>
      </c>
      <c r="E315" s="113">
        <v>43363</v>
      </c>
      <c r="F315" s="43">
        <f t="shared" ca="1" si="8"/>
        <v>5</v>
      </c>
      <c r="G315" s="44"/>
      <c r="H315" s="45">
        <v>119242</v>
      </c>
      <c r="I315" s="38">
        <v>2</v>
      </c>
      <c r="J315" s="41">
        <f t="shared" si="9"/>
        <v>122497</v>
      </c>
    </row>
    <row r="316" spans="1:10">
      <c r="A316" s="37" t="s">
        <v>992</v>
      </c>
      <c r="B316" s="38" t="s">
        <v>63</v>
      </c>
      <c r="C316" s="37" t="s">
        <v>87</v>
      </c>
      <c r="D316" s="37" t="s">
        <v>71</v>
      </c>
      <c r="E316" s="113">
        <v>44215</v>
      </c>
      <c r="F316" s="43">
        <f t="shared" ca="1" si="8"/>
        <v>2</v>
      </c>
      <c r="G316" s="44" t="s">
        <v>66</v>
      </c>
      <c r="H316" s="45">
        <v>18154</v>
      </c>
      <c r="I316" s="38">
        <v>4</v>
      </c>
      <c r="J316" s="41">
        <f t="shared" si="9"/>
        <v>18650</v>
      </c>
    </row>
    <row r="317" spans="1:10">
      <c r="A317" s="37" t="s">
        <v>1111</v>
      </c>
      <c r="B317" s="38" t="s">
        <v>61</v>
      </c>
      <c r="C317" s="37" t="s">
        <v>91</v>
      </c>
      <c r="D317" s="37" t="s">
        <v>65</v>
      </c>
      <c r="E317" s="113">
        <v>43388</v>
      </c>
      <c r="F317" s="43">
        <f t="shared" ca="1" si="8"/>
        <v>4</v>
      </c>
      <c r="G317" s="44" t="s">
        <v>68</v>
      </c>
      <c r="H317" s="45">
        <v>74751</v>
      </c>
      <c r="I317" s="38">
        <v>5</v>
      </c>
      <c r="J317" s="41">
        <f t="shared" si="9"/>
        <v>76792</v>
      </c>
    </row>
    <row r="318" spans="1:10">
      <c r="A318" s="37" t="s">
        <v>710</v>
      </c>
      <c r="B318" s="38" t="s">
        <v>61</v>
      </c>
      <c r="C318" s="37" t="s">
        <v>77</v>
      </c>
      <c r="D318" s="37" t="s">
        <v>65</v>
      </c>
      <c r="E318" s="113">
        <v>41376</v>
      </c>
      <c r="F318" s="43">
        <f t="shared" ca="1" si="8"/>
        <v>10</v>
      </c>
      <c r="G318" s="44" t="s">
        <v>70</v>
      </c>
      <c r="H318" s="45">
        <v>121045</v>
      </c>
      <c r="I318" s="38">
        <v>4</v>
      </c>
      <c r="J318" s="41">
        <f t="shared" si="9"/>
        <v>124350</v>
      </c>
    </row>
    <row r="319" spans="1:10">
      <c r="A319" s="37" t="s">
        <v>1112</v>
      </c>
      <c r="B319" s="38" t="s">
        <v>63</v>
      </c>
      <c r="C319" s="37" t="s">
        <v>91</v>
      </c>
      <c r="D319" s="37" t="s">
        <v>65</v>
      </c>
      <c r="E319" s="113">
        <v>44077</v>
      </c>
      <c r="F319" s="43">
        <f t="shared" ca="1" si="8"/>
        <v>3</v>
      </c>
      <c r="G319" s="44" t="s">
        <v>70</v>
      </c>
      <c r="H319" s="45">
        <v>92143</v>
      </c>
      <c r="I319" s="38">
        <v>3</v>
      </c>
      <c r="J319" s="41">
        <f t="shared" si="9"/>
        <v>94659</v>
      </c>
    </row>
    <row r="320" spans="1:10">
      <c r="A320" s="37" t="s">
        <v>1189</v>
      </c>
      <c r="B320" s="38" t="s">
        <v>61</v>
      </c>
      <c r="C320" s="37" t="s">
        <v>93</v>
      </c>
      <c r="D320" s="37" t="s">
        <v>59</v>
      </c>
      <c r="E320" s="113">
        <v>44458</v>
      </c>
      <c r="F320" s="43">
        <f t="shared" ca="1" si="8"/>
        <v>2</v>
      </c>
      <c r="G320" s="44"/>
      <c r="H320" s="45">
        <v>79744</v>
      </c>
      <c r="I320" s="38">
        <v>1</v>
      </c>
      <c r="J320" s="41">
        <f t="shared" si="9"/>
        <v>81921</v>
      </c>
    </row>
    <row r="321" spans="1:10">
      <c r="A321" s="37" t="s">
        <v>600</v>
      </c>
      <c r="B321" s="38" t="s">
        <v>57</v>
      </c>
      <c r="C321" s="37" t="s">
        <v>58</v>
      </c>
      <c r="D321" s="37" t="s">
        <v>71</v>
      </c>
      <c r="E321" s="113">
        <v>42314</v>
      </c>
      <c r="F321" s="43">
        <f t="shared" ca="1" si="8"/>
        <v>7</v>
      </c>
      <c r="G321" s="44" t="s">
        <v>70</v>
      </c>
      <c r="H321" s="45">
        <v>14743</v>
      </c>
      <c r="I321" s="38">
        <v>3</v>
      </c>
      <c r="J321" s="41">
        <f t="shared" si="9"/>
        <v>15145</v>
      </c>
    </row>
    <row r="322" spans="1:10">
      <c r="A322" s="37" t="s">
        <v>1113</v>
      </c>
      <c r="B322" s="38" t="s">
        <v>63</v>
      </c>
      <c r="C322" s="37" t="s">
        <v>91</v>
      </c>
      <c r="D322" s="37" t="s">
        <v>59</v>
      </c>
      <c r="E322" s="113">
        <v>43941</v>
      </c>
      <c r="F322" s="43">
        <f t="shared" ref="F322:F385" ca="1" si="10">DATEDIF(E322,TODAY(),"Y")</f>
        <v>3</v>
      </c>
      <c r="G322" s="44"/>
      <c r="H322" s="45">
        <v>29928</v>
      </c>
      <c r="I322" s="38">
        <v>3</v>
      </c>
      <c r="J322" s="41">
        <f t="shared" ref="J322:J385" si="11">ROUND(H322*$L$1+H322,0)</f>
        <v>30745</v>
      </c>
    </row>
    <row r="323" spans="1:10">
      <c r="A323" s="37" t="s">
        <v>884</v>
      </c>
      <c r="B323" s="38" t="s">
        <v>64</v>
      </c>
      <c r="C323" s="37" t="s">
        <v>83</v>
      </c>
      <c r="D323" s="37" t="s">
        <v>59</v>
      </c>
      <c r="E323" s="113">
        <v>42465</v>
      </c>
      <c r="F323" s="43">
        <f t="shared" ca="1" si="10"/>
        <v>7</v>
      </c>
      <c r="G323" s="44"/>
      <c r="H323" s="45">
        <v>82283</v>
      </c>
      <c r="I323" s="38">
        <v>4</v>
      </c>
      <c r="J323" s="41">
        <f t="shared" si="11"/>
        <v>84529</v>
      </c>
    </row>
    <row r="324" spans="1:10">
      <c r="A324" s="37" t="s">
        <v>885</v>
      </c>
      <c r="B324" s="38" t="s">
        <v>64</v>
      </c>
      <c r="C324" s="37" t="s">
        <v>83</v>
      </c>
      <c r="D324" s="37" t="s">
        <v>65</v>
      </c>
      <c r="E324" s="113">
        <v>42407</v>
      </c>
      <c r="F324" s="43">
        <f t="shared" ca="1" si="10"/>
        <v>7</v>
      </c>
      <c r="G324" s="44" t="s">
        <v>66</v>
      </c>
      <c r="H324" s="45">
        <v>62298</v>
      </c>
      <c r="I324" s="38">
        <v>1</v>
      </c>
      <c r="J324" s="41">
        <f t="shared" si="11"/>
        <v>63999</v>
      </c>
    </row>
    <row r="325" spans="1:10">
      <c r="A325" s="37" t="s">
        <v>993</v>
      </c>
      <c r="B325" s="38" t="s">
        <v>63</v>
      </c>
      <c r="C325" s="37" t="s">
        <v>87</v>
      </c>
      <c r="D325" s="37" t="s">
        <v>65</v>
      </c>
      <c r="E325" s="113">
        <v>43800</v>
      </c>
      <c r="F325" s="43">
        <f t="shared" ca="1" si="10"/>
        <v>3</v>
      </c>
      <c r="G325" s="44" t="s">
        <v>70</v>
      </c>
      <c r="H325" s="45">
        <v>62769</v>
      </c>
      <c r="I325" s="38">
        <v>4</v>
      </c>
      <c r="J325" s="41">
        <f t="shared" si="11"/>
        <v>64483</v>
      </c>
    </row>
    <row r="326" spans="1:10">
      <c r="A326" s="37" t="s">
        <v>601</v>
      </c>
      <c r="B326" s="38" t="s">
        <v>63</v>
      </c>
      <c r="C326" s="37" t="s">
        <v>58</v>
      </c>
      <c r="D326" s="37" t="s">
        <v>72</v>
      </c>
      <c r="E326" s="113">
        <v>39971</v>
      </c>
      <c r="F326" s="43">
        <f t="shared" ca="1" si="10"/>
        <v>14</v>
      </c>
      <c r="G326" s="44"/>
      <c r="H326" s="45">
        <v>49999</v>
      </c>
      <c r="I326" s="38">
        <v>5</v>
      </c>
      <c r="J326" s="41">
        <f t="shared" si="11"/>
        <v>51364</v>
      </c>
    </row>
    <row r="327" spans="1:10">
      <c r="A327" s="37" t="s">
        <v>1190</v>
      </c>
      <c r="B327" s="38" t="s">
        <v>63</v>
      </c>
      <c r="C327" s="37" t="s">
        <v>93</v>
      </c>
      <c r="D327" s="37" t="s">
        <v>71</v>
      </c>
      <c r="E327" s="113">
        <v>42858</v>
      </c>
      <c r="F327" s="43">
        <f t="shared" ca="1" si="10"/>
        <v>6</v>
      </c>
      <c r="G327" s="44" t="s">
        <v>68</v>
      </c>
      <c r="H327" s="45">
        <v>68712</v>
      </c>
      <c r="I327" s="38">
        <v>2</v>
      </c>
      <c r="J327" s="41">
        <f t="shared" si="11"/>
        <v>70588</v>
      </c>
    </row>
    <row r="328" spans="1:10">
      <c r="A328" s="37" t="s">
        <v>711</v>
      </c>
      <c r="B328" s="38" t="s">
        <v>60</v>
      </c>
      <c r="C328" s="37" t="s">
        <v>77</v>
      </c>
      <c r="D328" s="37" t="s">
        <v>59</v>
      </c>
      <c r="E328" s="113">
        <v>40061</v>
      </c>
      <c r="F328" s="43">
        <f t="shared" ca="1" si="10"/>
        <v>14</v>
      </c>
      <c r="G328" s="44"/>
      <c r="H328" s="45">
        <v>32674</v>
      </c>
      <c r="I328" s="38">
        <v>3</v>
      </c>
      <c r="J328" s="41">
        <f t="shared" si="11"/>
        <v>33566</v>
      </c>
    </row>
    <row r="329" spans="1:10">
      <c r="A329" s="37" t="s">
        <v>712</v>
      </c>
      <c r="B329" s="38" t="s">
        <v>62</v>
      </c>
      <c r="C329" s="37" t="s">
        <v>77</v>
      </c>
      <c r="D329" s="37" t="s">
        <v>65</v>
      </c>
      <c r="E329" s="113">
        <v>43901</v>
      </c>
      <c r="F329" s="43">
        <f t="shared" ca="1" si="10"/>
        <v>3</v>
      </c>
      <c r="G329" s="44" t="s">
        <v>69</v>
      </c>
      <c r="H329" s="45">
        <v>113889</v>
      </c>
      <c r="I329" s="38">
        <v>5</v>
      </c>
      <c r="J329" s="41">
        <f t="shared" si="11"/>
        <v>116998</v>
      </c>
    </row>
    <row r="330" spans="1:10">
      <c r="A330" s="37" t="s">
        <v>886</v>
      </c>
      <c r="B330" s="38" t="s">
        <v>61</v>
      </c>
      <c r="C330" s="37" t="s">
        <v>83</v>
      </c>
      <c r="D330" s="37" t="s">
        <v>59</v>
      </c>
      <c r="E330" s="113">
        <v>40309</v>
      </c>
      <c r="F330" s="43">
        <f t="shared" ca="1" si="10"/>
        <v>13</v>
      </c>
      <c r="G330" s="44"/>
      <c r="H330" s="45">
        <v>124151</v>
      </c>
      <c r="I330" s="38">
        <v>5</v>
      </c>
      <c r="J330" s="41">
        <f t="shared" si="11"/>
        <v>127540</v>
      </c>
    </row>
    <row r="331" spans="1:10">
      <c r="A331" s="37" t="s">
        <v>1114</v>
      </c>
      <c r="B331" s="38" t="s">
        <v>64</v>
      </c>
      <c r="C331" s="37" t="s">
        <v>91</v>
      </c>
      <c r="D331" s="37" t="s">
        <v>65</v>
      </c>
      <c r="E331" s="113">
        <v>43669</v>
      </c>
      <c r="F331" s="43">
        <f t="shared" ca="1" si="10"/>
        <v>4</v>
      </c>
      <c r="G331" s="44" t="s">
        <v>70</v>
      </c>
      <c r="H331" s="45">
        <v>32162</v>
      </c>
      <c r="I331" s="38">
        <v>5</v>
      </c>
      <c r="J331" s="41">
        <f t="shared" si="11"/>
        <v>33040</v>
      </c>
    </row>
    <row r="332" spans="1:10">
      <c r="A332" s="37" t="s">
        <v>994</v>
      </c>
      <c r="B332" s="38" t="s">
        <v>60</v>
      </c>
      <c r="C332" s="37" t="s">
        <v>87</v>
      </c>
      <c r="D332" s="37" t="s">
        <v>65</v>
      </c>
      <c r="E332" s="113">
        <v>42748</v>
      </c>
      <c r="F332" s="43">
        <f t="shared" ca="1" si="10"/>
        <v>6</v>
      </c>
      <c r="G332" s="44" t="s">
        <v>70</v>
      </c>
      <c r="H332" s="45">
        <v>66029</v>
      </c>
      <c r="I332" s="38">
        <v>4</v>
      </c>
      <c r="J332" s="41">
        <f t="shared" si="11"/>
        <v>67832</v>
      </c>
    </row>
    <row r="333" spans="1:10">
      <c r="A333" s="37" t="s">
        <v>887</v>
      </c>
      <c r="B333" s="38" t="s">
        <v>60</v>
      </c>
      <c r="C333" s="37" t="s">
        <v>83</v>
      </c>
      <c r="D333" s="37" t="s">
        <v>65</v>
      </c>
      <c r="E333" s="113">
        <v>40289</v>
      </c>
      <c r="F333" s="43">
        <f t="shared" ca="1" si="10"/>
        <v>13</v>
      </c>
      <c r="G333" s="44" t="s">
        <v>66</v>
      </c>
      <c r="H333" s="45">
        <v>32800</v>
      </c>
      <c r="I333" s="38">
        <v>1</v>
      </c>
      <c r="J333" s="41">
        <f t="shared" si="11"/>
        <v>33695</v>
      </c>
    </row>
    <row r="334" spans="1:10">
      <c r="A334" s="37" t="s">
        <v>1191</v>
      </c>
      <c r="B334" s="38" t="s">
        <v>63</v>
      </c>
      <c r="C334" s="37" t="s">
        <v>93</v>
      </c>
      <c r="D334" s="37" t="s">
        <v>65</v>
      </c>
      <c r="E334" s="113">
        <v>44228</v>
      </c>
      <c r="F334" s="43">
        <f t="shared" ca="1" si="10"/>
        <v>2</v>
      </c>
      <c r="G334" s="44" t="s">
        <v>68</v>
      </c>
      <c r="H334" s="45">
        <v>120157</v>
      </c>
      <c r="I334" s="38">
        <v>3</v>
      </c>
      <c r="J334" s="41">
        <f t="shared" si="11"/>
        <v>123437</v>
      </c>
    </row>
    <row r="335" spans="1:10">
      <c r="A335" s="37" t="s">
        <v>602</v>
      </c>
      <c r="B335" s="38" t="s">
        <v>60</v>
      </c>
      <c r="C335" s="37" t="s">
        <v>58</v>
      </c>
      <c r="D335" s="37" t="s">
        <v>65</v>
      </c>
      <c r="E335" s="113">
        <v>42963</v>
      </c>
      <c r="F335" s="43">
        <f t="shared" ca="1" si="10"/>
        <v>6</v>
      </c>
      <c r="G335" s="44" t="s">
        <v>68</v>
      </c>
      <c r="H335" s="45">
        <v>70134</v>
      </c>
      <c r="I335" s="38">
        <v>4</v>
      </c>
      <c r="J335" s="41">
        <f t="shared" si="11"/>
        <v>72049</v>
      </c>
    </row>
    <row r="336" spans="1:10">
      <c r="A336" s="37" t="s">
        <v>888</v>
      </c>
      <c r="B336" s="38" t="s">
        <v>63</v>
      </c>
      <c r="C336" s="37" t="s">
        <v>83</v>
      </c>
      <c r="D336" s="37" t="s">
        <v>72</v>
      </c>
      <c r="E336" s="113">
        <v>39896</v>
      </c>
      <c r="F336" s="43">
        <f t="shared" ca="1" si="10"/>
        <v>14</v>
      </c>
      <c r="G336" s="44"/>
      <c r="H336" s="45">
        <v>13069</v>
      </c>
      <c r="I336" s="38">
        <v>4</v>
      </c>
      <c r="J336" s="41">
        <f t="shared" si="11"/>
        <v>13426</v>
      </c>
    </row>
    <row r="337" spans="1:10">
      <c r="A337" s="37" t="s">
        <v>655</v>
      </c>
      <c r="B337" s="38" t="s">
        <v>57</v>
      </c>
      <c r="C337" s="37" t="s">
        <v>74</v>
      </c>
      <c r="D337" s="37" t="s">
        <v>65</v>
      </c>
      <c r="E337" s="113">
        <v>41203</v>
      </c>
      <c r="F337" s="43">
        <f t="shared" ca="1" si="10"/>
        <v>10</v>
      </c>
      <c r="G337" s="44" t="s">
        <v>66</v>
      </c>
      <c r="H337" s="45">
        <v>55114</v>
      </c>
      <c r="I337" s="38">
        <v>1</v>
      </c>
      <c r="J337" s="41">
        <f t="shared" si="11"/>
        <v>56619</v>
      </c>
    </row>
    <row r="338" spans="1:10">
      <c r="A338" s="37" t="s">
        <v>995</v>
      </c>
      <c r="B338" s="38" t="s">
        <v>60</v>
      </c>
      <c r="C338" s="37" t="s">
        <v>87</v>
      </c>
      <c r="D338" s="37" t="s">
        <v>65</v>
      </c>
      <c r="E338" s="113">
        <v>43958</v>
      </c>
      <c r="F338" s="43">
        <f t="shared" ca="1" si="10"/>
        <v>3</v>
      </c>
      <c r="G338" s="44" t="s">
        <v>68</v>
      </c>
      <c r="H338" s="45">
        <v>67679</v>
      </c>
      <c r="I338" s="38">
        <v>4</v>
      </c>
      <c r="J338" s="41">
        <f t="shared" si="11"/>
        <v>69527</v>
      </c>
    </row>
    <row r="339" spans="1:10">
      <c r="A339" s="37" t="s">
        <v>603</v>
      </c>
      <c r="B339" s="38" t="s">
        <v>61</v>
      </c>
      <c r="C339" s="37" t="s">
        <v>58</v>
      </c>
      <c r="D339" s="37" t="s">
        <v>65</v>
      </c>
      <c r="E339" s="113">
        <v>39549</v>
      </c>
      <c r="F339" s="43">
        <f t="shared" ca="1" si="10"/>
        <v>15</v>
      </c>
      <c r="G339" s="44" t="s">
        <v>70</v>
      </c>
      <c r="H339" s="45">
        <v>85181</v>
      </c>
      <c r="I339" s="38">
        <v>4</v>
      </c>
      <c r="J339" s="41">
        <f t="shared" si="11"/>
        <v>87506</v>
      </c>
    </row>
    <row r="340" spans="1:10">
      <c r="A340" s="37" t="s">
        <v>889</v>
      </c>
      <c r="B340" s="38" t="s">
        <v>63</v>
      </c>
      <c r="C340" s="37" t="s">
        <v>83</v>
      </c>
      <c r="D340" s="37" t="s">
        <v>65</v>
      </c>
      <c r="E340" s="113">
        <v>39587</v>
      </c>
      <c r="F340" s="43">
        <f t="shared" ca="1" si="10"/>
        <v>15</v>
      </c>
      <c r="G340" s="44" t="s">
        <v>68</v>
      </c>
      <c r="H340" s="45">
        <v>55946</v>
      </c>
      <c r="I340" s="38">
        <v>2</v>
      </c>
      <c r="J340" s="41">
        <f t="shared" si="11"/>
        <v>57473</v>
      </c>
    </row>
    <row r="341" spans="1:10">
      <c r="A341" s="37" t="s">
        <v>713</v>
      </c>
      <c r="B341" s="38" t="s">
        <v>60</v>
      </c>
      <c r="C341" s="37" t="s">
        <v>77</v>
      </c>
      <c r="D341" s="37" t="s">
        <v>59</v>
      </c>
      <c r="E341" s="113">
        <v>42561</v>
      </c>
      <c r="F341" s="43">
        <f t="shared" ca="1" si="10"/>
        <v>7</v>
      </c>
      <c r="G341" s="44"/>
      <c r="H341" s="45">
        <v>115207</v>
      </c>
      <c r="I341" s="38">
        <v>3</v>
      </c>
      <c r="J341" s="41">
        <f t="shared" si="11"/>
        <v>118352</v>
      </c>
    </row>
    <row r="342" spans="1:10">
      <c r="A342" s="37" t="s">
        <v>604</v>
      </c>
      <c r="B342" s="38" t="s">
        <v>62</v>
      </c>
      <c r="C342" s="37" t="s">
        <v>58</v>
      </c>
      <c r="D342" s="37" t="s">
        <v>65</v>
      </c>
      <c r="E342" s="113">
        <v>39509</v>
      </c>
      <c r="F342" s="43">
        <f t="shared" ca="1" si="10"/>
        <v>15</v>
      </c>
      <c r="G342" s="44" t="s">
        <v>67</v>
      </c>
      <c r="H342" s="45">
        <v>102267</v>
      </c>
      <c r="I342" s="38">
        <v>4</v>
      </c>
      <c r="J342" s="41">
        <f t="shared" si="11"/>
        <v>105059</v>
      </c>
    </row>
    <row r="343" spans="1:10">
      <c r="A343" s="37" t="s">
        <v>605</v>
      </c>
      <c r="B343" s="38" t="s">
        <v>63</v>
      </c>
      <c r="C343" s="37" t="s">
        <v>58</v>
      </c>
      <c r="D343" s="37" t="s">
        <v>65</v>
      </c>
      <c r="E343" s="113">
        <v>43728</v>
      </c>
      <c r="F343" s="43">
        <f t="shared" ca="1" si="10"/>
        <v>4</v>
      </c>
      <c r="G343" s="44" t="s">
        <v>68</v>
      </c>
      <c r="H343" s="45">
        <v>75154</v>
      </c>
      <c r="I343" s="38">
        <v>4</v>
      </c>
      <c r="J343" s="41">
        <f t="shared" si="11"/>
        <v>77206</v>
      </c>
    </row>
    <row r="344" spans="1:10">
      <c r="A344" s="37" t="s">
        <v>606</v>
      </c>
      <c r="B344" s="38" t="s">
        <v>61</v>
      </c>
      <c r="C344" s="37" t="s">
        <v>58</v>
      </c>
      <c r="D344" s="37" t="s">
        <v>65</v>
      </c>
      <c r="E344" s="113">
        <v>41159</v>
      </c>
      <c r="F344" s="43">
        <f t="shared" ca="1" si="10"/>
        <v>11</v>
      </c>
      <c r="G344" s="44" t="s">
        <v>67</v>
      </c>
      <c r="H344" s="45">
        <v>62547</v>
      </c>
      <c r="I344" s="38">
        <v>2</v>
      </c>
      <c r="J344" s="41">
        <f t="shared" si="11"/>
        <v>64255</v>
      </c>
    </row>
    <row r="345" spans="1:10">
      <c r="A345" s="37" t="s">
        <v>996</v>
      </c>
      <c r="B345" s="38" t="s">
        <v>60</v>
      </c>
      <c r="C345" s="37" t="s">
        <v>87</v>
      </c>
      <c r="D345" s="37" t="s">
        <v>71</v>
      </c>
      <c r="E345" s="113">
        <v>39712</v>
      </c>
      <c r="F345" s="43">
        <f t="shared" ca="1" si="10"/>
        <v>15</v>
      </c>
      <c r="G345" s="44" t="s">
        <v>70</v>
      </c>
      <c r="H345" s="45">
        <v>40052</v>
      </c>
      <c r="I345" s="38">
        <v>3</v>
      </c>
      <c r="J345" s="41">
        <f t="shared" si="11"/>
        <v>41145</v>
      </c>
    </row>
    <row r="346" spans="1:10">
      <c r="A346" s="37" t="s">
        <v>1192</v>
      </c>
      <c r="B346" s="38" t="s">
        <v>57</v>
      </c>
      <c r="C346" s="37" t="s">
        <v>93</v>
      </c>
      <c r="D346" s="37" t="s">
        <v>59</v>
      </c>
      <c r="E346" s="113">
        <v>40732</v>
      </c>
      <c r="F346" s="43">
        <f t="shared" ca="1" si="10"/>
        <v>12</v>
      </c>
      <c r="G346" s="44"/>
      <c r="H346" s="45">
        <v>35407</v>
      </c>
      <c r="I346" s="38">
        <v>3</v>
      </c>
      <c r="J346" s="41">
        <f t="shared" si="11"/>
        <v>36374</v>
      </c>
    </row>
    <row r="347" spans="1:10">
      <c r="A347" s="37" t="s">
        <v>997</v>
      </c>
      <c r="B347" s="38" t="s">
        <v>57</v>
      </c>
      <c r="C347" s="37" t="s">
        <v>87</v>
      </c>
      <c r="D347" s="37" t="s">
        <v>65</v>
      </c>
      <c r="E347" s="113">
        <v>43674</v>
      </c>
      <c r="F347" s="43">
        <f t="shared" ca="1" si="10"/>
        <v>4</v>
      </c>
      <c r="G347" s="44" t="s">
        <v>70</v>
      </c>
      <c r="H347" s="45">
        <v>61230</v>
      </c>
      <c r="I347" s="38">
        <v>4</v>
      </c>
      <c r="J347" s="41">
        <f t="shared" si="11"/>
        <v>62902</v>
      </c>
    </row>
    <row r="348" spans="1:10">
      <c r="A348" s="37" t="s">
        <v>1115</v>
      </c>
      <c r="B348" s="38" t="s">
        <v>64</v>
      </c>
      <c r="C348" s="37" t="s">
        <v>91</v>
      </c>
      <c r="D348" s="37" t="s">
        <v>65</v>
      </c>
      <c r="E348" s="113">
        <v>43039</v>
      </c>
      <c r="F348" s="43">
        <f t="shared" ca="1" si="10"/>
        <v>5</v>
      </c>
      <c r="G348" s="44" t="s">
        <v>70</v>
      </c>
      <c r="H348" s="45">
        <v>116094</v>
      </c>
      <c r="I348" s="38">
        <v>3</v>
      </c>
      <c r="J348" s="41">
        <f t="shared" si="11"/>
        <v>119263</v>
      </c>
    </row>
    <row r="349" spans="1:10">
      <c r="A349" s="37" t="s">
        <v>998</v>
      </c>
      <c r="B349" s="38" t="s">
        <v>60</v>
      </c>
      <c r="C349" s="37" t="s">
        <v>87</v>
      </c>
      <c r="D349" s="37" t="s">
        <v>71</v>
      </c>
      <c r="E349" s="113">
        <v>40729</v>
      </c>
      <c r="F349" s="43">
        <f t="shared" ca="1" si="10"/>
        <v>12</v>
      </c>
      <c r="G349" s="44" t="s">
        <v>67</v>
      </c>
      <c r="H349" s="45">
        <v>43146</v>
      </c>
      <c r="I349" s="38">
        <v>1</v>
      </c>
      <c r="J349" s="41">
        <f t="shared" si="11"/>
        <v>44324</v>
      </c>
    </row>
    <row r="350" spans="1:10">
      <c r="A350" s="37" t="s">
        <v>999</v>
      </c>
      <c r="B350" s="38" t="s">
        <v>62</v>
      </c>
      <c r="C350" s="37" t="s">
        <v>87</v>
      </c>
      <c r="D350" s="37" t="s">
        <v>65</v>
      </c>
      <c r="E350" s="113">
        <v>39983</v>
      </c>
      <c r="F350" s="43">
        <f t="shared" ca="1" si="10"/>
        <v>14</v>
      </c>
      <c r="G350" s="44" t="s">
        <v>70</v>
      </c>
      <c r="H350" s="45">
        <v>71299</v>
      </c>
      <c r="I350" s="38">
        <v>4</v>
      </c>
      <c r="J350" s="41">
        <f t="shared" si="11"/>
        <v>73245</v>
      </c>
    </row>
    <row r="351" spans="1:10">
      <c r="A351" s="37" t="s">
        <v>89</v>
      </c>
      <c r="B351" s="38" t="s">
        <v>61</v>
      </c>
      <c r="C351" s="37" t="s">
        <v>88</v>
      </c>
      <c r="D351" s="37" t="s">
        <v>59</v>
      </c>
      <c r="E351" s="113">
        <v>44320</v>
      </c>
      <c r="F351" s="43">
        <f t="shared" ca="1" si="10"/>
        <v>2</v>
      </c>
      <c r="G351" s="44"/>
      <c r="H351" s="45">
        <v>30955</v>
      </c>
      <c r="I351" s="38">
        <v>2</v>
      </c>
      <c r="J351" s="41">
        <f t="shared" si="11"/>
        <v>31800</v>
      </c>
    </row>
    <row r="352" spans="1:10">
      <c r="A352" s="37" t="s">
        <v>890</v>
      </c>
      <c r="B352" s="38" t="s">
        <v>64</v>
      </c>
      <c r="C352" s="37" t="s">
        <v>83</v>
      </c>
      <c r="D352" s="37" t="s">
        <v>72</v>
      </c>
      <c r="E352" s="113">
        <v>44647</v>
      </c>
      <c r="F352" s="43">
        <f t="shared" ca="1" si="10"/>
        <v>1</v>
      </c>
      <c r="G352" s="44"/>
      <c r="H352" s="45">
        <v>30987</v>
      </c>
      <c r="I352" s="38">
        <v>4</v>
      </c>
      <c r="J352" s="41">
        <f t="shared" si="11"/>
        <v>31833</v>
      </c>
    </row>
    <row r="353" spans="1:10">
      <c r="A353" s="37" t="s">
        <v>753</v>
      </c>
      <c r="B353" s="38" t="s">
        <v>61</v>
      </c>
      <c r="C353" s="37" t="s">
        <v>78</v>
      </c>
      <c r="D353" s="37" t="s">
        <v>65</v>
      </c>
      <c r="E353" s="113">
        <v>41474</v>
      </c>
      <c r="F353" s="43">
        <f t="shared" ca="1" si="10"/>
        <v>10</v>
      </c>
      <c r="G353" s="44" t="s">
        <v>68</v>
      </c>
      <c r="H353" s="45">
        <v>120005</v>
      </c>
      <c r="I353" s="38">
        <v>1</v>
      </c>
      <c r="J353" s="41">
        <f t="shared" si="11"/>
        <v>123281</v>
      </c>
    </row>
    <row r="354" spans="1:10">
      <c r="A354" s="37" t="s">
        <v>1193</v>
      </c>
      <c r="B354" s="38" t="s">
        <v>57</v>
      </c>
      <c r="C354" s="37" t="s">
        <v>93</v>
      </c>
      <c r="D354" s="37" t="s">
        <v>59</v>
      </c>
      <c r="E354" s="113">
        <v>40656</v>
      </c>
      <c r="F354" s="43">
        <f t="shared" ca="1" si="10"/>
        <v>12</v>
      </c>
      <c r="G354" s="44"/>
      <c r="H354" s="45">
        <v>106977</v>
      </c>
      <c r="I354" s="38">
        <v>5</v>
      </c>
      <c r="J354" s="41">
        <f t="shared" si="11"/>
        <v>109897</v>
      </c>
    </row>
    <row r="355" spans="1:10">
      <c r="A355" s="37" t="s">
        <v>1194</v>
      </c>
      <c r="B355" s="38" t="s">
        <v>61</v>
      </c>
      <c r="C355" s="37" t="s">
        <v>93</v>
      </c>
      <c r="D355" s="37" t="s">
        <v>59</v>
      </c>
      <c r="E355" s="113">
        <v>44154</v>
      </c>
      <c r="F355" s="43">
        <f t="shared" ca="1" si="10"/>
        <v>2</v>
      </c>
      <c r="G355" s="44"/>
      <c r="H355" s="45">
        <v>76985</v>
      </c>
      <c r="I355" s="38">
        <v>3</v>
      </c>
      <c r="J355" s="41">
        <f t="shared" si="11"/>
        <v>79087</v>
      </c>
    </row>
    <row r="356" spans="1:10">
      <c r="A356" s="37" t="s">
        <v>1195</v>
      </c>
      <c r="B356" s="38" t="s">
        <v>63</v>
      </c>
      <c r="C356" s="37" t="s">
        <v>93</v>
      </c>
      <c r="D356" s="37" t="s">
        <v>59</v>
      </c>
      <c r="E356" s="113">
        <v>42697</v>
      </c>
      <c r="F356" s="43">
        <f t="shared" ca="1" si="10"/>
        <v>6</v>
      </c>
      <c r="G356" s="44"/>
      <c r="H356" s="45">
        <v>89123</v>
      </c>
      <c r="I356" s="38">
        <v>3</v>
      </c>
      <c r="J356" s="41">
        <f t="shared" si="11"/>
        <v>91556</v>
      </c>
    </row>
    <row r="357" spans="1:10">
      <c r="A357" s="37" t="s">
        <v>1262</v>
      </c>
      <c r="B357" s="38" t="s">
        <v>64</v>
      </c>
      <c r="C357" s="37" t="s">
        <v>97</v>
      </c>
      <c r="D357" s="37" t="s">
        <v>65</v>
      </c>
      <c r="E357" s="113">
        <v>40158</v>
      </c>
      <c r="F357" s="43">
        <f t="shared" ca="1" si="10"/>
        <v>13</v>
      </c>
      <c r="G357" s="44" t="s">
        <v>69</v>
      </c>
      <c r="H357" s="45">
        <v>63033</v>
      </c>
      <c r="I357" s="38">
        <v>5</v>
      </c>
      <c r="J357" s="41">
        <f t="shared" si="11"/>
        <v>64754</v>
      </c>
    </row>
    <row r="358" spans="1:10">
      <c r="A358" s="37" t="s">
        <v>891</v>
      </c>
      <c r="B358" s="38" t="s">
        <v>57</v>
      </c>
      <c r="C358" s="37" t="s">
        <v>83</v>
      </c>
      <c r="D358" s="37" t="s">
        <v>65</v>
      </c>
      <c r="E358" s="113">
        <v>42903</v>
      </c>
      <c r="F358" s="43">
        <f t="shared" ca="1" si="10"/>
        <v>6</v>
      </c>
      <c r="G358" s="44" t="s">
        <v>67</v>
      </c>
      <c r="H358" s="45">
        <v>98509</v>
      </c>
      <c r="I358" s="38">
        <v>3</v>
      </c>
      <c r="J358" s="41">
        <f t="shared" si="11"/>
        <v>101198</v>
      </c>
    </row>
    <row r="359" spans="1:10">
      <c r="A359" s="37" t="s">
        <v>1196</v>
      </c>
      <c r="B359" s="38" t="s">
        <v>63</v>
      </c>
      <c r="C359" s="37" t="s">
        <v>93</v>
      </c>
      <c r="D359" s="37" t="s">
        <v>59</v>
      </c>
      <c r="E359" s="113">
        <v>40690</v>
      </c>
      <c r="F359" s="43">
        <f t="shared" ca="1" si="10"/>
        <v>12</v>
      </c>
      <c r="G359" s="44"/>
      <c r="H359" s="45">
        <v>39207</v>
      </c>
      <c r="I359" s="38">
        <v>5</v>
      </c>
      <c r="J359" s="41">
        <f t="shared" si="11"/>
        <v>40277</v>
      </c>
    </row>
    <row r="360" spans="1:10">
      <c r="A360" s="37" t="s">
        <v>714</v>
      </c>
      <c r="B360" s="38" t="s">
        <v>61</v>
      </c>
      <c r="C360" s="37" t="s">
        <v>77</v>
      </c>
      <c r="D360" s="37" t="s">
        <v>59</v>
      </c>
      <c r="E360" s="113">
        <v>42447</v>
      </c>
      <c r="F360" s="43">
        <f t="shared" ca="1" si="10"/>
        <v>7</v>
      </c>
      <c r="G360" s="44"/>
      <c r="H360" s="45">
        <v>116773</v>
      </c>
      <c r="I360" s="38">
        <v>2</v>
      </c>
      <c r="J360" s="41">
        <f t="shared" si="11"/>
        <v>119961</v>
      </c>
    </row>
    <row r="361" spans="1:10">
      <c r="A361" s="37" t="s">
        <v>754</v>
      </c>
      <c r="B361" s="38" t="s">
        <v>61</v>
      </c>
      <c r="C361" s="37" t="s">
        <v>78</v>
      </c>
      <c r="D361" s="37" t="s">
        <v>65</v>
      </c>
      <c r="E361" s="113">
        <v>43514</v>
      </c>
      <c r="F361" s="43">
        <f t="shared" ca="1" si="10"/>
        <v>4</v>
      </c>
      <c r="G361" s="44" t="s">
        <v>68</v>
      </c>
      <c r="H361" s="45">
        <v>106011</v>
      </c>
      <c r="I361" s="38">
        <v>3</v>
      </c>
      <c r="J361" s="41">
        <f t="shared" si="11"/>
        <v>108905</v>
      </c>
    </row>
    <row r="362" spans="1:10">
      <c r="A362" s="37" t="s">
        <v>687</v>
      </c>
      <c r="B362" s="38" t="s">
        <v>57</v>
      </c>
      <c r="C362" s="37" t="s">
        <v>76</v>
      </c>
      <c r="D362" s="37" t="s">
        <v>65</v>
      </c>
      <c r="E362" s="113">
        <v>42392</v>
      </c>
      <c r="F362" s="43">
        <f t="shared" ca="1" si="10"/>
        <v>7</v>
      </c>
      <c r="G362" s="44" t="s">
        <v>66</v>
      </c>
      <c r="H362" s="45">
        <v>36766</v>
      </c>
      <c r="I362" s="38">
        <v>1</v>
      </c>
      <c r="J362" s="41">
        <f t="shared" si="11"/>
        <v>37770</v>
      </c>
    </row>
    <row r="363" spans="1:10">
      <c r="A363" s="37" t="s">
        <v>1116</v>
      </c>
      <c r="B363" s="38" t="s">
        <v>60</v>
      </c>
      <c r="C363" s="37" t="s">
        <v>91</v>
      </c>
      <c r="D363" s="37" t="s">
        <v>72</v>
      </c>
      <c r="E363" s="113">
        <v>44152</v>
      </c>
      <c r="F363" s="43">
        <f t="shared" ca="1" si="10"/>
        <v>2</v>
      </c>
      <c r="G363" s="44"/>
      <c r="H363" s="45">
        <v>42255</v>
      </c>
      <c r="I363" s="38">
        <v>2</v>
      </c>
      <c r="J363" s="41">
        <f t="shared" si="11"/>
        <v>43409</v>
      </c>
    </row>
    <row r="364" spans="1:10">
      <c r="A364" s="37" t="s">
        <v>607</v>
      </c>
      <c r="B364" s="38" t="s">
        <v>64</v>
      </c>
      <c r="C364" s="37" t="s">
        <v>58</v>
      </c>
      <c r="D364" s="37" t="s">
        <v>71</v>
      </c>
      <c r="E364" s="113">
        <v>39808</v>
      </c>
      <c r="F364" s="43">
        <f t="shared" ca="1" si="10"/>
        <v>14</v>
      </c>
      <c r="G364" s="44" t="s">
        <v>70</v>
      </c>
      <c r="H364" s="45">
        <v>31169</v>
      </c>
      <c r="I364" s="38">
        <v>4</v>
      </c>
      <c r="J364" s="41">
        <f t="shared" si="11"/>
        <v>32020</v>
      </c>
    </row>
    <row r="365" spans="1:10">
      <c r="A365" s="37" t="s">
        <v>1117</v>
      </c>
      <c r="B365" s="38" t="s">
        <v>63</v>
      </c>
      <c r="C365" s="37" t="s">
        <v>91</v>
      </c>
      <c r="D365" s="37" t="s">
        <v>71</v>
      </c>
      <c r="E365" s="113">
        <v>40122</v>
      </c>
      <c r="F365" s="43">
        <f t="shared" ca="1" si="10"/>
        <v>13</v>
      </c>
      <c r="G365" s="44" t="s">
        <v>66</v>
      </c>
      <c r="H365" s="45">
        <v>29111</v>
      </c>
      <c r="I365" s="38">
        <v>4</v>
      </c>
      <c r="J365" s="41">
        <f t="shared" si="11"/>
        <v>29906</v>
      </c>
    </row>
    <row r="366" spans="1:10">
      <c r="A366" s="37" t="s">
        <v>1197</v>
      </c>
      <c r="B366" s="38" t="s">
        <v>63</v>
      </c>
      <c r="C366" s="37" t="s">
        <v>93</v>
      </c>
      <c r="D366" s="37" t="s">
        <v>65</v>
      </c>
      <c r="E366" s="113">
        <v>43375</v>
      </c>
      <c r="F366" s="43">
        <f t="shared" ca="1" si="10"/>
        <v>4</v>
      </c>
      <c r="G366" s="44" t="s">
        <v>68</v>
      </c>
      <c r="H366" s="45">
        <v>96401</v>
      </c>
      <c r="I366" s="38">
        <v>5</v>
      </c>
      <c r="J366" s="41">
        <f t="shared" si="11"/>
        <v>99033</v>
      </c>
    </row>
    <row r="367" spans="1:10">
      <c r="A367" s="37" t="s">
        <v>761</v>
      </c>
      <c r="B367" s="38" t="s">
        <v>60</v>
      </c>
      <c r="C367" s="37" t="s">
        <v>79</v>
      </c>
      <c r="D367" s="37" t="s">
        <v>59</v>
      </c>
      <c r="E367" s="113">
        <v>42329</v>
      </c>
      <c r="F367" s="43">
        <f t="shared" ca="1" si="10"/>
        <v>7</v>
      </c>
      <c r="G367" s="44"/>
      <c r="H367" s="45">
        <v>34838</v>
      </c>
      <c r="I367" s="38">
        <v>2</v>
      </c>
      <c r="J367" s="41">
        <f t="shared" si="11"/>
        <v>35789</v>
      </c>
    </row>
    <row r="368" spans="1:10">
      <c r="A368" s="37" t="s">
        <v>1000</v>
      </c>
      <c r="B368" s="38" t="s">
        <v>61</v>
      </c>
      <c r="C368" s="37" t="s">
        <v>87</v>
      </c>
      <c r="D368" s="37" t="s">
        <v>65</v>
      </c>
      <c r="E368" s="113">
        <v>44502</v>
      </c>
      <c r="F368" s="43">
        <f t="shared" ca="1" si="10"/>
        <v>1</v>
      </c>
      <c r="G368" s="44" t="s">
        <v>67</v>
      </c>
      <c r="H368" s="45">
        <v>120823</v>
      </c>
      <c r="I368" s="38">
        <v>3</v>
      </c>
      <c r="J368" s="41">
        <f t="shared" si="11"/>
        <v>124121</v>
      </c>
    </row>
    <row r="369" spans="1:10">
      <c r="A369" s="37" t="s">
        <v>1001</v>
      </c>
      <c r="B369" s="38" t="s">
        <v>57</v>
      </c>
      <c r="C369" s="37" t="s">
        <v>87</v>
      </c>
      <c r="D369" s="37" t="s">
        <v>59</v>
      </c>
      <c r="E369" s="113">
        <v>42758</v>
      </c>
      <c r="F369" s="43">
        <f t="shared" ca="1" si="10"/>
        <v>6</v>
      </c>
      <c r="G369" s="44"/>
      <c r="H369" s="45">
        <v>40219</v>
      </c>
      <c r="I369" s="38">
        <v>5</v>
      </c>
      <c r="J369" s="41">
        <f t="shared" si="11"/>
        <v>41317</v>
      </c>
    </row>
    <row r="370" spans="1:10">
      <c r="A370" s="37" t="s">
        <v>1198</v>
      </c>
      <c r="B370" s="38" t="s">
        <v>60</v>
      </c>
      <c r="C370" s="37" t="s">
        <v>93</v>
      </c>
      <c r="D370" s="37" t="s">
        <v>71</v>
      </c>
      <c r="E370" s="113">
        <v>42396</v>
      </c>
      <c r="F370" s="43">
        <f t="shared" ca="1" si="10"/>
        <v>7</v>
      </c>
      <c r="G370" s="44" t="s">
        <v>67</v>
      </c>
      <c r="H370" s="45">
        <v>18987</v>
      </c>
      <c r="I370" s="38">
        <v>5</v>
      </c>
      <c r="J370" s="41">
        <f t="shared" si="11"/>
        <v>19505</v>
      </c>
    </row>
    <row r="371" spans="1:10">
      <c r="A371" s="37" t="s">
        <v>1072</v>
      </c>
      <c r="B371" s="38" t="s">
        <v>63</v>
      </c>
      <c r="C371" s="37" t="s">
        <v>90</v>
      </c>
      <c r="D371" s="37" t="s">
        <v>65</v>
      </c>
      <c r="E371" s="113">
        <v>44216</v>
      </c>
      <c r="F371" s="43">
        <f t="shared" ca="1" si="10"/>
        <v>2</v>
      </c>
      <c r="G371" s="44" t="s">
        <v>69</v>
      </c>
      <c r="H371" s="45">
        <v>48984</v>
      </c>
      <c r="I371" s="38">
        <v>3</v>
      </c>
      <c r="J371" s="41">
        <f t="shared" si="11"/>
        <v>50321</v>
      </c>
    </row>
    <row r="372" spans="1:10">
      <c r="A372" s="37" t="s">
        <v>1002</v>
      </c>
      <c r="B372" s="38" t="s">
        <v>60</v>
      </c>
      <c r="C372" s="37" t="s">
        <v>87</v>
      </c>
      <c r="D372" s="37" t="s">
        <v>71</v>
      </c>
      <c r="E372" s="113">
        <v>43462</v>
      </c>
      <c r="F372" s="43">
        <f t="shared" ca="1" si="10"/>
        <v>4</v>
      </c>
      <c r="G372" s="44" t="s">
        <v>66</v>
      </c>
      <c r="H372" s="45">
        <v>53498</v>
      </c>
      <c r="I372" s="38">
        <v>2</v>
      </c>
      <c r="J372" s="41">
        <f t="shared" si="11"/>
        <v>54958</v>
      </c>
    </row>
    <row r="373" spans="1:10">
      <c r="A373" s="37" t="s">
        <v>688</v>
      </c>
      <c r="B373" s="38" t="s">
        <v>61</v>
      </c>
      <c r="C373" s="37" t="s">
        <v>76</v>
      </c>
      <c r="D373" s="37" t="s">
        <v>65</v>
      </c>
      <c r="E373" s="113">
        <v>42738</v>
      </c>
      <c r="F373" s="43">
        <f t="shared" ca="1" si="10"/>
        <v>6</v>
      </c>
      <c r="G373" s="44" t="s">
        <v>70</v>
      </c>
      <c r="H373" s="45">
        <v>60578</v>
      </c>
      <c r="I373" s="38">
        <v>5</v>
      </c>
      <c r="J373" s="41">
        <f t="shared" si="11"/>
        <v>62232</v>
      </c>
    </row>
    <row r="374" spans="1:10">
      <c r="A374" s="37" t="s">
        <v>1118</v>
      </c>
      <c r="B374" s="38" t="s">
        <v>63</v>
      </c>
      <c r="C374" s="37" t="s">
        <v>91</v>
      </c>
      <c r="D374" s="37" t="s">
        <v>59</v>
      </c>
      <c r="E374" s="113">
        <v>44317</v>
      </c>
      <c r="F374" s="43">
        <f t="shared" ca="1" si="10"/>
        <v>2</v>
      </c>
      <c r="G374" s="44"/>
      <c r="H374" s="45">
        <v>64697</v>
      </c>
      <c r="I374" s="38">
        <v>2</v>
      </c>
      <c r="J374" s="41">
        <f t="shared" si="11"/>
        <v>66463</v>
      </c>
    </row>
    <row r="375" spans="1:10">
      <c r="A375" s="37" t="s">
        <v>1199</v>
      </c>
      <c r="B375" s="38" t="s">
        <v>63</v>
      </c>
      <c r="C375" s="37" t="s">
        <v>93</v>
      </c>
      <c r="D375" s="37" t="s">
        <v>65</v>
      </c>
      <c r="E375" s="113">
        <v>44175</v>
      </c>
      <c r="F375" s="43">
        <f t="shared" ca="1" si="10"/>
        <v>2</v>
      </c>
      <c r="G375" s="44" t="s">
        <v>68</v>
      </c>
      <c r="H375" s="45">
        <v>33562</v>
      </c>
      <c r="I375" s="38">
        <v>5</v>
      </c>
      <c r="J375" s="41">
        <f t="shared" si="11"/>
        <v>34478</v>
      </c>
    </row>
    <row r="376" spans="1:10">
      <c r="A376" s="37" t="s">
        <v>1040</v>
      </c>
      <c r="B376" s="38" t="s">
        <v>60</v>
      </c>
      <c r="C376" s="37" t="s">
        <v>88</v>
      </c>
      <c r="D376" s="37" t="s">
        <v>71</v>
      </c>
      <c r="E376" s="113">
        <v>44605</v>
      </c>
      <c r="F376" s="43">
        <f t="shared" ca="1" si="10"/>
        <v>1</v>
      </c>
      <c r="G376" s="44" t="s">
        <v>68</v>
      </c>
      <c r="H376" s="45">
        <v>47306</v>
      </c>
      <c r="I376" s="38">
        <v>4</v>
      </c>
      <c r="J376" s="41">
        <f t="shared" si="11"/>
        <v>48597</v>
      </c>
    </row>
    <row r="377" spans="1:10">
      <c r="A377" s="37" t="s">
        <v>1200</v>
      </c>
      <c r="B377" s="38" t="s">
        <v>57</v>
      </c>
      <c r="C377" s="37" t="s">
        <v>93</v>
      </c>
      <c r="D377" s="37" t="s">
        <v>72</v>
      </c>
      <c r="E377" s="113">
        <v>40049</v>
      </c>
      <c r="F377" s="43">
        <f t="shared" ca="1" si="10"/>
        <v>14</v>
      </c>
      <c r="G377" s="44"/>
      <c r="H377" s="45">
        <v>45123</v>
      </c>
      <c r="I377" s="38">
        <v>2</v>
      </c>
      <c r="J377" s="41">
        <f t="shared" si="11"/>
        <v>46355</v>
      </c>
    </row>
    <row r="378" spans="1:10">
      <c r="A378" s="37" t="s">
        <v>892</v>
      </c>
      <c r="B378" s="38" t="s">
        <v>61</v>
      </c>
      <c r="C378" s="37" t="s">
        <v>83</v>
      </c>
      <c r="D378" s="37" t="s">
        <v>59</v>
      </c>
      <c r="E378" s="113">
        <v>40568</v>
      </c>
      <c r="F378" s="43">
        <f t="shared" ca="1" si="10"/>
        <v>12</v>
      </c>
      <c r="G378" s="44"/>
      <c r="H378" s="45">
        <v>95014</v>
      </c>
      <c r="I378" s="38">
        <v>5</v>
      </c>
      <c r="J378" s="41">
        <f t="shared" si="11"/>
        <v>97608</v>
      </c>
    </row>
    <row r="379" spans="1:10">
      <c r="A379" s="37" t="s">
        <v>715</v>
      </c>
      <c r="B379" s="38" t="s">
        <v>63</v>
      </c>
      <c r="C379" s="37" t="s">
        <v>77</v>
      </c>
      <c r="D379" s="37" t="s">
        <v>59</v>
      </c>
      <c r="E379" s="113">
        <v>39493</v>
      </c>
      <c r="F379" s="43">
        <f t="shared" ca="1" si="10"/>
        <v>15</v>
      </c>
      <c r="G379" s="44"/>
      <c r="H379" s="45">
        <v>87843</v>
      </c>
      <c r="I379" s="38">
        <v>3</v>
      </c>
      <c r="J379" s="41">
        <f t="shared" si="11"/>
        <v>90241</v>
      </c>
    </row>
    <row r="380" spans="1:10">
      <c r="A380" s="37" t="s">
        <v>608</v>
      </c>
      <c r="B380" s="38" t="s">
        <v>63</v>
      </c>
      <c r="C380" s="37" t="s">
        <v>58</v>
      </c>
      <c r="D380" s="37" t="s">
        <v>65</v>
      </c>
      <c r="E380" s="113">
        <v>42873</v>
      </c>
      <c r="F380" s="43">
        <f t="shared" ca="1" si="10"/>
        <v>6</v>
      </c>
      <c r="G380" s="44" t="s">
        <v>66</v>
      </c>
      <c r="H380" s="45">
        <v>96275</v>
      </c>
      <c r="I380" s="38">
        <v>2</v>
      </c>
      <c r="J380" s="41">
        <f t="shared" si="11"/>
        <v>98903</v>
      </c>
    </row>
    <row r="381" spans="1:10">
      <c r="A381" s="37" t="s">
        <v>1003</v>
      </c>
      <c r="B381" s="38" t="s">
        <v>61</v>
      </c>
      <c r="C381" s="37" t="s">
        <v>87</v>
      </c>
      <c r="D381" s="37" t="s">
        <v>72</v>
      </c>
      <c r="E381" s="113">
        <v>44201</v>
      </c>
      <c r="F381" s="43">
        <f t="shared" ca="1" si="10"/>
        <v>2</v>
      </c>
      <c r="G381" s="44"/>
      <c r="H381" s="45">
        <v>51097</v>
      </c>
      <c r="I381" s="38">
        <v>4</v>
      </c>
      <c r="J381" s="41">
        <f t="shared" si="11"/>
        <v>52492</v>
      </c>
    </row>
    <row r="382" spans="1:10">
      <c r="A382" s="37" t="s">
        <v>1246</v>
      </c>
      <c r="B382" s="38" t="s">
        <v>60</v>
      </c>
      <c r="C382" s="37" t="s">
        <v>95</v>
      </c>
      <c r="D382" s="37" t="s">
        <v>65</v>
      </c>
      <c r="E382" s="113">
        <v>40664</v>
      </c>
      <c r="F382" s="43">
        <f t="shared" ca="1" si="10"/>
        <v>12</v>
      </c>
      <c r="G382" s="44" t="s">
        <v>69</v>
      </c>
      <c r="H382" s="45">
        <v>56417</v>
      </c>
      <c r="I382" s="38">
        <v>5</v>
      </c>
      <c r="J382" s="41">
        <f t="shared" si="11"/>
        <v>57957</v>
      </c>
    </row>
    <row r="383" spans="1:10">
      <c r="A383" s="37" t="s">
        <v>1041</v>
      </c>
      <c r="B383" s="38" t="s">
        <v>60</v>
      </c>
      <c r="C383" s="37" t="s">
        <v>88</v>
      </c>
      <c r="D383" s="37" t="s">
        <v>65</v>
      </c>
      <c r="E383" s="113">
        <v>40234</v>
      </c>
      <c r="F383" s="43">
        <f t="shared" ca="1" si="10"/>
        <v>13</v>
      </c>
      <c r="G383" s="44" t="s">
        <v>70</v>
      </c>
      <c r="H383" s="45">
        <v>98994</v>
      </c>
      <c r="I383" s="38">
        <v>2</v>
      </c>
      <c r="J383" s="41">
        <f t="shared" si="11"/>
        <v>101697</v>
      </c>
    </row>
    <row r="384" spans="1:10">
      <c r="A384" s="37" t="s">
        <v>1263</v>
      </c>
      <c r="B384" s="38" t="s">
        <v>63</v>
      </c>
      <c r="C384" s="37" t="s">
        <v>97</v>
      </c>
      <c r="D384" s="37" t="s">
        <v>65</v>
      </c>
      <c r="E384" s="113">
        <v>39766</v>
      </c>
      <c r="F384" s="43">
        <f t="shared" ca="1" si="10"/>
        <v>14</v>
      </c>
      <c r="G384" s="44" t="s">
        <v>70</v>
      </c>
      <c r="H384" s="45">
        <v>32619</v>
      </c>
      <c r="I384" s="38">
        <v>2</v>
      </c>
      <c r="J384" s="41">
        <f t="shared" si="11"/>
        <v>33509</v>
      </c>
    </row>
    <row r="385" spans="1:10">
      <c r="A385" s="37" t="s">
        <v>1201</v>
      </c>
      <c r="B385" s="38" t="s">
        <v>61</v>
      </c>
      <c r="C385" s="37" t="s">
        <v>93</v>
      </c>
      <c r="D385" s="37" t="s">
        <v>65</v>
      </c>
      <c r="E385" s="113">
        <v>44577</v>
      </c>
      <c r="F385" s="43">
        <f t="shared" ca="1" si="10"/>
        <v>1</v>
      </c>
      <c r="G385" s="44" t="s">
        <v>67</v>
      </c>
      <c r="H385" s="45">
        <v>64559</v>
      </c>
      <c r="I385" s="38">
        <v>4</v>
      </c>
      <c r="J385" s="41">
        <f t="shared" si="11"/>
        <v>66321</v>
      </c>
    </row>
    <row r="386" spans="1:10">
      <c r="A386" s="37" t="s">
        <v>1202</v>
      </c>
      <c r="B386" s="38" t="s">
        <v>61</v>
      </c>
      <c r="C386" s="37" t="s">
        <v>93</v>
      </c>
      <c r="D386" s="37" t="s">
        <v>59</v>
      </c>
      <c r="E386" s="113">
        <v>44114</v>
      </c>
      <c r="F386" s="43">
        <f t="shared" ref="F386:F449" ca="1" si="12">DATEDIF(E386,TODAY(),"Y")</f>
        <v>2</v>
      </c>
      <c r="G386" s="44"/>
      <c r="H386" s="45">
        <v>64586</v>
      </c>
      <c r="I386" s="38">
        <v>4</v>
      </c>
      <c r="J386" s="41">
        <f t="shared" ref="J386:J449" si="13">ROUND(H386*$L$1+H386,0)</f>
        <v>66349</v>
      </c>
    </row>
    <row r="387" spans="1:10">
      <c r="A387" s="37" t="s">
        <v>1203</v>
      </c>
      <c r="B387" s="38" t="s">
        <v>60</v>
      </c>
      <c r="C387" s="37" t="s">
        <v>93</v>
      </c>
      <c r="D387" s="37" t="s">
        <v>65</v>
      </c>
      <c r="E387" s="113">
        <v>41938</v>
      </c>
      <c r="F387" s="43">
        <f t="shared" ca="1" si="12"/>
        <v>8</v>
      </c>
      <c r="G387" s="44" t="s">
        <v>70</v>
      </c>
      <c r="H387" s="45">
        <v>112807</v>
      </c>
      <c r="I387" s="38">
        <v>2</v>
      </c>
      <c r="J387" s="41">
        <f t="shared" si="13"/>
        <v>115887</v>
      </c>
    </row>
    <row r="388" spans="1:10">
      <c r="A388" s="37" t="s">
        <v>609</v>
      </c>
      <c r="B388" s="38" t="s">
        <v>61</v>
      </c>
      <c r="C388" s="37" t="s">
        <v>58</v>
      </c>
      <c r="D388" s="37" t="s">
        <v>72</v>
      </c>
      <c r="E388" s="113">
        <v>39931</v>
      </c>
      <c r="F388" s="43">
        <f t="shared" ca="1" si="12"/>
        <v>14</v>
      </c>
      <c r="G388" s="44"/>
      <c r="H388" s="45">
        <v>51336</v>
      </c>
      <c r="I388" s="38">
        <v>4</v>
      </c>
      <c r="J388" s="41">
        <f t="shared" si="13"/>
        <v>52737</v>
      </c>
    </row>
    <row r="389" spans="1:10">
      <c r="A389" s="37" t="s">
        <v>893</v>
      </c>
      <c r="B389" s="38" t="s">
        <v>63</v>
      </c>
      <c r="C389" s="37" t="s">
        <v>83</v>
      </c>
      <c r="D389" s="37" t="s">
        <v>65</v>
      </c>
      <c r="E389" s="113">
        <v>41027</v>
      </c>
      <c r="F389" s="43">
        <f t="shared" ca="1" si="12"/>
        <v>11</v>
      </c>
      <c r="G389" s="44" t="s">
        <v>66</v>
      </c>
      <c r="H389" s="45">
        <v>88940</v>
      </c>
      <c r="I389" s="38">
        <v>1</v>
      </c>
      <c r="J389" s="41">
        <f t="shared" si="13"/>
        <v>91368</v>
      </c>
    </row>
    <row r="390" spans="1:10">
      <c r="A390" s="37" t="s">
        <v>1264</v>
      </c>
      <c r="B390" s="38" t="s">
        <v>62</v>
      </c>
      <c r="C390" s="37" t="s">
        <v>97</v>
      </c>
      <c r="D390" s="37" t="s">
        <v>59</v>
      </c>
      <c r="E390" s="113">
        <v>43924</v>
      </c>
      <c r="F390" s="43">
        <f t="shared" ca="1" si="12"/>
        <v>3</v>
      </c>
      <c r="G390" s="44"/>
      <c r="H390" s="45">
        <v>102655</v>
      </c>
      <c r="I390" s="38">
        <v>2</v>
      </c>
      <c r="J390" s="41">
        <f t="shared" si="13"/>
        <v>105457</v>
      </c>
    </row>
    <row r="391" spans="1:10">
      <c r="A391" s="37" t="s">
        <v>656</v>
      </c>
      <c r="B391" s="38" t="s">
        <v>61</v>
      </c>
      <c r="C391" s="37" t="s">
        <v>74</v>
      </c>
      <c r="D391" s="37" t="s">
        <v>65</v>
      </c>
      <c r="E391" s="113">
        <v>44719</v>
      </c>
      <c r="F391" s="43">
        <f t="shared" ca="1" si="12"/>
        <v>1</v>
      </c>
      <c r="G391" s="44" t="s">
        <v>70</v>
      </c>
      <c r="H391" s="45">
        <v>114776</v>
      </c>
      <c r="I391" s="38">
        <v>4</v>
      </c>
      <c r="J391" s="41">
        <f t="shared" si="13"/>
        <v>117909</v>
      </c>
    </row>
    <row r="392" spans="1:10">
      <c r="A392" s="37" t="s">
        <v>894</v>
      </c>
      <c r="B392" s="38" t="s">
        <v>63</v>
      </c>
      <c r="C392" s="37" t="s">
        <v>83</v>
      </c>
      <c r="D392" s="37" t="s">
        <v>59</v>
      </c>
      <c r="E392" s="113">
        <v>42329</v>
      </c>
      <c r="F392" s="43">
        <f t="shared" ca="1" si="12"/>
        <v>7</v>
      </c>
      <c r="G392" s="44"/>
      <c r="H392" s="45">
        <v>58456</v>
      </c>
      <c r="I392" s="38">
        <v>5</v>
      </c>
      <c r="J392" s="41">
        <f t="shared" si="13"/>
        <v>60052</v>
      </c>
    </row>
    <row r="393" spans="1:10">
      <c r="A393" s="37" t="s">
        <v>610</v>
      </c>
      <c r="B393" s="38" t="s">
        <v>64</v>
      </c>
      <c r="C393" s="37" t="s">
        <v>58</v>
      </c>
      <c r="D393" s="37" t="s">
        <v>65</v>
      </c>
      <c r="E393" s="113">
        <v>41439</v>
      </c>
      <c r="F393" s="43">
        <f t="shared" ca="1" si="12"/>
        <v>10</v>
      </c>
      <c r="G393" s="44" t="s">
        <v>67</v>
      </c>
      <c r="H393" s="45">
        <v>106664</v>
      </c>
      <c r="I393" s="38">
        <v>2</v>
      </c>
      <c r="J393" s="41">
        <f t="shared" si="13"/>
        <v>109576</v>
      </c>
    </row>
    <row r="394" spans="1:10">
      <c r="A394" s="37" t="s">
        <v>1204</v>
      </c>
      <c r="B394" s="38" t="s">
        <v>63</v>
      </c>
      <c r="C394" s="37" t="s">
        <v>93</v>
      </c>
      <c r="D394" s="37" t="s">
        <v>59</v>
      </c>
      <c r="E394" s="113">
        <v>44402</v>
      </c>
      <c r="F394" s="43">
        <f t="shared" ca="1" si="12"/>
        <v>2</v>
      </c>
      <c r="G394" s="44"/>
      <c r="H394" s="45">
        <v>84784</v>
      </c>
      <c r="I394" s="38">
        <v>4</v>
      </c>
      <c r="J394" s="41">
        <f t="shared" si="13"/>
        <v>87099</v>
      </c>
    </row>
    <row r="395" spans="1:10">
      <c r="A395" s="37" t="s">
        <v>1004</v>
      </c>
      <c r="B395" s="38" t="s">
        <v>57</v>
      </c>
      <c r="C395" s="37" t="s">
        <v>87</v>
      </c>
      <c r="D395" s="37" t="s">
        <v>65</v>
      </c>
      <c r="E395" s="113">
        <v>39888</v>
      </c>
      <c r="F395" s="43">
        <f t="shared" ca="1" si="12"/>
        <v>14</v>
      </c>
      <c r="G395" s="44" t="s">
        <v>68</v>
      </c>
      <c r="H395" s="45">
        <v>63837</v>
      </c>
      <c r="I395" s="38">
        <v>2</v>
      </c>
      <c r="J395" s="41">
        <f t="shared" si="13"/>
        <v>65580</v>
      </c>
    </row>
    <row r="396" spans="1:10">
      <c r="A396" s="37" t="s">
        <v>1042</v>
      </c>
      <c r="B396" s="38" t="s">
        <v>62</v>
      </c>
      <c r="C396" s="37" t="s">
        <v>88</v>
      </c>
      <c r="D396" s="37" t="s">
        <v>65</v>
      </c>
      <c r="E396" s="113">
        <v>44819</v>
      </c>
      <c r="F396" s="43">
        <f t="shared" ca="1" si="12"/>
        <v>1</v>
      </c>
      <c r="G396" s="44" t="s">
        <v>70</v>
      </c>
      <c r="H396" s="45">
        <v>64267</v>
      </c>
      <c r="I396" s="38">
        <v>5</v>
      </c>
      <c r="J396" s="41">
        <f t="shared" si="13"/>
        <v>66021</v>
      </c>
    </row>
    <row r="397" spans="1:10">
      <c r="A397" s="37" t="s">
        <v>1005</v>
      </c>
      <c r="B397" s="38" t="s">
        <v>63</v>
      </c>
      <c r="C397" s="37" t="s">
        <v>87</v>
      </c>
      <c r="D397" s="37" t="s">
        <v>59</v>
      </c>
      <c r="E397" s="113">
        <v>42874</v>
      </c>
      <c r="F397" s="43">
        <f t="shared" ca="1" si="12"/>
        <v>6</v>
      </c>
      <c r="G397" s="44"/>
      <c r="H397" s="45">
        <v>103280</v>
      </c>
      <c r="I397" s="38">
        <v>3</v>
      </c>
      <c r="J397" s="41">
        <f t="shared" si="13"/>
        <v>106100</v>
      </c>
    </row>
    <row r="398" spans="1:10">
      <c r="A398" s="37" t="s">
        <v>1265</v>
      </c>
      <c r="B398" s="38" t="s">
        <v>61</v>
      </c>
      <c r="C398" s="37" t="s">
        <v>97</v>
      </c>
      <c r="D398" s="37" t="s">
        <v>59</v>
      </c>
      <c r="E398" s="113">
        <v>41394</v>
      </c>
      <c r="F398" s="43">
        <f t="shared" ca="1" si="12"/>
        <v>10</v>
      </c>
      <c r="G398" s="44"/>
      <c r="H398" s="45">
        <v>108313</v>
      </c>
      <c r="I398" s="38">
        <v>3</v>
      </c>
      <c r="J398" s="41">
        <f t="shared" si="13"/>
        <v>111270</v>
      </c>
    </row>
    <row r="399" spans="1:10">
      <c r="A399" s="37" t="s">
        <v>787</v>
      </c>
      <c r="B399" s="38" t="s">
        <v>61</v>
      </c>
      <c r="C399" s="37" t="s">
        <v>80</v>
      </c>
      <c r="D399" s="37" t="s">
        <v>65</v>
      </c>
      <c r="E399" s="113">
        <v>42995</v>
      </c>
      <c r="F399" s="43">
        <f t="shared" ca="1" si="12"/>
        <v>6</v>
      </c>
      <c r="G399" s="44" t="s">
        <v>66</v>
      </c>
      <c r="H399" s="45">
        <v>70716</v>
      </c>
      <c r="I399" s="38">
        <v>4</v>
      </c>
      <c r="J399" s="41">
        <f t="shared" si="13"/>
        <v>72647</v>
      </c>
    </row>
    <row r="400" spans="1:10">
      <c r="A400" s="37" t="s">
        <v>611</v>
      </c>
      <c r="B400" s="38" t="s">
        <v>63</v>
      </c>
      <c r="C400" s="37" t="s">
        <v>58</v>
      </c>
      <c r="D400" s="37" t="s">
        <v>65</v>
      </c>
      <c r="E400" s="113">
        <v>44257</v>
      </c>
      <c r="F400" s="43">
        <f t="shared" ca="1" si="12"/>
        <v>2</v>
      </c>
      <c r="G400" s="44" t="s">
        <v>68</v>
      </c>
      <c r="H400" s="45">
        <v>33410</v>
      </c>
      <c r="I400" s="38">
        <v>4</v>
      </c>
      <c r="J400" s="41">
        <f t="shared" si="13"/>
        <v>34322</v>
      </c>
    </row>
    <row r="401" spans="1:10">
      <c r="A401" s="37" t="s">
        <v>895</v>
      </c>
      <c r="B401" s="38" t="s">
        <v>62</v>
      </c>
      <c r="C401" s="37" t="s">
        <v>83</v>
      </c>
      <c r="D401" s="37" t="s">
        <v>71</v>
      </c>
      <c r="E401" s="113">
        <v>44047</v>
      </c>
      <c r="F401" s="43">
        <f t="shared" ca="1" si="12"/>
        <v>3</v>
      </c>
      <c r="G401" s="44" t="s">
        <v>68</v>
      </c>
      <c r="H401" s="45">
        <v>64690</v>
      </c>
      <c r="I401" s="38">
        <v>5</v>
      </c>
      <c r="J401" s="41">
        <f t="shared" si="13"/>
        <v>66456</v>
      </c>
    </row>
    <row r="402" spans="1:10">
      <c r="A402" s="37" t="s">
        <v>788</v>
      </c>
      <c r="B402" s="38" t="s">
        <v>63</v>
      </c>
      <c r="C402" s="37" t="s">
        <v>80</v>
      </c>
      <c r="D402" s="37" t="s">
        <v>65</v>
      </c>
      <c r="E402" s="113">
        <v>44116</v>
      </c>
      <c r="F402" s="43">
        <f t="shared" ca="1" si="12"/>
        <v>2</v>
      </c>
      <c r="G402" s="44" t="s">
        <v>67</v>
      </c>
      <c r="H402" s="45">
        <v>108106</v>
      </c>
      <c r="I402" s="38">
        <v>4</v>
      </c>
      <c r="J402" s="41">
        <f t="shared" si="13"/>
        <v>111057</v>
      </c>
    </row>
    <row r="403" spans="1:10">
      <c r="A403" s="37" t="s">
        <v>1073</v>
      </c>
      <c r="B403" s="38" t="s">
        <v>57</v>
      </c>
      <c r="C403" s="37" t="s">
        <v>90</v>
      </c>
      <c r="D403" s="37" t="s">
        <v>65</v>
      </c>
      <c r="E403" s="113">
        <v>43345</v>
      </c>
      <c r="F403" s="43">
        <f t="shared" ca="1" si="12"/>
        <v>5</v>
      </c>
      <c r="G403" s="44" t="s">
        <v>70</v>
      </c>
      <c r="H403" s="45">
        <v>59788</v>
      </c>
      <c r="I403" s="38">
        <v>2</v>
      </c>
      <c r="J403" s="41">
        <f t="shared" si="13"/>
        <v>61420</v>
      </c>
    </row>
    <row r="404" spans="1:10">
      <c r="A404" s="37" t="s">
        <v>689</v>
      </c>
      <c r="B404" s="38" t="s">
        <v>61</v>
      </c>
      <c r="C404" s="37" t="s">
        <v>76</v>
      </c>
      <c r="D404" s="37" t="s">
        <v>65</v>
      </c>
      <c r="E404" s="113">
        <v>43237</v>
      </c>
      <c r="F404" s="43">
        <f t="shared" ca="1" si="12"/>
        <v>5</v>
      </c>
      <c r="G404" s="44" t="s">
        <v>70</v>
      </c>
      <c r="H404" s="45">
        <v>95776</v>
      </c>
      <c r="I404" s="38">
        <v>1</v>
      </c>
      <c r="J404" s="41">
        <f t="shared" si="13"/>
        <v>98391</v>
      </c>
    </row>
    <row r="405" spans="1:10">
      <c r="A405" s="37" t="s">
        <v>612</v>
      </c>
      <c r="B405" s="38" t="s">
        <v>63</v>
      </c>
      <c r="C405" s="37" t="s">
        <v>58</v>
      </c>
      <c r="D405" s="37" t="s">
        <v>59</v>
      </c>
      <c r="E405" s="113">
        <v>44411</v>
      </c>
      <c r="F405" s="43">
        <f t="shared" ca="1" si="12"/>
        <v>2</v>
      </c>
      <c r="G405" s="44"/>
      <c r="H405" s="45">
        <v>73157</v>
      </c>
      <c r="I405" s="38">
        <v>1</v>
      </c>
      <c r="J405" s="41">
        <f t="shared" si="13"/>
        <v>75154</v>
      </c>
    </row>
    <row r="406" spans="1:10">
      <c r="A406" s="37" t="s">
        <v>896</v>
      </c>
      <c r="B406" s="38" t="s">
        <v>60</v>
      </c>
      <c r="C406" s="37" t="s">
        <v>83</v>
      </c>
      <c r="D406" s="37" t="s">
        <v>59</v>
      </c>
      <c r="E406" s="113">
        <v>41880</v>
      </c>
      <c r="F406" s="43">
        <f t="shared" ca="1" si="12"/>
        <v>9</v>
      </c>
      <c r="G406" s="44"/>
      <c r="H406" s="45">
        <v>99618</v>
      </c>
      <c r="I406" s="38">
        <v>3</v>
      </c>
      <c r="J406" s="41">
        <f t="shared" si="13"/>
        <v>102338</v>
      </c>
    </row>
    <row r="407" spans="1:10">
      <c r="A407" s="37" t="s">
        <v>1119</v>
      </c>
      <c r="B407" s="38" t="s">
        <v>61</v>
      </c>
      <c r="C407" s="37" t="s">
        <v>91</v>
      </c>
      <c r="D407" s="37" t="s">
        <v>65</v>
      </c>
      <c r="E407" s="113">
        <v>42447</v>
      </c>
      <c r="F407" s="43">
        <f t="shared" ca="1" si="12"/>
        <v>7</v>
      </c>
      <c r="G407" s="44" t="s">
        <v>70</v>
      </c>
      <c r="H407" s="45">
        <v>52382</v>
      </c>
      <c r="I407" s="38">
        <v>5</v>
      </c>
      <c r="J407" s="41">
        <f t="shared" si="13"/>
        <v>53812</v>
      </c>
    </row>
    <row r="408" spans="1:10">
      <c r="A408" s="37" t="s">
        <v>1006</v>
      </c>
      <c r="B408" s="38" t="s">
        <v>60</v>
      </c>
      <c r="C408" s="37" t="s">
        <v>87</v>
      </c>
      <c r="D408" s="37" t="s">
        <v>59</v>
      </c>
      <c r="E408" s="113">
        <v>39783</v>
      </c>
      <c r="F408" s="43">
        <f t="shared" ca="1" si="12"/>
        <v>14</v>
      </c>
      <c r="G408" s="44"/>
      <c r="H408" s="45">
        <v>66042</v>
      </c>
      <c r="I408" s="38">
        <v>5</v>
      </c>
      <c r="J408" s="41">
        <f t="shared" si="13"/>
        <v>67845</v>
      </c>
    </row>
    <row r="409" spans="1:10">
      <c r="A409" s="37" t="s">
        <v>1205</v>
      </c>
      <c r="B409" s="38" t="s">
        <v>61</v>
      </c>
      <c r="C409" s="37" t="s">
        <v>93</v>
      </c>
      <c r="D409" s="37" t="s">
        <v>65</v>
      </c>
      <c r="E409" s="113">
        <v>43319</v>
      </c>
      <c r="F409" s="43">
        <f t="shared" ca="1" si="12"/>
        <v>5</v>
      </c>
      <c r="G409" s="44" t="s">
        <v>68</v>
      </c>
      <c r="H409" s="45">
        <v>114236</v>
      </c>
      <c r="I409" s="38">
        <v>5</v>
      </c>
      <c r="J409" s="41">
        <f t="shared" si="13"/>
        <v>117355</v>
      </c>
    </row>
    <row r="410" spans="1:10">
      <c r="A410" s="37" t="s">
        <v>897</v>
      </c>
      <c r="B410" s="38" t="s">
        <v>61</v>
      </c>
      <c r="C410" s="37" t="s">
        <v>83</v>
      </c>
      <c r="D410" s="37" t="s">
        <v>59</v>
      </c>
      <c r="E410" s="113">
        <v>40320</v>
      </c>
      <c r="F410" s="43">
        <f t="shared" ca="1" si="12"/>
        <v>13</v>
      </c>
      <c r="G410" s="44"/>
      <c r="H410" s="45">
        <v>62991</v>
      </c>
      <c r="I410" s="38">
        <v>1</v>
      </c>
      <c r="J410" s="41">
        <f t="shared" si="13"/>
        <v>64711</v>
      </c>
    </row>
    <row r="411" spans="1:10">
      <c r="A411" s="37" t="s">
        <v>1206</v>
      </c>
      <c r="B411" s="38" t="s">
        <v>60</v>
      </c>
      <c r="C411" s="37" t="s">
        <v>93</v>
      </c>
      <c r="D411" s="37" t="s">
        <v>59</v>
      </c>
      <c r="E411" s="113">
        <v>43319</v>
      </c>
      <c r="F411" s="43">
        <f t="shared" ca="1" si="12"/>
        <v>5</v>
      </c>
      <c r="G411" s="44"/>
      <c r="H411" s="45">
        <v>119325</v>
      </c>
      <c r="I411" s="38">
        <v>5</v>
      </c>
      <c r="J411" s="41">
        <f t="shared" si="13"/>
        <v>122583</v>
      </c>
    </row>
    <row r="412" spans="1:10">
      <c r="A412" s="37" t="s">
        <v>716</v>
      </c>
      <c r="B412" s="38" t="s">
        <v>63</v>
      </c>
      <c r="C412" s="37" t="s">
        <v>77</v>
      </c>
      <c r="D412" s="37" t="s">
        <v>65</v>
      </c>
      <c r="E412" s="113">
        <v>40832</v>
      </c>
      <c r="F412" s="43">
        <f t="shared" ca="1" si="12"/>
        <v>11</v>
      </c>
      <c r="G412" s="44" t="s">
        <v>68</v>
      </c>
      <c r="H412" s="45">
        <v>99785</v>
      </c>
      <c r="I412" s="38">
        <v>5</v>
      </c>
      <c r="J412" s="41">
        <f t="shared" si="13"/>
        <v>102509</v>
      </c>
    </row>
    <row r="413" spans="1:10">
      <c r="A413" s="37" t="s">
        <v>1120</v>
      </c>
      <c r="B413" s="38" t="s">
        <v>63</v>
      </c>
      <c r="C413" s="37" t="s">
        <v>91</v>
      </c>
      <c r="D413" s="37" t="s">
        <v>65</v>
      </c>
      <c r="E413" s="113">
        <v>42732</v>
      </c>
      <c r="F413" s="43">
        <f t="shared" ca="1" si="12"/>
        <v>6</v>
      </c>
      <c r="G413" s="44" t="s">
        <v>70</v>
      </c>
      <c r="H413" s="45">
        <v>92675</v>
      </c>
      <c r="I413" s="38">
        <v>2</v>
      </c>
      <c r="J413" s="41">
        <f t="shared" si="13"/>
        <v>95205</v>
      </c>
    </row>
    <row r="414" spans="1:10">
      <c r="A414" s="37" t="s">
        <v>1121</v>
      </c>
      <c r="B414" s="38" t="s">
        <v>60</v>
      </c>
      <c r="C414" s="37" t="s">
        <v>91</v>
      </c>
      <c r="D414" s="37" t="s">
        <v>65</v>
      </c>
      <c r="E414" s="113">
        <v>39672</v>
      </c>
      <c r="F414" s="43">
        <f t="shared" ca="1" si="12"/>
        <v>15</v>
      </c>
      <c r="G414" s="44" t="s">
        <v>70</v>
      </c>
      <c r="H414" s="45">
        <v>93483</v>
      </c>
      <c r="I414" s="38">
        <v>5</v>
      </c>
      <c r="J414" s="41">
        <f t="shared" si="13"/>
        <v>96035</v>
      </c>
    </row>
    <row r="415" spans="1:10">
      <c r="A415" s="37" t="s">
        <v>789</v>
      </c>
      <c r="B415" s="38" t="s">
        <v>57</v>
      </c>
      <c r="C415" s="37" t="s">
        <v>80</v>
      </c>
      <c r="D415" s="37" t="s">
        <v>65</v>
      </c>
      <c r="E415" s="113">
        <v>42714</v>
      </c>
      <c r="F415" s="43">
        <f t="shared" ca="1" si="12"/>
        <v>6</v>
      </c>
      <c r="G415" s="44" t="s">
        <v>66</v>
      </c>
      <c r="H415" s="45">
        <v>107953</v>
      </c>
      <c r="I415" s="38">
        <v>2</v>
      </c>
      <c r="J415" s="41">
        <f t="shared" si="13"/>
        <v>110900</v>
      </c>
    </row>
    <row r="416" spans="1:10">
      <c r="A416" s="37" t="s">
        <v>1043</v>
      </c>
      <c r="B416" s="38" t="s">
        <v>64</v>
      </c>
      <c r="C416" s="37" t="s">
        <v>88</v>
      </c>
      <c r="D416" s="37" t="s">
        <v>65</v>
      </c>
      <c r="E416" s="113">
        <v>40005</v>
      </c>
      <c r="F416" s="43">
        <f t="shared" ca="1" si="12"/>
        <v>14</v>
      </c>
      <c r="G416" s="44" t="s">
        <v>69</v>
      </c>
      <c r="H416" s="45">
        <v>55030</v>
      </c>
      <c r="I416" s="38">
        <v>5</v>
      </c>
      <c r="J416" s="41">
        <f t="shared" si="13"/>
        <v>56532</v>
      </c>
    </row>
    <row r="417" spans="1:10">
      <c r="A417" s="37" t="s">
        <v>717</v>
      </c>
      <c r="B417" s="38" t="s">
        <v>61</v>
      </c>
      <c r="C417" s="37" t="s">
        <v>77</v>
      </c>
      <c r="D417" s="37" t="s">
        <v>72</v>
      </c>
      <c r="E417" s="113">
        <v>40193</v>
      </c>
      <c r="F417" s="43">
        <f t="shared" ca="1" si="12"/>
        <v>13</v>
      </c>
      <c r="G417" s="44"/>
      <c r="H417" s="45">
        <v>41717</v>
      </c>
      <c r="I417" s="38">
        <v>3</v>
      </c>
      <c r="J417" s="41">
        <f t="shared" si="13"/>
        <v>42856</v>
      </c>
    </row>
    <row r="418" spans="1:10">
      <c r="A418" s="37" t="s">
        <v>657</v>
      </c>
      <c r="B418" s="38" t="s">
        <v>62</v>
      </c>
      <c r="C418" s="37" t="s">
        <v>74</v>
      </c>
      <c r="D418" s="37" t="s">
        <v>59</v>
      </c>
      <c r="E418" s="113">
        <v>39767</v>
      </c>
      <c r="F418" s="43">
        <f t="shared" ca="1" si="12"/>
        <v>14</v>
      </c>
      <c r="G418" s="44"/>
      <c r="H418" s="45">
        <v>45683</v>
      </c>
      <c r="I418" s="38">
        <v>5</v>
      </c>
      <c r="J418" s="41">
        <f t="shared" si="13"/>
        <v>46930</v>
      </c>
    </row>
    <row r="419" spans="1:10">
      <c r="A419" s="37" t="s">
        <v>718</v>
      </c>
      <c r="B419" s="38" t="s">
        <v>60</v>
      </c>
      <c r="C419" s="37" t="s">
        <v>77</v>
      </c>
      <c r="D419" s="37" t="s">
        <v>72</v>
      </c>
      <c r="E419" s="113">
        <v>40078</v>
      </c>
      <c r="F419" s="43">
        <f t="shared" ca="1" si="12"/>
        <v>14</v>
      </c>
      <c r="G419" s="44"/>
      <c r="H419" s="45">
        <v>45844</v>
      </c>
      <c r="I419" s="38">
        <v>5</v>
      </c>
      <c r="J419" s="41">
        <f t="shared" si="13"/>
        <v>47096</v>
      </c>
    </row>
    <row r="420" spans="1:10">
      <c r="A420" s="37" t="s">
        <v>1266</v>
      </c>
      <c r="B420" s="38" t="s">
        <v>64</v>
      </c>
      <c r="C420" s="37" t="s">
        <v>97</v>
      </c>
      <c r="D420" s="37" t="s">
        <v>65</v>
      </c>
      <c r="E420" s="113">
        <v>44513</v>
      </c>
      <c r="F420" s="43">
        <f t="shared" ca="1" si="12"/>
        <v>1</v>
      </c>
      <c r="G420" s="44" t="s">
        <v>68</v>
      </c>
      <c r="H420" s="45">
        <v>54240</v>
      </c>
      <c r="I420" s="38">
        <v>5</v>
      </c>
      <c r="J420" s="41">
        <f t="shared" si="13"/>
        <v>55721</v>
      </c>
    </row>
    <row r="421" spans="1:10">
      <c r="A421" s="37" t="s">
        <v>898</v>
      </c>
      <c r="B421" s="38" t="s">
        <v>61</v>
      </c>
      <c r="C421" s="37" t="s">
        <v>83</v>
      </c>
      <c r="D421" s="37" t="s">
        <v>65</v>
      </c>
      <c r="E421" s="113">
        <v>43903</v>
      </c>
      <c r="F421" s="43">
        <f t="shared" ca="1" si="12"/>
        <v>3</v>
      </c>
      <c r="G421" s="44" t="s">
        <v>68</v>
      </c>
      <c r="H421" s="45">
        <v>101865</v>
      </c>
      <c r="I421" s="38">
        <v>3</v>
      </c>
      <c r="J421" s="41">
        <f t="shared" si="13"/>
        <v>104646</v>
      </c>
    </row>
    <row r="422" spans="1:10">
      <c r="A422" s="37" t="s">
        <v>899</v>
      </c>
      <c r="B422" s="38" t="s">
        <v>61</v>
      </c>
      <c r="C422" s="37" t="s">
        <v>83</v>
      </c>
      <c r="D422" s="37" t="s">
        <v>65</v>
      </c>
      <c r="E422" s="113">
        <v>43794</v>
      </c>
      <c r="F422" s="43">
        <f t="shared" ca="1" si="12"/>
        <v>3</v>
      </c>
      <c r="G422" s="44" t="s">
        <v>68</v>
      </c>
      <c r="H422" s="45">
        <v>49372</v>
      </c>
      <c r="I422" s="38">
        <v>5</v>
      </c>
      <c r="J422" s="41">
        <f t="shared" si="13"/>
        <v>50720</v>
      </c>
    </row>
    <row r="423" spans="1:10">
      <c r="A423" s="37" t="s">
        <v>1267</v>
      </c>
      <c r="B423" s="38" t="s">
        <v>60</v>
      </c>
      <c r="C423" s="37" t="s">
        <v>97</v>
      </c>
      <c r="D423" s="37" t="s">
        <v>59</v>
      </c>
      <c r="E423" s="113">
        <v>39638</v>
      </c>
      <c r="F423" s="43">
        <f t="shared" ca="1" si="12"/>
        <v>15</v>
      </c>
      <c r="G423" s="44"/>
      <c r="H423" s="45">
        <v>100519</v>
      </c>
      <c r="I423" s="38">
        <v>2</v>
      </c>
      <c r="J423" s="41">
        <f t="shared" si="13"/>
        <v>103263</v>
      </c>
    </row>
    <row r="424" spans="1:10">
      <c r="A424" s="37" t="s">
        <v>790</v>
      </c>
      <c r="B424" s="38" t="s">
        <v>60</v>
      </c>
      <c r="C424" s="37" t="s">
        <v>80</v>
      </c>
      <c r="D424" s="37" t="s">
        <v>65</v>
      </c>
      <c r="E424" s="113">
        <v>43248</v>
      </c>
      <c r="F424" s="43">
        <f t="shared" ca="1" si="12"/>
        <v>5</v>
      </c>
      <c r="G424" s="44" t="s">
        <v>69</v>
      </c>
      <c r="H424" s="45">
        <v>112169</v>
      </c>
      <c r="I424" s="38">
        <v>1</v>
      </c>
      <c r="J424" s="41">
        <f t="shared" si="13"/>
        <v>115231</v>
      </c>
    </row>
    <row r="425" spans="1:10">
      <c r="A425" s="37" t="s">
        <v>1207</v>
      </c>
      <c r="B425" s="38" t="s">
        <v>61</v>
      </c>
      <c r="C425" s="37" t="s">
        <v>93</v>
      </c>
      <c r="D425" s="37" t="s">
        <v>65</v>
      </c>
      <c r="E425" s="113">
        <v>41919</v>
      </c>
      <c r="F425" s="43">
        <f t="shared" ca="1" si="12"/>
        <v>8</v>
      </c>
      <c r="G425" s="44" t="s">
        <v>67</v>
      </c>
      <c r="H425" s="45">
        <v>66957</v>
      </c>
      <c r="I425" s="38">
        <v>4</v>
      </c>
      <c r="J425" s="41">
        <f t="shared" si="13"/>
        <v>68785</v>
      </c>
    </row>
    <row r="426" spans="1:10">
      <c r="A426" s="37" t="s">
        <v>900</v>
      </c>
      <c r="B426" s="38" t="s">
        <v>63</v>
      </c>
      <c r="C426" s="37" t="s">
        <v>83</v>
      </c>
      <c r="D426" s="37" t="s">
        <v>59</v>
      </c>
      <c r="E426" s="113">
        <v>43130</v>
      </c>
      <c r="F426" s="43">
        <f t="shared" ca="1" si="12"/>
        <v>5</v>
      </c>
      <c r="G426" s="44"/>
      <c r="H426" s="45">
        <v>87802</v>
      </c>
      <c r="I426" s="38">
        <v>3</v>
      </c>
      <c r="J426" s="41">
        <f t="shared" si="13"/>
        <v>90199</v>
      </c>
    </row>
    <row r="427" spans="1:10">
      <c r="A427" s="37" t="s">
        <v>1122</v>
      </c>
      <c r="B427" s="38" t="s">
        <v>60</v>
      </c>
      <c r="C427" s="37" t="s">
        <v>91</v>
      </c>
      <c r="D427" s="37" t="s">
        <v>59</v>
      </c>
      <c r="E427" s="113">
        <v>39661</v>
      </c>
      <c r="F427" s="43">
        <f t="shared" ca="1" si="12"/>
        <v>15</v>
      </c>
      <c r="G427" s="44"/>
      <c r="H427" s="45">
        <v>81894</v>
      </c>
      <c r="I427" s="38">
        <v>4</v>
      </c>
      <c r="J427" s="41">
        <f t="shared" si="13"/>
        <v>84130</v>
      </c>
    </row>
    <row r="428" spans="1:10">
      <c r="A428" s="37" t="s">
        <v>658</v>
      </c>
      <c r="B428" s="38" t="s">
        <v>61</v>
      </c>
      <c r="C428" s="37" t="s">
        <v>74</v>
      </c>
      <c r="D428" s="37" t="s">
        <v>71</v>
      </c>
      <c r="E428" s="113">
        <v>42698</v>
      </c>
      <c r="F428" s="43">
        <f t="shared" ca="1" si="12"/>
        <v>6</v>
      </c>
      <c r="G428" s="44" t="s">
        <v>69</v>
      </c>
      <c r="H428" s="45">
        <v>25872</v>
      </c>
      <c r="I428" s="38">
        <v>4</v>
      </c>
      <c r="J428" s="41">
        <f t="shared" si="13"/>
        <v>26578</v>
      </c>
    </row>
    <row r="429" spans="1:10">
      <c r="A429" s="37" t="s">
        <v>1268</v>
      </c>
      <c r="B429" s="38" t="s">
        <v>61</v>
      </c>
      <c r="C429" s="37" t="s">
        <v>97</v>
      </c>
      <c r="D429" s="37" t="s">
        <v>65</v>
      </c>
      <c r="E429" s="113">
        <v>44637</v>
      </c>
      <c r="F429" s="43">
        <f t="shared" ca="1" si="12"/>
        <v>1</v>
      </c>
      <c r="G429" s="44" t="s">
        <v>68</v>
      </c>
      <c r="H429" s="45">
        <v>67332</v>
      </c>
      <c r="I429" s="38">
        <v>5</v>
      </c>
      <c r="J429" s="41">
        <f t="shared" si="13"/>
        <v>69170</v>
      </c>
    </row>
    <row r="430" spans="1:10">
      <c r="A430" s="37" t="s">
        <v>1123</v>
      </c>
      <c r="B430" s="38" t="s">
        <v>63</v>
      </c>
      <c r="C430" s="37" t="s">
        <v>91</v>
      </c>
      <c r="D430" s="37" t="s">
        <v>71</v>
      </c>
      <c r="E430" s="113">
        <v>39787</v>
      </c>
      <c r="F430" s="43">
        <f t="shared" ca="1" si="12"/>
        <v>14</v>
      </c>
      <c r="G430" s="44" t="s">
        <v>68</v>
      </c>
      <c r="H430" s="45">
        <v>48512</v>
      </c>
      <c r="I430" s="38">
        <v>2</v>
      </c>
      <c r="J430" s="41">
        <f t="shared" si="13"/>
        <v>49836</v>
      </c>
    </row>
    <row r="431" spans="1:10">
      <c r="A431" s="37" t="s">
        <v>719</v>
      </c>
      <c r="B431" s="38" t="s">
        <v>61</v>
      </c>
      <c r="C431" s="37" t="s">
        <v>77</v>
      </c>
      <c r="D431" s="37" t="s">
        <v>65</v>
      </c>
      <c r="E431" s="113">
        <v>44187</v>
      </c>
      <c r="F431" s="43">
        <f t="shared" ca="1" si="12"/>
        <v>2</v>
      </c>
      <c r="G431" s="44" t="s">
        <v>66</v>
      </c>
      <c r="H431" s="45">
        <v>95569</v>
      </c>
      <c r="I431" s="38">
        <v>5</v>
      </c>
      <c r="J431" s="41">
        <f t="shared" si="13"/>
        <v>98178</v>
      </c>
    </row>
    <row r="432" spans="1:10">
      <c r="A432" s="37" t="s">
        <v>659</v>
      </c>
      <c r="B432" s="38" t="s">
        <v>63</v>
      </c>
      <c r="C432" s="37" t="s">
        <v>74</v>
      </c>
      <c r="D432" s="37" t="s">
        <v>65</v>
      </c>
      <c r="E432" s="113">
        <v>39668</v>
      </c>
      <c r="F432" s="43">
        <f t="shared" ca="1" si="12"/>
        <v>15</v>
      </c>
      <c r="G432" s="44" t="s">
        <v>70</v>
      </c>
      <c r="H432" s="45">
        <v>69496</v>
      </c>
      <c r="I432" s="38">
        <v>1</v>
      </c>
      <c r="J432" s="41">
        <f t="shared" si="13"/>
        <v>71393</v>
      </c>
    </row>
    <row r="433" spans="1:10">
      <c r="A433" s="37" t="s">
        <v>901</v>
      </c>
      <c r="B433" s="38" t="s">
        <v>61</v>
      </c>
      <c r="C433" s="37" t="s">
        <v>83</v>
      </c>
      <c r="D433" s="37" t="s">
        <v>65</v>
      </c>
      <c r="E433" s="113">
        <v>42412</v>
      </c>
      <c r="F433" s="43">
        <f t="shared" ca="1" si="12"/>
        <v>7</v>
      </c>
      <c r="G433" s="44" t="s">
        <v>70</v>
      </c>
      <c r="H433" s="45">
        <v>91144</v>
      </c>
      <c r="I433" s="38">
        <v>1</v>
      </c>
      <c r="J433" s="41">
        <f t="shared" si="13"/>
        <v>93632</v>
      </c>
    </row>
    <row r="434" spans="1:10">
      <c r="A434" s="37" t="s">
        <v>902</v>
      </c>
      <c r="B434" s="38" t="s">
        <v>57</v>
      </c>
      <c r="C434" s="37" t="s">
        <v>83</v>
      </c>
      <c r="D434" s="37" t="s">
        <v>65</v>
      </c>
      <c r="E434" s="113">
        <v>44065</v>
      </c>
      <c r="F434" s="43">
        <f t="shared" ca="1" si="12"/>
        <v>3</v>
      </c>
      <c r="G434" s="44" t="s">
        <v>68</v>
      </c>
      <c r="H434" s="45">
        <v>82268</v>
      </c>
      <c r="I434" s="38">
        <v>4</v>
      </c>
      <c r="J434" s="41">
        <f t="shared" si="13"/>
        <v>84514</v>
      </c>
    </row>
    <row r="435" spans="1:10">
      <c r="A435" s="37" t="s">
        <v>1208</v>
      </c>
      <c r="B435" s="38" t="s">
        <v>63</v>
      </c>
      <c r="C435" s="37" t="s">
        <v>93</v>
      </c>
      <c r="D435" s="37" t="s">
        <v>71</v>
      </c>
      <c r="E435" s="113">
        <v>42746</v>
      </c>
      <c r="F435" s="43">
        <f t="shared" ca="1" si="12"/>
        <v>6</v>
      </c>
      <c r="G435" s="44" t="s">
        <v>66</v>
      </c>
      <c r="H435" s="45">
        <v>38430</v>
      </c>
      <c r="I435" s="38">
        <v>3</v>
      </c>
      <c r="J435" s="41">
        <f t="shared" si="13"/>
        <v>39479</v>
      </c>
    </row>
    <row r="436" spans="1:10">
      <c r="A436" s="37" t="s">
        <v>903</v>
      </c>
      <c r="B436" s="38" t="s">
        <v>64</v>
      </c>
      <c r="C436" s="37" t="s">
        <v>83</v>
      </c>
      <c r="D436" s="37" t="s">
        <v>72</v>
      </c>
      <c r="E436" s="113">
        <v>42869</v>
      </c>
      <c r="F436" s="43">
        <f t="shared" ca="1" si="12"/>
        <v>6</v>
      </c>
      <c r="G436" s="44"/>
      <c r="H436" s="45">
        <v>42183</v>
      </c>
      <c r="I436" s="38">
        <v>1</v>
      </c>
      <c r="J436" s="41">
        <f t="shared" si="13"/>
        <v>43335</v>
      </c>
    </row>
    <row r="437" spans="1:10">
      <c r="A437" s="37" t="s">
        <v>675</v>
      </c>
      <c r="B437" s="38" t="s">
        <v>63</v>
      </c>
      <c r="C437" s="37" t="s">
        <v>75</v>
      </c>
      <c r="D437" s="37" t="s">
        <v>65</v>
      </c>
      <c r="E437" s="113">
        <v>42337</v>
      </c>
      <c r="F437" s="43">
        <f t="shared" ca="1" si="12"/>
        <v>7</v>
      </c>
      <c r="G437" s="44" t="s">
        <v>70</v>
      </c>
      <c r="H437" s="45">
        <v>68455</v>
      </c>
      <c r="I437" s="38">
        <v>2</v>
      </c>
      <c r="J437" s="41">
        <f t="shared" si="13"/>
        <v>70324</v>
      </c>
    </row>
    <row r="438" spans="1:10">
      <c r="A438" s="37" t="s">
        <v>904</v>
      </c>
      <c r="B438" s="38" t="s">
        <v>61</v>
      </c>
      <c r="C438" s="37" t="s">
        <v>83</v>
      </c>
      <c r="D438" s="37" t="s">
        <v>65</v>
      </c>
      <c r="E438" s="113">
        <v>40022</v>
      </c>
      <c r="F438" s="43">
        <f t="shared" ca="1" si="12"/>
        <v>14</v>
      </c>
      <c r="G438" s="44" t="s">
        <v>68</v>
      </c>
      <c r="H438" s="45">
        <v>49677</v>
      </c>
      <c r="I438" s="38">
        <v>2</v>
      </c>
      <c r="J438" s="41">
        <f t="shared" si="13"/>
        <v>51033</v>
      </c>
    </row>
    <row r="439" spans="1:10">
      <c r="A439" s="37" t="s">
        <v>905</v>
      </c>
      <c r="B439" s="38" t="s">
        <v>60</v>
      </c>
      <c r="C439" s="37" t="s">
        <v>83</v>
      </c>
      <c r="D439" s="37" t="s">
        <v>65</v>
      </c>
      <c r="E439" s="113">
        <v>40035</v>
      </c>
      <c r="F439" s="43">
        <f t="shared" ca="1" si="12"/>
        <v>14</v>
      </c>
      <c r="G439" s="44" t="s">
        <v>68</v>
      </c>
      <c r="H439" s="45">
        <v>93308</v>
      </c>
      <c r="I439" s="38">
        <v>3</v>
      </c>
      <c r="J439" s="41">
        <f t="shared" si="13"/>
        <v>95855</v>
      </c>
    </row>
    <row r="440" spans="1:10">
      <c r="A440" s="37" t="s">
        <v>1007</v>
      </c>
      <c r="B440" s="38" t="s">
        <v>61</v>
      </c>
      <c r="C440" s="37" t="s">
        <v>87</v>
      </c>
      <c r="D440" s="37" t="s">
        <v>59</v>
      </c>
      <c r="E440" s="113">
        <v>40294</v>
      </c>
      <c r="F440" s="43">
        <f t="shared" ca="1" si="12"/>
        <v>13</v>
      </c>
      <c r="G440" s="44"/>
      <c r="H440" s="45">
        <v>69620</v>
      </c>
      <c r="I440" s="38">
        <v>4</v>
      </c>
      <c r="J440" s="41">
        <f t="shared" si="13"/>
        <v>71521</v>
      </c>
    </row>
    <row r="441" spans="1:10">
      <c r="A441" s="37" t="s">
        <v>762</v>
      </c>
      <c r="B441" s="38" t="s">
        <v>61</v>
      </c>
      <c r="C441" s="37" t="s">
        <v>79</v>
      </c>
      <c r="D441" s="37" t="s">
        <v>65</v>
      </c>
      <c r="E441" s="113">
        <v>42788</v>
      </c>
      <c r="F441" s="43">
        <f t="shared" ca="1" si="12"/>
        <v>6</v>
      </c>
      <c r="G441" s="44" t="s">
        <v>68</v>
      </c>
      <c r="H441" s="45">
        <v>87636</v>
      </c>
      <c r="I441" s="38">
        <v>1</v>
      </c>
      <c r="J441" s="41">
        <f t="shared" si="13"/>
        <v>90028</v>
      </c>
    </row>
    <row r="442" spans="1:10">
      <c r="A442" s="37" t="s">
        <v>906</v>
      </c>
      <c r="B442" s="38" t="s">
        <v>60</v>
      </c>
      <c r="C442" s="37" t="s">
        <v>83</v>
      </c>
      <c r="D442" s="37" t="s">
        <v>65</v>
      </c>
      <c r="E442" s="113">
        <v>39529</v>
      </c>
      <c r="F442" s="43">
        <f t="shared" ca="1" si="12"/>
        <v>15</v>
      </c>
      <c r="G442" s="44" t="s">
        <v>66</v>
      </c>
      <c r="H442" s="45">
        <v>76902</v>
      </c>
      <c r="I442" s="38">
        <v>5</v>
      </c>
      <c r="J442" s="41">
        <f t="shared" si="13"/>
        <v>79001</v>
      </c>
    </row>
    <row r="443" spans="1:10">
      <c r="A443" s="37" t="s">
        <v>907</v>
      </c>
      <c r="B443" s="38" t="s">
        <v>61</v>
      </c>
      <c r="C443" s="37" t="s">
        <v>83</v>
      </c>
      <c r="D443" s="37" t="s">
        <v>65</v>
      </c>
      <c r="E443" s="113">
        <v>42945</v>
      </c>
      <c r="F443" s="43">
        <f t="shared" ca="1" si="12"/>
        <v>6</v>
      </c>
      <c r="G443" s="44" t="s">
        <v>70</v>
      </c>
      <c r="H443" s="45">
        <v>92989</v>
      </c>
      <c r="I443" s="38">
        <v>4</v>
      </c>
      <c r="J443" s="41">
        <f t="shared" si="13"/>
        <v>95528</v>
      </c>
    </row>
    <row r="444" spans="1:10">
      <c r="A444" s="37" t="s">
        <v>720</v>
      </c>
      <c r="B444" s="38" t="s">
        <v>60</v>
      </c>
      <c r="C444" s="37" t="s">
        <v>77</v>
      </c>
      <c r="D444" s="37" t="s">
        <v>72</v>
      </c>
      <c r="E444" s="113">
        <v>39650</v>
      </c>
      <c r="F444" s="43">
        <f t="shared" ca="1" si="12"/>
        <v>15</v>
      </c>
      <c r="G444" s="44"/>
      <c r="H444" s="45">
        <v>25657</v>
      </c>
      <c r="I444" s="38">
        <v>5</v>
      </c>
      <c r="J444" s="41">
        <f t="shared" si="13"/>
        <v>26357</v>
      </c>
    </row>
    <row r="445" spans="1:10">
      <c r="A445" s="37" t="s">
        <v>908</v>
      </c>
      <c r="B445" s="38" t="s">
        <v>63</v>
      </c>
      <c r="C445" s="37" t="s">
        <v>83</v>
      </c>
      <c r="D445" s="37" t="s">
        <v>71</v>
      </c>
      <c r="E445" s="113">
        <v>39768</v>
      </c>
      <c r="F445" s="43">
        <f t="shared" ca="1" si="12"/>
        <v>14</v>
      </c>
      <c r="G445" s="44" t="s">
        <v>66</v>
      </c>
      <c r="H445" s="45">
        <v>30054</v>
      </c>
      <c r="I445" s="38">
        <v>2</v>
      </c>
      <c r="J445" s="41">
        <f t="shared" si="13"/>
        <v>30874</v>
      </c>
    </row>
    <row r="446" spans="1:10">
      <c r="A446" s="37" t="s">
        <v>909</v>
      </c>
      <c r="B446" s="38" t="s">
        <v>61</v>
      </c>
      <c r="C446" s="37" t="s">
        <v>83</v>
      </c>
      <c r="D446" s="37" t="s">
        <v>59</v>
      </c>
      <c r="E446" s="113">
        <v>42780</v>
      </c>
      <c r="F446" s="43">
        <f t="shared" ca="1" si="12"/>
        <v>6</v>
      </c>
      <c r="G446" s="44"/>
      <c r="H446" s="45">
        <v>88551</v>
      </c>
      <c r="I446" s="38">
        <v>2</v>
      </c>
      <c r="J446" s="41">
        <f t="shared" si="13"/>
        <v>90968</v>
      </c>
    </row>
    <row r="447" spans="1:10">
      <c r="A447" s="37" t="s">
        <v>910</v>
      </c>
      <c r="B447" s="38" t="s">
        <v>64</v>
      </c>
      <c r="C447" s="37" t="s">
        <v>83</v>
      </c>
      <c r="D447" s="37" t="s">
        <v>65</v>
      </c>
      <c r="E447" s="113">
        <v>40820</v>
      </c>
      <c r="F447" s="43">
        <f t="shared" ca="1" si="12"/>
        <v>11</v>
      </c>
      <c r="G447" s="44" t="s">
        <v>70</v>
      </c>
      <c r="H447" s="45">
        <v>35102</v>
      </c>
      <c r="I447" s="38">
        <v>4</v>
      </c>
      <c r="J447" s="41">
        <f t="shared" si="13"/>
        <v>36060</v>
      </c>
    </row>
    <row r="448" spans="1:10">
      <c r="A448" s="37" t="s">
        <v>911</v>
      </c>
      <c r="B448" s="38" t="s">
        <v>60</v>
      </c>
      <c r="C448" s="37" t="s">
        <v>83</v>
      </c>
      <c r="D448" s="37" t="s">
        <v>72</v>
      </c>
      <c r="E448" s="113">
        <v>39420</v>
      </c>
      <c r="F448" s="43">
        <f t="shared" ca="1" si="12"/>
        <v>15</v>
      </c>
      <c r="G448" s="44"/>
      <c r="H448" s="45">
        <v>40463</v>
      </c>
      <c r="I448" s="38">
        <v>3</v>
      </c>
      <c r="J448" s="41">
        <f t="shared" si="13"/>
        <v>41568</v>
      </c>
    </row>
    <row r="449" spans="1:10">
      <c r="A449" s="37" t="s">
        <v>1124</v>
      </c>
      <c r="B449" s="38" t="s">
        <v>63</v>
      </c>
      <c r="C449" s="37" t="s">
        <v>91</v>
      </c>
      <c r="D449" s="37" t="s">
        <v>65</v>
      </c>
      <c r="E449" s="113">
        <v>39603</v>
      </c>
      <c r="F449" s="43">
        <f t="shared" ca="1" si="12"/>
        <v>15</v>
      </c>
      <c r="G449" s="44" t="s">
        <v>67</v>
      </c>
      <c r="H449" s="45">
        <v>109493</v>
      </c>
      <c r="I449" s="38">
        <v>1</v>
      </c>
      <c r="J449" s="41">
        <f t="shared" si="13"/>
        <v>112482</v>
      </c>
    </row>
    <row r="450" spans="1:10">
      <c r="A450" s="37" t="s">
        <v>1125</v>
      </c>
      <c r="B450" s="38" t="s">
        <v>63</v>
      </c>
      <c r="C450" s="37" t="s">
        <v>91</v>
      </c>
      <c r="D450" s="37" t="s">
        <v>65</v>
      </c>
      <c r="E450" s="113">
        <v>39669</v>
      </c>
      <c r="F450" s="43">
        <f t="shared" ref="F450:F513" ca="1" si="14">DATEDIF(E450,TODAY(),"Y")</f>
        <v>15</v>
      </c>
      <c r="G450" s="44" t="s">
        <v>69</v>
      </c>
      <c r="H450" s="45">
        <v>110408</v>
      </c>
      <c r="I450" s="38">
        <v>2</v>
      </c>
      <c r="J450" s="41">
        <f t="shared" ref="J450:J513" si="15">ROUND(H450*$L$1+H450,0)</f>
        <v>113422</v>
      </c>
    </row>
    <row r="451" spans="1:10">
      <c r="A451" s="37" t="s">
        <v>912</v>
      </c>
      <c r="B451" s="38" t="s">
        <v>60</v>
      </c>
      <c r="C451" s="37" t="s">
        <v>83</v>
      </c>
      <c r="D451" s="37" t="s">
        <v>71</v>
      </c>
      <c r="E451" s="113">
        <v>42867</v>
      </c>
      <c r="F451" s="43">
        <f t="shared" ca="1" si="14"/>
        <v>6</v>
      </c>
      <c r="G451" s="44" t="s">
        <v>67</v>
      </c>
      <c r="H451" s="45">
        <v>26204</v>
      </c>
      <c r="I451" s="38">
        <v>4</v>
      </c>
      <c r="J451" s="41">
        <f t="shared" si="15"/>
        <v>26919</v>
      </c>
    </row>
    <row r="452" spans="1:10">
      <c r="A452" s="37" t="s">
        <v>1209</v>
      </c>
      <c r="B452" s="38" t="s">
        <v>61</v>
      </c>
      <c r="C452" s="37" t="s">
        <v>93</v>
      </c>
      <c r="D452" s="37" t="s">
        <v>59</v>
      </c>
      <c r="E452" s="113">
        <v>42830</v>
      </c>
      <c r="F452" s="43">
        <f t="shared" ca="1" si="14"/>
        <v>6</v>
      </c>
      <c r="G452" s="44"/>
      <c r="H452" s="45">
        <v>104777</v>
      </c>
      <c r="I452" s="38">
        <v>3</v>
      </c>
      <c r="J452" s="41">
        <f t="shared" si="15"/>
        <v>107637</v>
      </c>
    </row>
    <row r="453" spans="1:10">
      <c r="A453" s="37" t="s">
        <v>814</v>
      </c>
      <c r="B453" s="38" t="s">
        <v>64</v>
      </c>
      <c r="C453" s="37" t="s">
        <v>82</v>
      </c>
      <c r="D453" s="37" t="s">
        <v>65</v>
      </c>
      <c r="E453" s="113">
        <v>40634</v>
      </c>
      <c r="F453" s="43">
        <f t="shared" ca="1" si="14"/>
        <v>12</v>
      </c>
      <c r="G453" s="44" t="s">
        <v>67</v>
      </c>
      <c r="H453" s="45">
        <v>62617</v>
      </c>
      <c r="I453" s="38">
        <v>1</v>
      </c>
      <c r="J453" s="41">
        <f t="shared" si="15"/>
        <v>64326</v>
      </c>
    </row>
    <row r="454" spans="1:10">
      <c r="A454" s="37" t="s">
        <v>913</v>
      </c>
      <c r="B454" s="38" t="s">
        <v>63</v>
      </c>
      <c r="C454" s="37" t="s">
        <v>83</v>
      </c>
      <c r="D454" s="37" t="s">
        <v>59</v>
      </c>
      <c r="E454" s="113">
        <v>44715</v>
      </c>
      <c r="F454" s="43">
        <f t="shared" ca="1" si="14"/>
        <v>1</v>
      </c>
      <c r="G454" s="44"/>
      <c r="H454" s="45">
        <v>68691</v>
      </c>
      <c r="I454" s="38">
        <v>2</v>
      </c>
      <c r="J454" s="41">
        <f t="shared" si="15"/>
        <v>70566</v>
      </c>
    </row>
    <row r="455" spans="1:10">
      <c r="A455" s="37" t="s">
        <v>660</v>
      </c>
      <c r="B455" s="38" t="s">
        <v>63</v>
      </c>
      <c r="C455" s="37" t="s">
        <v>74</v>
      </c>
      <c r="D455" s="37" t="s">
        <v>65</v>
      </c>
      <c r="E455" s="113">
        <v>40704</v>
      </c>
      <c r="F455" s="43">
        <f t="shared" ca="1" si="14"/>
        <v>12</v>
      </c>
      <c r="G455" s="44" t="s">
        <v>66</v>
      </c>
      <c r="H455" s="45">
        <v>84807</v>
      </c>
      <c r="I455" s="38">
        <v>4</v>
      </c>
      <c r="J455" s="41">
        <f t="shared" si="15"/>
        <v>87122</v>
      </c>
    </row>
    <row r="456" spans="1:10">
      <c r="A456" s="37" t="s">
        <v>1126</v>
      </c>
      <c r="B456" s="38" t="s">
        <v>57</v>
      </c>
      <c r="C456" s="37" t="s">
        <v>91</v>
      </c>
      <c r="D456" s="37" t="s">
        <v>65</v>
      </c>
      <c r="E456" s="113">
        <v>44444</v>
      </c>
      <c r="F456" s="43">
        <f t="shared" ca="1" si="14"/>
        <v>2</v>
      </c>
      <c r="G456" s="44" t="s">
        <v>70</v>
      </c>
      <c r="H456" s="45">
        <v>87442</v>
      </c>
      <c r="I456" s="38">
        <v>3</v>
      </c>
      <c r="J456" s="41">
        <f t="shared" si="15"/>
        <v>89829</v>
      </c>
    </row>
    <row r="457" spans="1:10">
      <c r="A457" s="37" t="s">
        <v>1044</v>
      </c>
      <c r="B457" s="38" t="s">
        <v>64</v>
      </c>
      <c r="C457" s="37" t="s">
        <v>88</v>
      </c>
      <c r="D457" s="37" t="s">
        <v>72</v>
      </c>
      <c r="E457" s="113">
        <v>39854</v>
      </c>
      <c r="F457" s="43">
        <f t="shared" ca="1" si="14"/>
        <v>14</v>
      </c>
      <c r="G457" s="44"/>
      <c r="H457" s="45">
        <v>53766</v>
      </c>
      <c r="I457" s="38">
        <v>4</v>
      </c>
      <c r="J457" s="41">
        <f t="shared" si="15"/>
        <v>55234</v>
      </c>
    </row>
    <row r="458" spans="1:10">
      <c r="A458" s="37" t="s">
        <v>1247</v>
      </c>
      <c r="B458" s="38" t="s">
        <v>63</v>
      </c>
      <c r="C458" s="37" t="s">
        <v>95</v>
      </c>
      <c r="D458" s="37" t="s">
        <v>65</v>
      </c>
      <c r="E458" s="113">
        <v>40582</v>
      </c>
      <c r="F458" s="43">
        <f t="shared" ca="1" si="14"/>
        <v>12</v>
      </c>
      <c r="G458" s="44" t="s">
        <v>68</v>
      </c>
      <c r="H458" s="45">
        <v>88302</v>
      </c>
      <c r="I458" s="38">
        <v>5</v>
      </c>
      <c r="J458" s="41">
        <f t="shared" si="15"/>
        <v>90713</v>
      </c>
    </row>
    <row r="459" spans="1:10">
      <c r="A459" s="37" t="s">
        <v>1269</v>
      </c>
      <c r="B459" s="38" t="s">
        <v>60</v>
      </c>
      <c r="C459" s="37" t="s">
        <v>97</v>
      </c>
      <c r="D459" s="37" t="s">
        <v>59</v>
      </c>
      <c r="E459" s="113">
        <v>40827</v>
      </c>
      <c r="F459" s="43">
        <f t="shared" ca="1" si="14"/>
        <v>11</v>
      </c>
      <c r="G459" s="44"/>
      <c r="H459" s="45">
        <v>40968</v>
      </c>
      <c r="I459" s="38">
        <v>3</v>
      </c>
      <c r="J459" s="41">
        <f t="shared" si="15"/>
        <v>42086</v>
      </c>
    </row>
    <row r="460" spans="1:10">
      <c r="A460" s="37" t="s">
        <v>1008</v>
      </c>
      <c r="B460" s="38" t="s">
        <v>60</v>
      </c>
      <c r="C460" s="37" t="s">
        <v>87</v>
      </c>
      <c r="D460" s="37" t="s">
        <v>65</v>
      </c>
      <c r="E460" s="113">
        <v>39736</v>
      </c>
      <c r="F460" s="43">
        <f t="shared" ca="1" si="14"/>
        <v>14</v>
      </c>
      <c r="G460" s="44" t="s">
        <v>67</v>
      </c>
      <c r="H460" s="45">
        <v>43353</v>
      </c>
      <c r="I460" s="38">
        <v>5</v>
      </c>
      <c r="J460" s="41">
        <f t="shared" si="15"/>
        <v>44537</v>
      </c>
    </row>
    <row r="461" spans="1:10">
      <c r="A461" s="37" t="s">
        <v>1210</v>
      </c>
      <c r="B461" s="38" t="s">
        <v>60</v>
      </c>
      <c r="C461" s="37" t="s">
        <v>93</v>
      </c>
      <c r="D461" s="37" t="s">
        <v>59</v>
      </c>
      <c r="E461" s="113">
        <v>44297</v>
      </c>
      <c r="F461" s="43">
        <f t="shared" ca="1" si="14"/>
        <v>2</v>
      </c>
      <c r="G461" s="44"/>
      <c r="H461" s="45">
        <v>48096</v>
      </c>
      <c r="I461" s="38">
        <v>5</v>
      </c>
      <c r="J461" s="41">
        <f t="shared" si="15"/>
        <v>49409</v>
      </c>
    </row>
    <row r="462" spans="1:10">
      <c r="A462" s="37" t="s">
        <v>914</v>
      </c>
      <c r="B462" s="38" t="s">
        <v>61</v>
      </c>
      <c r="C462" s="37" t="s">
        <v>83</v>
      </c>
      <c r="D462" s="37" t="s">
        <v>71</v>
      </c>
      <c r="E462" s="113">
        <v>39951</v>
      </c>
      <c r="F462" s="43">
        <f t="shared" ca="1" si="14"/>
        <v>14</v>
      </c>
      <c r="G462" s="44" t="s">
        <v>70</v>
      </c>
      <c r="H462" s="45">
        <v>15346</v>
      </c>
      <c r="I462" s="38">
        <v>1</v>
      </c>
      <c r="J462" s="41">
        <f t="shared" si="15"/>
        <v>15765</v>
      </c>
    </row>
    <row r="463" spans="1:10">
      <c r="A463" s="37" t="s">
        <v>1127</v>
      </c>
      <c r="B463" s="38" t="s">
        <v>60</v>
      </c>
      <c r="C463" s="37" t="s">
        <v>91</v>
      </c>
      <c r="D463" s="37" t="s">
        <v>65</v>
      </c>
      <c r="E463" s="113">
        <v>43406</v>
      </c>
      <c r="F463" s="43">
        <f t="shared" ca="1" si="14"/>
        <v>4</v>
      </c>
      <c r="G463" s="44" t="s">
        <v>70</v>
      </c>
      <c r="H463" s="45">
        <v>99937</v>
      </c>
      <c r="I463" s="38">
        <v>2</v>
      </c>
      <c r="J463" s="41">
        <f t="shared" si="15"/>
        <v>102665</v>
      </c>
    </row>
    <row r="464" spans="1:10">
      <c r="A464" s="37" t="s">
        <v>721</v>
      </c>
      <c r="B464" s="38" t="s">
        <v>61</v>
      </c>
      <c r="C464" s="37" t="s">
        <v>77</v>
      </c>
      <c r="D464" s="37" t="s">
        <v>59</v>
      </c>
      <c r="E464" s="113">
        <v>43550</v>
      </c>
      <c r="F464" s="43">
        <f t="shared" ca="1" si="14"/>
        <v>4</v>
      </c>
      <c r="G464" s="44"/>
      <c r="H464" s="45">
        <v>110199</v>
      </c>
      <c r="I464" s="38">
        <v>5</v>
      </c>
      <c r="J464" s="41">
        <f t="shared" si="15"/>
        <v>113207</v>
      </c>
    </row>
    <row r="465" spans="1:10">
      <c r="A465" s="37" t="s">
        <v>791</v>
      </c>
      <c r="B465" s="38" t="s">
        <v>63</v>
      </c>
      <c r="C465" s="37" t="s">
        <v>80</v>
      </c>
      <c r="D465" s="37" t="s">
        <v>65</v>
      </c>
      <c r="E465" s="113">
        <v>42875</v>
      </c>
      <c r="F465" s="43">
        <f t="shared" ca="1" si="14"/>
        <v>6</v>
      </c>
      <c r="G465" s="44" t="s">
        <v>68</v>
      </c>
      <c r="H465" s="45">
        <v>35823</v>
      </c>
      <c r="I465" s="38">
        <v>5</v>
      </c>
      <c r="J465" s="41">
        <f t="shared" si="15"/>
        <v>36801</v>
      </c>
    </row>
    <row r="466" spans="1:10">
      <c r="A466" s="37" t="s">
        <v>1211</v>
      </c>
      <c r="B466" s="38" t="s">
        <v>63</v>
      </c>
      <c r="C466" s="37" t="s">
        <v>93</v>
      </c>
      <c r="D466" s="37" t="s">
        <v>65</v>
      </c>
      <c r="E466" s="113">
        <v>44271</v>
      </c>
      <c r="F466" s="43">
        <f t="shared" ca="1" si="14"/>
        <v>2</v>
      </c>
      <c r="G466" s="44" t="s">
        <v>68</v>
      </c>
      <c r="H466" s="45">
        <v>31940</v>
      </c>
      <c r="I466" s="38">
        <v>4</v>
      </c>
      <c r="J466" s="41">
        <f t="shared" si="15"/>
        <v>32812</v>
      </c>
    </row>
    <row r="467" spans="1:10">
      <c r="A467" s="37" t="s">
        <v>613</v>
      </c>
      <c r="B467" s="38" t="s">
        <v>61</v>
      </c>
      <c r="C467" s="37" t="s">
        <v>58</v>
      </c>
      <c r="D467" s="37" t="s">
        <v>59</v>
      </c>
      <c r="E467" s="113">
        <v>44005</v>
      </c>
      <c r="F467" s="43">
        <f t="shared" ca="1" si="14"/>
        <v>3</v>
      </c>
      <c r="G467" s="44"/>
      <c r="H467" s="45">
        <v>83309</v>
      </c>
      <c r="I467" s="38">
        <v>2</v>
      </c>
      <c r="J467" s="41">
        <f t="shared" si="15"/>
        <v>85583</v>
      </c>
    </row>
    <row r="468" spans="1:10">
      <c r="A468" s="37" t="s">
        <v>1045</v>
      </c>
      <c r="B468" s="38" t="s">
        <v>61</v>
      </c>
      <c r="C468" s="37" t="s">
        <v>88</v>
      </c>
      <c r="D468" s="37" t="s">
        <v>65</v>
      </c>
      <c r="E468" s="113">
        <v>41726</v>
      </c>
      <c r="F468" s="43">
        <f t="shared" ca="1" si="14"/>
        <v>9</v>
      </c>
      <c r="G468" s="44" t="s">
        <v>66</v>
      </c>
      <c r="H468" s="45">
        <v>90922</v>
      </c>
      <c r="I468" s="38">
        <v>1</v>
      </c>
      <c r="J468" s="41">
        <f t="shared" si="15"/>
        <v>93404</v>
      </c>
    </row>
    <row r="469" spans="1:10">
      <c r="A469" s="37" t="s">
        <v>614</v>
      </c>
      <c r="B469" s="38" t="s">
        <v>61</v>
      </c>
      <c r="C469" s="37" t="s">
        <v>58</v>
      </c>
      <c r="D469" s="37" t="s">
        <v>59</v>
      </c>
      <c r="E469" s="113">
        <v>41117</v>
      </c>
      <c r="F469" s="43">
        <f t="shared" ca="1" si="14"/>
        <v>11</v>
      </c>
      <c r="G469" s="44"/>
      <c r="H469" s="45">
        <v>85403</v>
      </c>
      <c r="I469" s="38">
        <v>3</v>
      </c>
      <c r="J469" s="41">
        <f t="shared" si="15"/>
        <v>87735</v>
      </c>
    </row>
    <row r="470" spans="1:10">
      <c r="A470" s="37" t="s">
        <v>615</v>
      </c>
      <c r="B470" s="38" t="s">
        <v>63</v>
      </c>
      <c r="C470" s="37" t="s">
        <v>58</v>
      </c>
      <c r="D470" s="37" t="s">
        <v>65</v>
      </c>
      <c r="E470" s="113">
        <v>39679</v>
      </c>
      <c r="F470" s="43">
        <f t="shared" ca="1" si="14"/>
        <v>15</v>
      </c>
      <c r="G470" s="44" t="s">
        <v>66</v>
      </c>
      <c r="H470" s="45">
        <v>75695</v>
      </c>
      <c r="I470" s="38">
        <v>4</v>
      </c>
      <c r="J470" s="41">
        <f t="shared" si="15"/>
        <v>77761</v>
      </c>
    </row>
    <row r="471" spans="1:10">
      <c r="A471" s="37" t="s">
        <v>792</v>
      </c>
      <c r="B471" s="38" t="s">
        <v>61</v>
      </c>
      <c r="C471" s="37" t="s">
        <v>80</v>
      </c>
      <c r="D471" s="37" t="s">
        <v>71</v>
      </c>
      <c r="E471" s="113">
        <v>40286</v>
      </c>
      <c r="F471" s="43">
        <f t="shared" ca="1" si="14"/>
        <v>13</v>
      </c>
      <c r="G471" s="44" t="s">
        <v>70</v>
      </c>
      <c r="H471" s="45">
        <v>40226</v>
      </c>
      <c r="I471" s="38">
        <v>1</v>
      </c>
      <c r="J471" s="41">
        <f t="shared" si="15"/>
        <v>41324</v>
      </c>
    </row>
    <row r="472" spans="1:10">
      <c r="A472" s="37" t="s">
        <v>915</v>
      </c>
      <c r="B472" s="38" t="s">
        <v>63</v>
      </c>
      <c r="C472" s="37" t="s">
        <v>83</v>
      </c>
      <c r="D472" s="37" t="s">
        <v>59</v>
      </c>
      <c r="E472" s="113">
        <v>44061</v>
      </c>
      <c r="F472" s="43">
        <f t="shared" ca="1" si="14"/>
        <v>3</v>
      </c>
      <c r="G472" s="44"/>
      <c r="H472" s="45">
        <v>52479</v>
      </c>
      <c r="I472" s="38">
        <v>1</v>
      </c>
      <c r="J472" s="41">
        <f t="shared" si="15"/>
        <v>53912</v>
      </c>
    </row>
    <row r="473" spans="1:10">
      <c r="A473" s="37" t="s">
        <v>1212</v>
      </c>
      <c r="B473" s="38" t="s">
        <v>62</v>
      </c>
      <c r="C473" s="37" t="s">
        <v>93</v>
      </c>
      <c r="D473" s="37" t="s">
        <v>65</v>
      </c>
      <c r="E473" s="113">
        <v>41086</v>
      </c>
      <c r="F473" s="43">
        <f t="shared" ca="1" si="14"/>
        <v>11</v>
      </c>
      <c r="G473" s="44" t="s">
        <v>69</v>
      </c>
      <c r="H473" s="45">
        <v>83627</v>
      </c>
      <c r="I473" s="38">
        <v>2</v>
      </c>
      <c r="J473" s="41">
        <f t="shared" si="15"/>
        <v>85910</v>
      </c>
    </row>
    <row r="474" spans="1:10">
      <c r="A474" s="37" t="s">
        <v>722</v>
      </c>
      <c r="B474" s="38" t="s">
        <v>63</v>
      </c>
      <c r="C474" s="37" t="s">
        <v>77</v>
      </c>
      <c r="D474" s="37" t="s">
        <v>65</v>
      </c>
      <c r="E474" s="113">
        <v>44423</v>
      </c>
      <c r="F474" s="43">
        <f t="shared" ca="1" si="14"/>
        <v>2</v>
      </c>
      <c r="G474" s="44" t="s">
        <v>70</v>
      </c>
      <c r="H474" s="45">
        <v>119159</v>
      </c>
      <c r="I474" s="38">
        <v>4</v>
      </c>
      <c r="J474" s="41">
        <f t="shared" si="15"/>
        <v>122412</v>
      </c>
    </row>
    <row r="475" spans="1:10">
      <c r="A475" s="37" t="s">
        <v>1128</v>
      </c>
      <c r="B475" s="38" t="s">
        <v>64</v>
      </c>
      <c r="C475" s="37" t="s">
        <v>91</v>
      </c>
      <c r="D475" s="37" t="s">
        <v>65</v>
      </c>
      <c r="E475" s="113">
        <v>41384</v>
      </c>
      <c r="F475" s="43">
        <f t="shared" ca="1" si="14"/>
        <v>10</v>
      </c>
      <c r="G475" s="44" t="s">
        <v>68</v>
      </c>
      <c r="H475" s="45">
        <v>40511</v>
      </c>
      <c r="I475" s="38">
        <v>5</v>
      </c>
      <c r="J475" s="41">
        <f t="shared" si="15"/>
        <v>41617</v>
      </c>
    </row>
    <row r="476" spans="1:10">
      <c r="A476" s="37" t="s">
        <v>1129</v>
      </c>
      <c r="B476" s="38" t="s">
        <v>62</v>
      </c>
      <c r="C476" s="37" t="s">
        <v>91</v>
      </c>
      <c r="D476" s="37" t="s">
        <v>65</v>
      </c>
      <c r="E476" s="113">
        <v>44350</v>
      </c>
      <c r="F476" s="43">
        <f t="shared" ca="1" si="14"/>
        <v>2</v>
      </c>
      <c r="G476" s="44" t="s">
        <v>68</v>
      </c>
      <c r="H476" s="45">
        <v>94195</v>
      </c>
      <c r="I476" s="38">
        <v>4</v>
      </c>
      <c r="J476" s="41">
        <f t="shared" si="15"/>
        <v>96767</v>
      </c>
    </row>
    <row r="477" spans="1:10">
      <c r="A477" s="37" t="s">
        <v>793</v>
      </c>
      <c r="B477" s="38" t="s">
        <v>57</v>
      </c>
      <c r="C477" s="37" t="s">
        <v>80</v>
      </c>
      <c r="D477" s="37" t="s">
        <v>65</v>
      </c>
      <c r="E477" s="113">
        <v>43269</v>
      </c>
      <c r="F477" s="43">
        <f t="shared" ca="1" si="14"/>
        <v>5</v>
      </c>
      <c r="G477" s="44" t="s">
        <v>70</v>
      </c>
      <c r="H477" s="45">
        <v>111074</v>
      </c>
      <c r="I477" s="38">
        <v>2</v>
      </c>
      <c r="J477" s="41">
        <f t="shared" si="15"/>
        <v>114106</v>
      </c>
    </row>
    <row r="478" spans="1:10">
      <c r="A478" s="37" t="s">
        <v>1213</v>
      </c>
      <c r="B478" s="38" t="s">
        <v>64</v>
      </c>
      <c r="C478" s="37" t="s">
        <v>93</v>
      </c>
      <c r="D478" s="37" t="s">
        <v>59</v>
      </c>
      <c r="E478" s="113">
        <v>43984</v>
      </c>
      <c r="F478" s="43">
        <f t="shared" ca="1" si="14"/>
        <v>3</v>
      </c>
      <c r="G478" s="44"/>
      <c r="H478" s="45">
        <v>57929</v>
      </c>
      <c r="I478" s="38">
        <v>5</v>
      </c>
      <c r="J478" s="41">
        <f t="shared" si="15"/>
        <v>59510</v>
      </c>
    </row>
    <row r="479" spans="1:10">
      <c r="A479" s="37" t="s">
        <v>916</v>
      </c>
      <c r="B479" s="38" t="s">
        <v>63</v>
      </c>
      <c r="C479" s="37" t="s">
        <v>83</v>
      </c>
      <c r="D479" s="37" t="s">
        <v>65</v>
      </c>
      <c r="E479" s="113">
        <v>42981</v>
      </c>
      <c r="F479" s="43">
        <f t="shared" ca="1" si="14"/>
        <v>6</v>
      </c>
      <c r="G479" s="44" t="s">
        <v>66</v>
      </c>
      <c r="H479" s="45">
        <v>99147</v>
      </c>
      <c r="I479" s="38">
        <v>5</v>
      </c>
      <c r="J479" s="41">
        <f t="shared" si="15"/>
        <v>101854</v>
      </c>
    </row>
    <row r="480" spans="1:10">
      <c r="A480" s="37" t="s">
        <v>723</v>
      </c>
      <c r="B480" s="38" t="s">
        <v>63</v>
      </c>
      <c r="C480" s="37" t="s">
        <v>77</v>
      </c>
      <c r="D480" s="37" t="s">
        <v>71</v>
      </c>
      <c r="E480" s="113">
        <v>39433</v>
      </c>
      <c r="F480" s="43">
        <f t="shared" ca="1" si="14"/>
        <v>15</v>
      </c>
      <c r="G480" s="44" t="s">
        <v>69</v>
      </c>
      <c r="H480" s="45">
        <v>32425</v>
      </c>
      <c r="I480" s="38">
        <v>4</v>
      </c>
      <c r="J480" s="41">
        <f t="shared" si="15"/>
        <v>33310</v>
      </c>
    </row>
    <row r="481" spans="1:10">
      <c r="A481" s="37" t="s">
        <v>616</v>
      </c>
      <c r="B481" s="38" t="s">
        <v>61</v>
      </c>
      <c r="C481" s="37" t="s">
        <v>58</v>
      </c>
      <c r="D481" s="37" t="s">
        <v>65</v>
      </c>
      <c r="E481" s="113">
        <v>43873</v>
      </c>
      <c r="F481" s="43">
        <f t="shared" ca="1" si="14"/>
        <v>3</v>
      </c>
      <c r="G481" s="44" t="s">
        <v>69</v>
      </c>
      <c r="H481" s="45">
        <v>100741</v>
      </c>
      <c r="I481" s="38">
        <v>3</v>
      </c>
      <c r="J481" s="41">
        <f t="shared" si="15"/>
        <v>103491</v>
      </c>
    </row>
    <row r="482" spans="1:10">
      <c r="A482" s="37" t="s">
        <v>763</v>
      </c>
      <c r="B482" s="38" t="s">
        <v>60</v>
      </c>
      <c r="C482" s="37" t="s">
        <v>79</v>
      </c>
      <c r="D482" s="37" t="s">
        <v>65</v>
      </c>
      <c r="E482" s="113">
        <v>40160</v>
      </c>
      <c r="F482" s="43">
        <f t="shared" ca="1" si="14"/>
        <v>13</v>
      </c>
      <c r="G482" s="44" t="s">
        <v>70</v>
      </c>
      <c r="H482" s="45">
        <v>104097</v>
      </c>
      <c r="I482" s="38">
        <v>5</v>
      </c>
      <c r="J482" s="41">
        <f t="shared" si="15"/>
        <v>106939</v>
      </c>
    </row>
    <row r="483" spans="1:10">
      <c r="A483" s="37" t="s">
        <v>1214</v>
      </c>
      <c r="B483" s="38" t="s">
        <v>64</v>
      </c>
      <c r="C483" s="37" t="s">
        <v>93</v>
      </c>
      <c r="D483" s="37" t="s">
        <v>65</v>
      </c>
      <c r="E483" s="113">
        <v>42762</v>
      </c>
      <c r="F483" s="43">
        <f t="shared" ca="1" si="14"/>
        <v>6</v>
      </c>
      <c r="G483" s="44" t="s">
        <v>66</v>
      </c>
      <c r="H483" s="45">
        <v>35629</v>
      </c>
      <c r="I483" s="38">
        <v>2</v>
      </c>
      <c r="J483" s="41">
        <f t="shared" si="15"/>
        <v>36602</v>
      </c>
    </row>
    <row r="484" spans="1:10">
      <c r="A484" s="37" t="s">
        <v>1046</v>
      </c>
      <c r="B484" s="38" t="s">
        <v>63</v>
      </c>
      <c r="C484" s="37" t="s">
        <v>88</v>
      </c>
      <c r="D484" s="37" t="s">
        <v>65</v>
      </c>
      <c r="E484" s="113">
        <v>42483</v>
      </c>
      <c r="F484" s="43">
        <f t="shared" ca="1" si="14"/>
        <v>7</v>
      </c>
      <c r="G484" s="44" t="s">
        <v>70</v>
      </c>
      <c r="H484" s="45">
        <v>78871</v>
      </c>
      <c r="I484" s="38">
        <v>1</v>
      </c>
      <c r="J484" s="41">
        <f t="shared" si="15"/>
        <v>81024</v>
      </c>
    </row>
    <row r="485" spans="1:10">
      <c r="A485" s="37" t="s">
        <v>676</v>
      </c>
      <c r="B485" s="38" t="s">
        <v>63</v>
      </c>
      <c r="C485" s="37" t="s">
        <v>75</v>
      </c>
      <c r="D485" s="37" t="s">
        <v>72</v>
      </c>
      <c r="E485" s="113">
        <v>42552</v>
      </c>
      <c r="F485" s="43">
        <f t="shared" ca="1" si="14"/>
        <v>7</v>
      </c>
      <c r="G485" s="44"/>
      <c r="H485" s="45">
        <v>27776</v>
      </c>
      <c r="I485" s="38">
        <v>4</v>
      </c>
      <c r="J485" s="41">
        <f t="shared" si="15"/>
        <v>28534</v>
      </c>
    </row>
    <row r="486" spans="1:10">
      <c r="A486" s="37" t="s">
        <v>724</v>
      </c>
      <c r="B486" s="38" t="s">
        <v>61</v>
      </c>
      <c r="C486" s="37" t="s">
        <v>77</v>
      </c>
      <c r="D486" s="37" t="s">
        <v>65</v>
      </c>
      <c r="E486" s="113">
        <v>40609</v>
      </c>
      <c r="F486" s="43">
        <f t="shared" ca="1" si="14"/>
        <v>12</v>
      </c>
      <c r="G486" s="44" t="s">
        <v>70</v>
      </c>
      <c r="H486" s="45">
        <v>39734</v>
      </c>
      <c r="I486" s="38">
        <v>4</v>
      </c>
      <c r="J486" s="41">
        <f t="shared" si="15"/>
        <v>40819</v>
      </c>
    </row>
    <row r="487" spans="1:10">
      <c r="A487" s="37" t="s">
        <v>725</v>
      </c>
      <c r="B487" s="38" t="s">
        <v>60</v>
      </c>
      <c r="C487" s="37" t="s">
        <v>77</v>
      </c>
      <c r="D487" s="37" t="s">
        <v>71</v>
      </c>
      <c r="E487" s="113">
        <v>42395</v>
      </c>
      <c r="F487" s="43">
        <f t="shared" ca="1" si="14"/>
        <v>7</v>
      </c>
      <c r="G487" s="44" t="s">
        <v>66</v>
      </c>
      <c r="H487" s="45">
        <v>67144</v>
      </c>
      <c r="I487" s="38">
        <v>4</v>
      </c>
      <c r="J487" s="41">
        <f t="shared" si="15"/>
        <v>68977</v>
      </c>
    </row>
    <row r="488" spans="1:10">
      <c r="A488" s="37" t="s">
        <v>661</v>
      </c>
      <c r="B488" s="38" t="s">
        <v>61</v>
      </c>
      <c r="C488" s="37" t="s">
        <v>74</v>
      </c>
      <c r="D488" s="37" t="s">
        <v>72</v>
      </c>
      <c r="E488" s="113">
        <v>43349</v>
      </c>
      <c r="F488" s="43">
        <f t="shared" ca="1" si="14"/>
        <v>5</v>
      </c>
      <c r="G488" s="44"/>
      <c r="H488" s="45">
        <v>20403</v>
      </c>
      <c r="I488" s="38">
        <v>5</v>
      </c>
      <c r="J488" s="41">
        <f t="shared" si="15"/>
        <v>20960</v>
      </c>
    </row>
    <row r="489" spans="1:10">
      <c r="A489" s="37" t="s">
        <v>1047</v>
      </c>
      <c r="B489" s="38" t="s">
        <v>64</v>
      </c>
      <c r="C489" s="37" t="s">
        <v>88</v>
      </c>
      <c r="D489" s="37" t="s">
        <v>65</v>
      </c>
      <c r="E489" s="113">
        <v>43245</v>
      </c>
      <c r="F489" s="43">
        <f t="shared" ca="1" si="14"/>
        <v>5</v>
      </c>
      <c r="G489" s="44" t="s">
        <v>69</v>
      </c>
      <c r="H489" s="45">
        <v>44879</v>
      </c>
      <c r="I489" s="38">
        <v>4</v>
      </c>
      <c r="J489" s="41">
        <f t="shared" si="15"/>
        <v>46104</v>
      </c>
    </row>
    <row r="490" spans="1:10">
      <c r="A490" s="37" t="s">
        <v>1270</v>
      </c>
      <c r="B490" s="38" t="s">
        <v>61</v>
      </c>
      <c r="C490" s="37" t="s">
        <v>97</v>
      </c>
      <c r="D490" s="37" t="s">
        <v>59</v>
      </c>
      <c r="E490" s="113">
        <v>42325</v>
      </c>
      <c r="F490" s="43">
        <f t="shared" ca="1" si="14"/>
        <v>7</v>
      </c>
      <c r="G490" s="44"/>
      <c r="H490" s="45">
        <v>75154</v>
      </c>
      <c r="I490" s="38">
        <v>4</v>
      </c>
      <c r="J490" s="41">
        <f t="shared" si="15"/>
        <v>77206</v>
      </c>
    </row>
    <row r="491" spans="1:10">
      <c r="A491" s="37" t="s">
        <v>726</v>
      </c>
      <c r="B491" s="38" t="s">
        <v>60</v>
      </c>
      <c r="C491" s="37" t="s">
        <v>77</v>
      </c>
      <c r="D491" s="37" t="s">
        <v>65</v>
      </c>
      <c r="E491" s="113">
        <v>44244</v>
      </c>
      <c r="F491" s="43">
        <f t="shared" ca="1" si="14"/>
        <v>2</v>
      </c>
      <c r="G491" s="44" t="s">
        <v>69</v>
      </c>
      <c r="H491" s="45">
        <v>69080</v>
      </c>
      <c r="I491" s="38">
        <v>2</v>
      </c>
      <c r="J491" s="41">
        <f t="shared" si="15"/>
        <v>70966</v>
      </c>
    </row>
    <row r="492" spans="1:10">
      <c r="A492" s="37" t="s">
        <v>690</v>
      </c>
      <c r="B492" s="38" t="s">
        <v>63</v>
      </c>
      <c r="C492" s="37" t="s">
        <v>76</v>
      </c>
      <c r="D492" s="37" t="s">
        <v>65</v>
      </c>
      <c r="E492" s="113">
        <v>42327</v>
      </c>
      <c r="F492" s="43">
        <f t="shared" ca="1" si="14"/>
        <v>7</v>
      </c>
      <c r="G492" s="44" t="s">
        <v>70</v>
      </c>
      <c r="H492" s="45">
        <v>31787</v>
      </c>
      <c r="I492" s="38">
        <v>3</v>
      </c>
      <c r="J492" s="41">
        <f t="shared" si="15"/>
        <v>32655</v>
      </c>
    </row>
    <row r="493" spans="1:10">
      <c r="A493" s="37" t="s">
        <v>1048</v>
      </c>
      <c r="B493" s="38" t="s">
        <v>61</v>
      </c>
      <c r="C493" s="37" t="s">
        <v>88</v>
      </c>
      <c r="D493" s="37" t="s">
        <v>65</v>
      </c>
      <c r="E493" s="113">
        <v>42344</v>
      </c>
      <c r="F493" s="43">
        <f t="shared" ca="1" si="14"/>
        <v>7</v>
      </c>
      <c r="G493" s="44" t="s">
        <v>68</v>
      </c>
      <c r="H493" s="45">
        <v>31080</v>
      </c>
      <c r="I493" s="38">
        <v>4</v>
      </c>
      <c r="J493" s="41">
        <f t="shared" si="15"/>
        <v>31928</v>
      </c>
    </row>
    <row r="494" spans="1:10">
      <c r="A494" s="37" t="s">
        <v>1130</v>
      </c>
      <c r="B494" s="38" t="s">
        <v>61</v>
      </c>
      <c r="C494" s="37" t="s">
        <v>91</v>
      </c>
      <c r="D494" s="37" t="s">
        <v>59</v>
      </c>
      <c r="E494" s="113">
        <v>44810</v>
      </c>
      <c r="F494" s="43">
        <f t="shared" ca="1" si="14"/>
        <v>1</v>
      </c>
      <c r="G494" s="44"/>
      <c r="H494" s="45">
        <v>77234</v>
      </c>
      <c r="I494" s="38">
        <v>2</v>
      </c>
      <c r="J494" s="41">
        <f t="shared" si="15"/>
        <v>79342</v>
      </c>
    </row>
    <row r="495" spans="1:10">
      <c r="A495" s="37" t="s">
        <v>1280</v>
      </c>
      <c r="B495" s="38" t="s">
        <v>62</v>
      </c>
      <c r="C495" s="37" t="s">
        <v>98</v>
      </c>
      <c r="D495" s="37" t="s">
        <v>71</v>
      </c>
      <c r="E495" s="113">
        <v>39808</v>
      </c>
      <c r="F495" s="43">
        <f t="shared" ca="1" si="14"/>
        <v>14</v>
      </c>
      <c r="G495" s="44" t="s">
        <v>68</v>
      </c>
      <c r="H495" s="45">
        <v>21136</v>
      </c>
      <c r="I495" s="38">
        <v>1</v>
      </c>
      <c r="J495" s="41">
        <f t="shared" si="15"/>
        <v>21713</v>
      </c>
    </row>
    <row r="496" spans="1:10">
      <c r="A496" s="37" t="s">
        <v>1049</v>
      </c>
      <c r="B496" s="38" t="s">
        <v>63</v>
      </c>
      <c r="C496" s="37" t="s">
        <v>88</v>
      </c>
      <c r="D496" s="37" t="s">
        <v>65</v>
      </c>
      <c r="E496" s="113">
        <v>43283</v>
      </c>
      <c r="F496" s="43">
        <f t="shared" ca="1" si="14"/>
        <v>5</v>
      </c>
      <c r="G496" s="44" t="s">
        <v>66</v>
      </c>
      <c r="H496" s="45">
        <v>49039</v>
      </c>
      <c r="I496" s="38">
        <v>5</v>
      </c>
      <c r="J496" s="41">
        <f t="shared" si="15"/>
        <v>50378</v>
      </c>
    </row>
    <row r="497" spans="1:10">
      <c r="A497" s="37" t="s">
        <v>1252</v>
      </c>
      <c r="B497" s="38" t="s">
        <v>61</v>
      </c>
      <c r="C497" s="37" t="s">
        <v>96</v>
      </c>
      <c r="D497" s="37" t="s">
        <v>59</v>
      </c>
      <c r="E497" s="113">
        <v>42707</v>
      </c>
      <c r="F497" s="43">
        <f t="shared" ca="1" si="14"/>
        <v>6</v>
      </c>
      <c r="G497" s="44"/>
      <c r="H497" s="45">
        <v>84265</v>
      </c>
      <c r="I497" s="38">
        <v>2</v>
      </c>
      <c r="J497" s="41">
        <f t="shared" si="15"/>
        <v>86565</v>
      </c>
    </row>
    <row r="498" spans="1:10">
      <c r="A498" s="37" t="s">
        <v>794</v>
      </c>
      <c r="B498" s="38" t="s">
        <v>61</v>
      </c>
      <c r="C498" s="37" t="s">
        <v>80</v>
      </c>
      <c r="D498" s="37" t="s">
        <v>65</v>
      </c>
      <c r="E498" s="113">
        <v>44774</v>
      </c>
      <c r="F498" s="43">
        <f t="shared" ca="1" si="14"/>
        <v>1</v>
      </c>
      <c r="G498" s="44" t="s">
        <v>69</v>
      </c>
      <c r="H498" s="45">
        <v>104528</v>
      </c>
      <c r="I498" s="38">
        <v>2</v>
      </c>
      <c r="J498" s="41">
        <f t="shared" si="15"/>
        <v>107382</v>
      </c>
    </row>
    <row r="499" spans="1:10">
      <c r="A499" s="37" t="s">
        <v>917</v>
      </c>
      <c r="B499" s="38" t="s">
        <v>60</v>
      </c>
      <c r="C499" s="37" t="s">
        <v>83</v>
      </c>
      <c r="D499" s="37" t="s">
        <v>59</v>
      </c>
      <c r="E499" s="113">
        <v>42757</v>
      </c>
      <c r="F499" s="43">
        <f t="shared" ca="1" si="14"/>
        <v>6</v>
      </c>
      <c r="G499" s="44"/>
      <c r="H499" s="45">
        <v>109867</v>
      </c>
      <c r="I499" s="38">
        <v>4</v>
      </c>
      <c r="J499" s="41">
        <f t="shared" si="15"/>
        <v>112866</v>
      </c>
    </row>
    <row r="500" spans="1:10">
      <c r="A500" s="37" t="s">
        <v>795</v>
      </c>
      <c r="B500" s="38" t="s">
        <v>62</v>
      </c>
      <c r="C500" s="37" t="s">
        <v>80</v>
      </c>
      <c r="D500" s="37" t="s">
        <v>71</v>
      </c>
      <c r="E500" s="113">
        <v>43322</v>
      </c>
      <c r="F500" s="43">
        <f t="shared" ca="1" si="14"/>
        <v>5</v>
      </c>
      <c r="G500" s="44" t="s">
        <v>68</v>
      </c>
      <c r="H500" s="45">
        <v>18632</v>
      </c>
      <c r="I500" s="38">
        <v>1</v>
      </c>
      <c r="J500" s="41">
        <f t="shared" si="15"/>
        <v>19141</v>
      </c>
    </row>
    <row r="501" spans="1:10">
      <c r="A501" s="37" t="s">
        <v>1215</v>
      </c>
      <c r="B501" s="38" t="s">
        <v>64</v>
      </c>
      <c r="C501" s="37" t="s">
        <v>93</v>
      </c>
      <c r="D501" s="37" t="s">
        <v>59</v>
      </c>
      <c r="E501" s="113">
        <v>44309</v>
      </c>
      <c r="F501" s="43">
        <f t="shared" ca="1" si="14"/>
        <v>2</v>
      </c>
      <c r="G501" s="44"/>
      <c r="H501" s="45">
        <v>36086</v>
      </c>
      <c r="I501" s="38">
        <v>5</v>
      </c>
      <c r="J501" s="41">
        <f t="shared" si="15"/>
        <v>37071</v>
      </c>
    </row>
    <row r="502" spans="1:10">
      <c r="A502" s="37" t="s">
        <v>1216</v>
      </c>
      <c r="B502" s="38" t="s">
        <v>60</v>
      </c>
      <c r="C502" s="37" t="s">
        <v>93</v>
      </c>
      <c r="D502" s="37" t="s">
        <v>71</v>
      </c>
      <c r="E502" s="113">
        <v>42934</v>
      </c>
      <c r="F502" s="43">
        <f t="shared" ca="1" si="14"/>
        <v>6</v>
      </c>
      <c r="G502" s="44" t="s">
        <v>69</v>
      </c>
      <c r="H502" s="45">
        <v>31898</v>
      </c>
      <c r="I502" s="38">
        <v>4</v>
      </c>
      <c r="J502" s="41">
        <f t="shared" si="15"/>
        <v>32769</v>
      </c>
    </row>
    <row r="503" spans="1:10">
      <c r="A503" s="37" t="s">
        <v>918</v>
      </c>
      <c r="B503" s="38" t="s">
        <v>63</v>
      </c>
      <c r="C503" s="37" t="s">
        <v>83</v>
      </c>
      <c r="D503" s="37" t="s">
        <v>65</v>
      </c>
      <c r="E503" s="113">
        <v>42467</v>
      </c>
      <c r="F503" s="43">
        <f t="shared" ca="1" si="14"/>
        <v>7</v>
      </c>
      <c r="G503" s="44" t="s">
        <v>68</v>
      </c>
      <c r="H503" s="45">
        <v>83600</v>
      </c>
      <c r="I503" s="38">
        <v>1</v>
      </c>
      <c r="J503" s="41">
        <f t="shared" si="15"/>
        <v>85882</v>
      </c>
    </row>
    <row r="504" spans="1:10">
      <c r="A504" s="37" t="s">
        <v>1271</v>
      </c>
      <c r="B504" s="38" t="s">
        <v>63</v>
      </c>
      <c r="C504" s="37" t="s">
        <v>97</v>
      </c>
      <c r="D504" s="37" t="s">
        <v>71</v>
      </c>
      <c r="E504" s="113">
        <v>39552</v>
      </c>
      <c r="F504" s="43">
        <f t="shared" ca="1" si="14"/>
        <v>15</v>
      </c>
      <c r="G504" s="44" t="s">
        <v>68</v>
      </c>
      <c r="H504" s="45">
        <v>28431</v>
      </c>
      <c r="I504" s="38">
        <v>3</v>
      </c>
      <c r="J504" s="41">
        <f t="shared" si="15"/>
        <v>29207</v>
      </c>
    </row>
    <row r="505" spans="1:10">
      <c r="A505" s="37" t="s">
        <v>1131</v>
      </c>
      <c r="B505" s="38" t="s">
        <v>61</v>
      </c>
      <c r="C505" s="37" t="s">
        <v>91</v>
      </c>
      <c r="D505" s="37" t="s">
        <v>65</v>
      </c>
      <c r="E505" s="113">
        <v>44607</v>
      </c>
      <c r="F505" s="43">
        <f t="shared" ca="1" si="14"/>
        <v>1</v>
      </c>
      <c r="G505" s="44" t="s">
        <v>68</v>
      </c>
      <c r="H505" s="45">
        <v>94958</v>
      </c>
      <c r="I505" s="38">
        <v>4</v>
      </c>
      <c r="J505" s="41">
        <f t="shared" si="15"/>
        <v>97550</v>
      </c>
    </row>
    <row r="506" spans="1:10">
      <c r="A506" s="37" t="s">
        <v>796</v>
      </c>
      <c r="B506" s="38" t="s">
        <v>63</v>
      </c>
      <c r="C506" s="37" t="s">
        <v>80</v>
      </c>
      <c r="D506" s="37" t="s">
        <v>59</v>
      </c>
      <c r="E506" s="113">
        <v>40214</v>
      </c>
      <c r="F506" s="43">
        <f t="shared" ca="1" si="14"/>
        <v>13</v>
      </c>
      <c r="G506" s="44"/>
      <c r="H506" s="45">
        <v>42022</v>
      </c>
      <c r="I506" s="38">
        <v>1</v>
      </c>
      <c r="J506" s="41">
        <f t="shared" si="15"/>
        <v>43169</v>
      </c>
    </row>
    <row r="507" spans="1:10">
      <c r="A507" s="37" t="s">
        <v>755</v>
      </c>
      <c r="B507" s="38" t="s">
        <v>63</v>
      </c>
      <c r="C507" s="37" t="s">
        <v>78</v>
      </c>
      <c r="D507" s="37" t="s">
        <v>59</v>
      </c>
      <c r="E507" s="113">
        <v>43120</v>
      </c>
      <c r="F507" s="43">
        <f t="shared" ca="1" si="14"/>
        <v>5</v>
      </c>
      <c r="G507" s="44"/>
      <c r="H507" s="45">
        <v>49400</v>
      </c>
      <c r="I507" s="38">
        <v>4</v>
      </c>
      <c r="J507" s="41">
        <f t="shared" si="15"/>
        <v>50749</v>
      </c>
    </row>
    <row r="508" spans="1:10">
      <c r="A508" s="37" t="s">
        <v>1050</v>
      </c>
      <c r="B508" s="38" t="s">
        <v>63</v>
      </c>
      <c r="C508" s="37" t="s">
        <v>88</v>
      </c>
      <c r="D508" s="37" t="s">
        <v>59</v>
      </c>
      <c r="E508" s="113">
        <v>44845</v>
      </c>
      <c r="F508" s="43">
        <f t="shared" ca="1" si="14"/>
        <v>0</v>
      </c>
      <c r="G508" s="44"/>
      <c r="H508" s="45">
        <v>112433</v>
      </c>
      <c r="I508" s="38">
        <v>5</v>
      </c>
      <c r="J508" s="41">
        <f t="shared" si="15"/>
        <v>115502</v>
      </c>
    </row>
    <row r="509" spans="1:10">
      <c r="A509" s="37" t="s">
        <v>646</v>
      </c>
      <c r="B509" s="38" t="s">
        <v>60</v>
      </c>
      <c r="C509" s="37" t="s">
        <v>73</v>
      </c>
      <c r="D509" s="37" t="s">
        <v>65</v>
      </c>
      <c r="E509" s="113">
        <v>39762</v>
      </c>
      <c r="F509" s="43">
        <f t="shared" ca="1" si="14"/>
        <v>14</v>
      </c>
      <c r="G509" s="44" t="s">
        <v>68</v>
      </c>
      <c r="H509" s="45">
        <v>75653</v>
      </c>
      <c r="I509" s="38">
        <v>1</v>
      </c>
      <c r="J509" s="41">
        <f t="shared" si="15"/>
        <v>77718</v>
      </c>
    </row>
    <row r="510" spans="1:10">
      <c r="A510" s="37" t="s">
        <v>1217</v>
      </c>
      <c r="B510" s="38" t="s">
        <v>64</v>
      </c>
      <c r="C510" s="37" t="s">
        <v>93</v>
      </c>
      <c r="D510" s="37" t="s">
        <v>65</v>
      </c>
      <c r="E510" s="113">
        <v>39834</v>
      </c>
      <c r="F510" s="43">
        <f t="shared" ca="1" si="14"/>
        <v>14</v>
      </c>
      <c r="G510" s="44" t="s">
        <v>69</v>
      </c>
      <c r="H510" s="45">
        <v>107731</v>
      </c>
      <c r="I510" s="38">
        <v>3</v>
      </c>
      <c r="J510" s="41">
        <f t="shared" si="15"/>
        <v>110672</v>
      </c>
    </row>
    <row r="511" spans="1:10">
      <c r="A511" s="37" t="s">
        <v>662</v>
      </c>
      <c r="B511" s="38" t="s">
        <v>61</v>
      </c>
      <c r="C511" s="37" t="s">
        <v>74</v>
      </c>
      <c r="D511" s="37" t="s">
        <v>72</v>
      </c>
      <c r="E511" s="113">
        <v>42551</v>
      </c>
      <c r="F511" s="43">
        <f t="shared" ca="1" si="14"/>
        <v>7</v>
      </c>
      <c r="G511" s="44"/>
      <c r="H511" s="45">
        <v>17580</v>
      </c>
      <c r="I511" s="38">
        <v>2</v>
      </c>
      <c r="J511" s="41">
        <f t="shared" si="15"/>
        <v>18060</v>
      </c>
    </row>
    <row r="512" spans="1:10">
      <c r="A512" s="37" t="s">
        <v>919</v>
      </c>
      <c r="B512" s="38" t="s">
        <v>64</v>
      </c>
      <c r="C512" s="37" t="s">
        <v>83</v>
      </c>
      <c r="D512" s="37" t="s">
        <v>59</v>
      </c>
      <c r="E512" s="113">
        <v>39602</v>
      </c>
      <c r="F512" s="43">
        <f t="shared" ca="1" si="14"/>
        <v>15</v>
      </c>
      <c r="G512" s="44"/>
      <c r="H512" s="45">
        <v>62478</v>
      </c>
      <c r="I512" s="38">
        <v>1</v>
      </c>
      <c r="J512" s="41">
        <f t="shared" si="15"/>
        <v>64184</v>
      </c>
    </row>
    <row r="513" spans="1:10">
      <c r="A513" s="37" t="s">
        <v>1218</v>
      </c>
      <c r="B513" s="38" t="s">
        <v>62</v>
      </c>
      <c r="C513" s="37" t="s">
        <v>93</v>
      </c>
      <c r="D513" s="37" t="s">
        <v>71</v>
      </c>
      <c r="E513" s="113">
        <v>39956</v>
      </c>
      <c r="F513" s="43">
        <f t="shared" ca="1" si="14"/>
        <v>14</v>
      </c>
      <c r="G513" s="44" t="s">
        <v>66</v>
      </c>
      <c r="H513" s="45">
        <v>27495</v>
      </c>
      <c r="I513" s="38">
        <v>2</v>
      </c>
      <c r="J513" s="41">
        <f t="shared" si="15"/>
        <v>28246</v>
      </c>
    </row>
    <row r="514" spans="1:10">
      <c r="A514" s="37" t="s">
        <v>920</v>
      </c>
      <c r="B514" s="38" t="s">
        <v>63</v>
      </c>
      <c r="C514" s="37" t="s">
        <v>83</v>
      </c>
      <c r="D514" s="37" t="s">
        <v>65</v>
      </c>
      <c r="E514" s="113">
        <v>39692</v>
      </c>
      <c r="F514" s="43">
        <f t="shared" ref="F514:F577" ca="1" si="16">DATEDIF(E514,TODAY(),"Y")</f>
        <v>15</v>
      </c>
      <c r="G514" s="44" t="s">
        <v>68</v>
      </c>
      <c r="H514" s="45">
        <v>122376</v>
      </c>
      <c r="I514" s="38">
        <v>5</v>
      </c>
      <c r="J514" s="41">
        <f t="shared" ref="J514:J577" si="17">ROUND(H514*$L$1+H514,0)</f>
        <v>125717</v>
      </c>
    </row>
    <row r="515" spans="1:10">
      <c r="A515" s="37" t="s">
        <v>1074</v>
      </c>
      <c r="B515" s="38" t="s">
        <v>61</v>
      </c>
      <c r="C515" s="37" t="s">
        <v>90</v>
      </c>
      <c r="D515" s="37" t="s">
        <v>71</v>
      </c>
      <c r="E515" s="113">
        <v>44245</v>
      </c>
      <c r="F515" s="43">
        <f t="shared" ca="1" si="16"/>
        <v>2</v>
      </c>
      <c r="G515" s="44" t="s">
        <v>69</v>
      </c>
      <c r="H515" s="45">
        <v>22210</v>
      </c>
      <c r="I515" s="38">
        <v>3</v>
      </c>
      <c r="J515" s="41">
        <f t="shared" si="17"/>
        <v>22816</v>
      </c>
    </row>
    <row r="516" spans="1:10">
      <c r="A516" s="37" t="s">
        <v>921</v>
      </c>
      <c r="B516" s="38" t="s">
        <v>63</v>
      </c>
      <c r="C516" s="37" t="s">
        <v>83</v>
      </c>
      <c r="D516" s="37" t="s">
        <v>65</v>
      </c>
      <c r="E516" s="113">
        <v>40126</v>
      </c>
      <c r="F516" s="43">
        <f t="shared" ca="1" si="16"/>
        <v>13</v>
      </c>
      <c r="G516" s="44" t="s">
        <v>68</v>
      </c>
      <c r="H516" s="45">
        <v>105667</v>
      </c>
      <c r="I516" s="38">
        <v>4</v>
      </c>
      <c r="J516" s="41">
        <f t="shared" si="17"/>
        <v>108552</v>
      </c>
    </row>
    <row r="517" spans="1:10">
      <c r="A517" s="37" t="s">
        <v>922</v>
      </c>
      <c r="B517" s="38" t="s">
        <v>63</v>
      </c>
      <c r="C517" s="37" t="s">
        <v>83</v>
      </c>
      <c r="D517" s="37" t="s">
        <v>59</v>
      </c>
      <c r="E517" s="113">
        <v>44083</v>
      </c>
      <c r="F517" s="43">
        <f t="shared" ca="1" si="16"/>
        <v>3</v>
      </c>
      <c r="G517" s="44"/>
      <c r="H517" s="45">
        <v>91547</v>
      </c>
      <c r="I517" s="38">
        <v>2</v>
      </c>
      <c r="J517" s="41">
        <f t="shared" si="17"/>
        <v>94046</v>
      </c>
    </row>
    <row r="518" spans="1:10">
      <c r="A518" s="37" t="s">
        <v>1248</v>
      </c>
      <c r="B518" s="38" t="s">
        <v>63</v>
      </c>
      <c r="C518" s="37" t="s">
        <v>95</v>
      </c>
      <c r="D518" s="37" t="s">
        <v>59</v>
      </c>
      <c r="E518" s="113">
        <v>44310</v>
      </c>
      <c r="F518" s="43">
        <f t="shared" ca="1" si="16"/>
        <v>2</v>
      </c>
      <c r="G518" s="44"/>
      <c r="H518" s="45">
        <v>91715</v>
      </c>
      <c r="I518" s="38">
        <v>4</v>
      </c>
      <c r="J518" s="41">
        <f t="shared" si="17"/>
        <v>94219</v>
      </c>
    </row>
    <row r="519" spans="1:10">
      <c r="A519" s="37" t="s">
        <v>1009</v>
      </c>
      <c r="B519" s="38" t="s">
        <v>60</v>
      </c>
      <c r="C519" s="37" t="s">
        <v>87</v>
      </c>
      <c r="D519" s="37" t="s">
        <v>65</v>
      </c>
      <c r="E519" s="113">
        <v>39447</v>
      </c>
      <c r="F519" s="43">
        <f t="shared" ca="1" si="16"/>
        <v>15</v>
      </c>
      <c r="G519" s="44" t="s">
        <v>69</v>
      </c>
      <c r="H519" s="45">
        <v>120421</v>
      </c>
      <c r="I519" s="38">
        <v>3</v>
      </c>
      <c r="J519" s="41">
        <f t="shared" si="17"/>
        <v>123708</v>
      </c>
    </row>
    <row r="520" spans="1:10">
      <c r="A520" s="37" t="s">
        <v>1132</v>
      </c>
      <c r="B520" s="38" t="s">
        <v>60</v>
      </c>
      <c r="C520" s="37" t="s">
        <v>91</v>
      </c>
      <c r="D520" s="37" t="s">
        <v>65</v>
      </c>
      <c r="E520" s="113">
        <v>41828</v>
      </c>
      <c r="F520" s="43">
        <f t="shared" ca="1" si="16"/>
        <v>9</v>
      </c>
      <c r="G520" s="44" t="s">
        <v>70</v>
      </c>
      <c r="H520" s="45">
        <v>44255</v>
      </c>
      <c r="I520" s="38">
        <v>5</v>
      </c>
      <c r="J520" s="41">
        <f t="shared" si="17"/>
        <v>45463</v>
      </c>
    </row>
    <row r="521" spans="1:10">
      <c r="A521" s="37" t="s">
        <v>923</v>
      </c>
      <c r="B521" s="38" t="s">
        <v>61</v>
      </c>
      <c r="C521" s="37" t="s">
        <v>83</v>
      </c>
      <c r="D521" s="37" t="s">
        <v>71</v>
      </c>
      <c r="E521" s="113">
        <v>40013</v>
      </c>
      <c r="F521" s="43">
        <f t="shared" ca="1" si="16"/>
        <v>14</v>
      </c>
      <c r="G521" s="44" t="s">
        <v>70</v>
      </c>
      <c r="H521" s="45">
        <v>23951</v>
      </c>
      <c r="I521" s="38">
        <v>5</v>
      </c>
      <c r="J521" s="41">
        <f t="shared" si="17"/>
        <v>24605</v>
      </c>
    </row>
    <row r="522" spans="1:10">
      <c r="A522" s="37" t="s">
        <v>924</v>
      </c>
      <c r="B522" s="38" t="s">
        <v>57</v>
      </c>
      <c r="C522" s="37" t="s">
        <v>83</v>
      </c>
      <c r="D522" s="37" t="s">
        <v>59</v>
      </c>
      <c r="E522" s="113">
        <v>39941</v>
      </c>
      <c r="F522" s="43">
        <f t="shared" ca="1" si="16"/>
        <v>14</v>
      </c>
      <c r="G522" s="44"/>
      <c r="H522" s="45">
        <v>37972</v>
      </c>
      <c r="I522" s="38">
        <v>3</v>
      </c>
      <c r="J522" s="41">
        <f t="shared" si="17"/>
        <v>39009</v>
      </c>
    </row>
    <row r="523" spans="1:10">
      <c r="A523" s="37" t="s">
        <v>925</v>
      </c>
      <c r="B523" s="38" t="s">
        <v>64</v>
      </c>
      <c r="C523" s="37" t="s">
        <v>83</v>
      </c>
      <c r="D523" s="37" t="s">
        <v>72</v>
      </c>
      <c r="E523" s="113">
        <v>39658</v>
      </c>
      <c r="F523" s="43">
        <f t="shared" ca="1" si="16"/>
        <v>15</v>
      </c>
      <c r="G523" s="44"/>
      <c r="H523" s="45">
        <v>52162</v>
      </c>
      <c r="I523" s="38">
        <v>4</v>
      </c>
      <c r="J523" s="41">
        <f t="shared" si="17"/>
        <v>53586</v>
      </c>
    </row>
    <row r="524" spans="1:10">
      <c r="A524" s="37" t="s">
        <v>1219</v>
      </c>
      <c r="B524" s="38" t="s">
        <v>62</v>
      </c>
      <c r="C524" s="37" t="s">
        <v>93</v>
      </c>
      <c r="D524" s="37" t="s">
        <v>65</v>
      </c>
      <c r="E524" s="113">
        <v>40600</v>
      </c>
      <c r="F524" s="43">
        <f t="shared" ca="1" si="16"/>
        <v>12</v>
      </c>
      <c r="G524" s="44" t="s">
        <v>70</v>
      </c>
      <c r="H524" s="45">
        <v>109160</v>
      </c>
      <c r="I524" s="38">
        <v>2</v>
      </c>
      <c r="J524" s="41">
        <f t="shared" si="17"/>
        <v>112140</v>
      </c>
    </row>
    <row r="525" spans="1:10">
      <c r="A525" s="37" t="s">
        <v>926</v>
      </c>
      <c r="B525" s="38" t="s">
        <v>63</v>
      </c>
      <c r="C525" s="37" t="s">
        <v>83</v>
      </c>
      <c r="D525" s="37" t="s">
        <v>59</v>
      </c>
      <c r="E525" s="113">
        <v>43136</v>
      </c>
      <c r="F525" s="43">
        <f t="shared" ca="1" si="16"/>
        <v>5</v>
      </c>
      <c r="G525" s="44"/>
      <c r="H525" s="45">
        <v>116732</v>
      </c>
      <c r="I525" s="38">
        <v>2</v>
      </c>
      <c r="J525" s="41">
        <f t="shared" si="17"/>
        <v>119919</v>
      </c>
    </row>
    <row r="526" spans="1:10">
      <c r="A526" s="37" t="s">
        <v>663</v>
      </c>
      <c r="B526" s="38" t="s">
        <v>60</v>
      </c>
      <c r="C526" s="37" t="s">
        <v>74</v>
      </c>
      <c r="D526" s="37" t="s">
        <v>65</v>
      </c>
      <c r="E526" s="113">
        <v>44343</v>
      </c>
      <c r="F526" s="43">
        <f t="shared" ca="1" si="16"/>
        <v>2</v>
      </c>
      <c r="G526" s="44" t="s">
        <v>70</v>
      </c>
      <c r="H526" s="45">
        <v>52173</v>
      </c>
      <c r="I526" s="38">
        <v>5</v>
      </c>
      <c r="J526" s="41">
        <f t="shared" si="17"/>
        <v>53597</v>
      </c>
    </row>
    <row r="527" spans="1:10">
      <c r="A527" s="37" t="s">
        <v>727</v>
      </c>
      <c r="B527" s="38" t="s">
        <v>60</v>
      </c>
      <c r="C527" s="37" t="s">
        <v>77</v>
      </c>
      <c r="D527" s="37" t="s">
        <v>59</v>
      </c>
      <c r="E527" s="113">
        <v>39678</v>
      </c>
      <c r="F527" s="43">
        <f t="shared" ca="1" si="16"/>
        <v>15</v>
      </c>
      <c r="G527" s="44"/>
      <c r="H527" s="45">
        <v>106691</v>
      </c>
      <c r="I527" s="38">
        <v>1</v>
      </c>
      <c r="J527" s="41">
        <f t="shared" si="17"/>
        <v>109604</v>
      </c>
    </row>
    <row r="528" spans="1:10">
      <c r="A528" s="37" t="s">
        <v>927</v>
      </c>
      <c r="B528" s="38" t="s">
        <v>63</v>
      </c>
      <c r="C528" s="37" t="s">
        <v>83</v>
      </c>
      <c r="D528" s="37" t="s">
        <v>65</v>
      </c>
      <c r="E528" s="113">
        <v>44060</v>
      </c>
      <c r="F528" s="43">
        <f t="shared" ca="1" si="16"/>
        <v>3</v>
      </c>
      <c r="G528" s="44" t="s">
        <v>67</v>
      </c>
      <c r="H528" s="45">
        <v>63074</v>
      </c>
      <c r="I528" s="38">
        <v>4</v>
      </c>
      <c r="J528" s="41">
        <f t="shared" si="17"/>
        <v>64796</v>
      </c>
    </row>
    <row r="529" spans="1:10">
      <c r="A529" s="37" t="s">
        <v>928</v>
      </c>
      <c r="B529" s="38" t="s">
        <v>64</v>
      </c>
      <c r="C529" s="37" t="s">
        <v>83</v>
      </c>
      <c r="D529" s="37" t="s">
        <v>65</v>
      </c>
      <c r="E529" s="113">
        <v>43563</v>
      </c>
      <c r="F529" s="43">
        <f t="shared" ca="1" si="16"/>
        <v>4</v>
      </c>
      <c r="G529" s="44" t="s">
        <v>68</v>
      </c>
      <c r="H529" s="45">
        <v>108411</v>
      </c>
      <c r="I529" s="38">
        <v>5</v>
      </c>
      <c r="J529" s="41">
        <f t="shared" si="17"/>
        <v>111371</v>
      </c>
    </row>
    <row r="530" spans="1:10">
      <c r="A530" s="37" t="s">
        <v>797</v>
      </c>
      <c r="B530" s="38" t="s">
        <v>63</v>
      </c>
      <c r="C530" s="37" t="s">
        <v>80</v>
      </c>
      <c r="D530" s="37" t="s">
        <v>65</v>
      </c>
      <c r="E530" s="113">
        <v>44777</v>
      </c>
      <c r="F530" s="43">
        <f t="shared" ca="1" si="16"/>
        <v>1</v>
      </c>
      <c r="G530" s="44" t="s">
        <v>69</v>
      </c>
      <c r="H530" s="45">
        <v>65058</v>
      </c>
      <c r="I530" s="38">
        <v>3</v>
      </c>
      <c r="J530" s="41">
        <f t="shared" si="17"/>
        <v>66834</v>
      </c>
    </row>
    <row r="531" spans="1:10">
      <c r="A531" s="37" t="s">
        <v>677</v>
      </c>
      <c r="B531" s="38" t="s">
        <v>64</v>
      </c>
      <c r="C531" s="37" t="s">
        <v>75</v>
      </c>
      <c r="D531" s="37" t="s">
        <v>59</v>
      </c>
      <c r="E531" s="113">
        <v>44099</v>
      </c>
      <c r="F531" s="43">
        <f t="shared" ca="1" si="16"/>
        <v>2</v>
      </c>
      <c r="G531" s="44"/>
      <c r="H531" s="45">
        <v>80618</v>
      </c>
      <c r="I531" s="38">
        <v>2</v>
      </c>
      <c r="J531" s="41">
        <f t="shared" si="17"/>
        <v>82819</v>
      </c>
    </row>
    <row r="532" spans="1:10">
      <c r="A532" s="37" t="s">
        <v>1281</v>
      </c>
      <c r="B532" s="38" t="s">
        <v>64</v>
      </c>
      <c r="C532" s="37" t="s">
        <v>98</v>
      </c>
      <c r="D532" s="37" t="s">
        <v>65</v>
      </c>
      <c r="E532" s="113">
        <v>42620</v>
      </c>
      <c r="F532" s="43">
        <f t="shared" ca="1" si="16"/>
        <v>7</v>
      </c>
      <c r="G532" s="44" t="s">
        <v>70</v>
      </c>
      <c r="H532" s="45">
        <v>118299</v>
      </c>
      <c r="I532" s="38">
        <v>2</v>
      </c>
      <c r="J532" s="41">
        <f t="shared" si="17"/>
        <v>121529</v>
      </c>
    </row>
    <row r="533" spans="1:10">
      <c r="A533" s="37" t="s">
        <v>929</v>
      </c>
      <c r="B533" s="38" t="s">
        <v>63</v>
      </c>
      <c r="C533" s="37" t="s">
        <v>83</v>
      </c>
      <c r="D533" s="37" t="s">
        <v>59</v>
      </c>
      <c r="E533" s="113">
        <v>42683</v>
      </c>
      <c r="F533" s="43">
        <f t="shared" ca="1" si="16"/>
        <v>6</v>
      </c>
      <c r="G533" s="44"/>
      <c r="H533" s="45">
        <v>102614</v>
      </c>
      <c r="I533" s="38">
        <v>3</v>
      </c>
      <c r="J533" s="41">
        <f t="shared" si="17"/>
        <v>105415</v>
      </c>
    </row>
    <row r="534" spans="1:10">
      <c r="A534" s="37" t="s">
        <v>930</v>
      </c>
      <c r="B534" s="38" t="s">
        <v>64</v>
      </c>
      <c r="C534" s="37" t="s">
        <v>83</v>
      </c>
      <c r="D534" s="37" t="s">
        <v>59</v>
      </c>
      <c r="E534" s="113">
        <v>39874</v>
      </c>
      <c r="F534" s="43">
        <f t="shared" ca="1" si="16"/>
        <v>14</v>
      </c>
      <c r="G534" s="44"/>
      <c r="H534" s="45">
        <v>34852</v>
      </c>
      <c r="I534" s="38">
        <v>5</v>
      </c>
      <c r="J534" s="41">
        <f t="shared" si="17"/>
        <v>35803</v>
      </c>
    </row>
    <row r="535" spans="1:10">
      <c r="A535" s="37" t="s">
        <v>728</v>
      </c>
      <c r="B535" s="38" t="s">
        <v>62</v>
      </c>
      <c r="C535" s="37" t="s">
        <v>77</v>
      </c>
      <c r="D535" s="37" t="s">
        <v>59</v>
      </c>
      <c r="E535" s="113">
        <v>44574</v>
      </c>
      <c r="F535" s="43">
        <f t="shared" ca="1" si="16"/>
        <v>1</v>
      </c>
      <c r="G535" s="44"/>
      <c r="H535" s="45">
        <v>89397</v>
      </c>
      <c r="I535" s="38">
        <v>1</v>
      </c>
      <c r="J535" s="41">
        <f t="shared" si="17"/>
        <v>91838</v>
      </c>
    </row>
    <row r="536" spans="1:10">
      <c r="A536" s="37" t="s">
        <v>729</v>
      </c>
      <c r="B536" s="38" t="s">
        <v>61</v>
      </c>
      <c r="C536" s="37" t="s">
        <v>77</v>
      </c>
      <c r="D536" s="37" t="s">
        <v>65</v>
      </c>
      <c r="E536" s="113">
        <v>44791</v>
      </c>
      <c r="F536" s="43">
        <f t="shared" ca="1" si="16"/>
        <v>1</v>
      </c>
      <c r="G536" s="44" t="s">
        <v>70</v>
      </c>
      <c r="H536" s="45">
        <v>99396</v>
      </c>
      <c r="I536" s="38">
        <v>4</v>
      </c>
      <c r="J536" s="41">
        <f t="shared" si="17"/>
        <v>102110</v>
      </c>
    </row>
    <row r="537" spans="1:10">
      <c r="A537" s="37" t="s">
        <v>1272</v>
      </c>
      <c r="B537" s="38" t="s">
        <v>63</v>
      </c>
      <c r="C537" s="37" t="s">
        <v>97</v>
      </c>
      <c r="D537" s="37" t="s">
        <v>72</v>
      </c>
      <c r="E537" s="113">
        <v>39675</v>
      </c>
      <c r="F537" s="43">
        <f t="shared" ca="1" si="16"/>
        <v>15</v>
      </c>
      <c r="G537" s="44"/>
      <c r="H537" s="45">
        <v>30051</v>
      </c>
      <c r="I537" s="38">
        <v>4</v>
      </c>
      <c r="J537" s="41">
        <f t="shared" si="17"/>
        <v>30871</v>
      </c>
    </row>
    <row r="538" spans="1:10">
      <c r="A538" s="37" t="s">
        <v>730</v>
      </c>
      <c r="B538" s="38" t="s">
        <v>63</v>
      </c>
      <c r="C538" s="37" t="s">
        <v>77</v>
      </c>
      <c r="D538" s="37" t="s">
        <v>65</v>
      </c>
      <c r="E538" s="113">
        <v>43676</v>
      </c>
      <c r="F538" s="43">
        <f t="shared" ca="1" si="16"/>
        <v>4</v>
      </c>
      <c r="G538" s="44" t="s">
        <v>68</v>
      </c>
      <c r="H538" s="45">
        <v>57541</v>
      </c>
      <c r="I538" s="38">
        <v>5</v>
      </c>
      <c r="J538" s="41">
        <f t="shared" si="17"/>
        <v>59112</v>
      </c>
    </row>
    <row r="539" spans="1:10">
      <c r="A539" s="37" t="s">
        <v>678</v>
      </c>
      <c r="B539" s="38" t="s">
        <v>62</v>
      </c>
      <c r="C539" s="37" t="s">
        <v>75</v>
      </c>
      <c r="D539" s="37" t="s">
        <v>65</v>
      </c>
      <c r="E539" s="113">
        <v>41642</v>
      </c>
      <c r="F539" s="43">
        <f t="shared" ca="1" si="16"/>
        <v>9</v>
      </c>
      <c r="G539" s="44" t="s">
        <v>68</v>
      </c>
      <c r="H539" s="45">
        <v>42092</v>
      </c>
      <c r="I539" s="38">
        <v>1</v>
      </c>
      <c r="J539" s="41">
        <f t="shared" si="17"/>
        <v>43241</v>
      </c>
    </row>
    <row r="540" spans="1:10">
      <c r="A540" s="37" t="s">
        <v>931</v>
      </c>
      <c r="B540" s="38" t="s">
        <v>61</v>
      </c>
      <c r="C540" s="37" t="s">
        <v>83</v>
      </c>
      <c r="D540" s="37" t="s">
        <v>71</v>
      </c>
      <c r="E540" s="113">
        <v>43893</v>
      </c>
      <c r="F540" s="43">
        <f t="shared" ca="1" si="16"/>
        <v>3</v>
      </c>
      <c r="G540" s="44" t="s">
        <v>68</v>
      </c>
      <c r="H540" s="45">
        <v>64191</v>
      </c>
      <c r="I540" s="38">
        <v>5</v>
      </c>
      <c r="J540" s="41">
        <f t="shared" si="17"/>
        <v>65943</v>
      </c>
    </row>
    <row r="541" spans="1:10">
      <c r="A541" s="37" t="s">
        <v>731</v>
      </c>
      <c r="B541" s="38" t="s">
        <v>61</v>
      </c>
      <c r="C541" s="37" t="s">
        <v>77</v>
      </c>
      <c r="D541" s="37" t="s">
        <v>65</v>
      </c>
      <c r="E541" s="113">
        <v>39420</v>
      </c>
      <c r="F541" s="43">
        <f t="shared" ca="1" si="16"/>
        <v>15</v>
      </c>
      <c r="G541" s="44" t="s">
        <v>68</v>
      </c>
      <c r="H541" s="45">
        <v>84640</v>
      </c>
      <c r="I541" s="38">
        <v>3</v>
      </c>
      <c r="J541" s="41">
        <f t="shared" si="17"/>
        <v>86951</v>
      </c>
    </row>
    <row r="542" spans="1:10">
      <c r="A542" s="37" t="s">
        <v>1282</v>
      </c>
      <c r="B542" s="38" t="s">
        <v>61</v>
      </c>
      <c r="C542" s="37" t="s">
        <v>98</v>
      </c>
      <c r="D542" s="37" t="s">
        <v>65</v>
      </c>
      <c r="E542" s="113">
        <v>42342</v>
      </c>
      <c r="F542" s="43">
        <f t="shared" ca="1" si="16"/>
        <v>7</v>
      </c>
      <c r="G542" s="44" t="s">
        <v>68</v>
      </c>
      <c r="H542" s="45">
        <v>84363</v>
      </c>
      <c r="I542" s="38">
        <v>2</v>
      </c>
      <c r="J542" s="41">
        <f t="shared" si="17"/>
        <v>86666</v>
      </c>
    </row>
    <row r="543" spans="1:10">
      <c r="A543" s="37" t="s">
        <v>617</v>
      </c>
      <c r="B543" s="38" t="s">
        <v>63</v>
      </c>
      <c r="C543" s="37" t="s">
        <v>58</v>
      </c>
      <c r="D543" s="37" t="s">
        <v>65</v>
      </c>
      <c r="E543" s="113">
        <v>39581</v>
      </c>
      <c r="F543" s="43">
        <f t="shared" ca="1" si="16"/>
        <v>15</v>
      </c>
      <c r="G543" s="44" t="s">
        <v>69</v>
      </c>
      <c r="H543" s="45">
        <v>51162</v>
      </c>
      <c r="I543" s="38">
        <v>1</v>
      </c>
      <c r="J543" s="41">
        <f t="shared" si="17"/>
        <v>52559</v>
      </c>
    </row>
    <row r="544" spans="1:10">
      <c r="A544" s="37" t="s">
        <v>932</v>
      </c>
      <c r="B544" s="38" t="s">
        <v>60</v>
      </c>
      <c r="C544" s="37" t="s">
        <v>83</v>
      </c>
      <c r="D544" s="37" t="s">
        <v>65</v>
      </c>
      <c r="E544" s="113">
        <v>42592</v>
      </c>
      <c r="F544" s="43">
        <f t="shared" ca="1" si="16"/>
        <v>7</v>
      </c>
      <c r="G544" s="44" t="s">
        <v>67</v>
      </c>
      <c r="H544" s="45">
        <v>97108</v>
      </c>
      <c r="I544" s="38">
        <v>3</v>
      </c>
      <c r="J544" s="41">
        <f t="shared" si="17"/>
        <v>99759</v>
      </c>
    </row>
    <row r="545" spans="1:10">
      <c r="A545" s="37" t="s">
        <v>1010</v>
      </c>
      <c r="B545" s="38" t="s">
        <v>60</v>
      </c>
      <c r="C545" s="37" t="s">
        <v>87</v>
      </c>
      <c r="D545" s="37" t="s">
        <v>65</v>
      </c>
      <c r="E545" s="113">
        <v>44598</v>
      </c>
      <c r="F545" s="43">
        <f t="shared" ca="1" si="16"/>
        <v>1</v>
      </c>
      <c r="G545" s="44" t="s">
        <v>68</v>
      </c>
      <c r="H545" s="45">
        <v>51341</v>
      </c>
      <c r="I545" s="38">
        <v>2</v>
      </c>
      <c r="J545" s="41">
        <f t="shared" si="17"/>
        <v>52743</v>
      </c>
    </row>
    <row r="546" spans="1:10">
      <c r="A546" s="37" t="s">
        <v>732</v>
      </c>
      <c r="B546" s="38" t="s">
        <v>63</v>
      </c>
      <c r="C546" s="37" t="s">
        <v>77</v>
      </c>
      <c r="D546" s="37" t="s">
        <v>59</v>
      </c>
      <c r="E546" s="113">
        <v>42383</v>
      </c>
      <c r="F546" s="43">
        <f t="shared" ca="1" si="16"/>
        <v>7</v>
      </c>
      <c r="G546" s="44"/>
      <c r="H546" s="45">
        <v>103654</v>
      </c>
      <c r="I546" s="38">
        <v>5</v>
      </c>
      <c r="J546" s="41">
        <f t="shared" si="17"/>
        <v>106484</v>
      </c>
    </row>
    <row r="547" spans="1:10">
      <c r="A547" s="37" t="s">
        <v>1133</v>
      </c>
      <c r="B547" s="38" t="s">
        <v>64</v>
      </c>
      <c r="C547" s="37" t="s">
        <v>91</v>
      </c>
      <c r="D547" s="37" t="s">
        <v>71</v>
      </c>
      <c r="E547" s="113">
        <v>39433</v>
      </c>
      <c r="F547" s="43">
        <f t="shared" ca="1" si="16"/>
        <v>15</v>
      </c>
      <c r="G547" s="44" t="s">
        <v>66</v>
      </c>
      <c r="H547" s="45">
        <v>54823</v>
      </c>
      <c r="I547" s="38">
        <v>5</v>
      </c>
      <c r="J547" s="41">
        <f t="shared" si="17"/>
        <v>56320</v>
      </c>
    </row>
    <row r="548" spans="1:10">
      <c r="A548" s="37" t="s">
        <v>1220</v>
      </c>
      <c r="B548" s="38" t="s">
        <v>61</v>
      </c>
      <c r="C548" s="37" t="s">
        <v>93</v>
      </c>
      <c r="D548" s="37" t="s">
        <v>71</v>
      </c>
      <c r="E548" s="113">
        <v>40509</v>
      </c>
      <c r="F548" s="43">
        <f t="shared" ca="1" si="16"/>
        <v>12</v>
      </c>
      <c r="G548" s="44" t="s">
        <v>68</v>
      </c>
      <c r="H548" s="45">
        <v>23861</v>
      </c>
      <c r="I548" s="38">
        <v>5</v>
      </c>
      <c r="J548" s="41">
        <f t="shared" si="17"/>
        <v>24512</v>
      </c>
    </row>
    <row r="549" spans="1:10">
      <c r="A549" s="37" t="s">
        <v>1221</v>
      </c>
      <c r="B549" s="38" t="s">
        <v>61</v>
      </c>
      <c r="C549" s="37" t="s">
        <v>93</v>
      </c>
      <c r="D549" s="37" t="s">
        <v>65</v>
      </c>
      <c r="E549" s="113">
        <v>43841</v>
      </c>
      <c r="F549" s="43">
        <f t="shared" ca="1" si="16"/>
        <v>3</v>
      </c>
      <c r="G549" s="44" t="s">
        <v>70</v>
      </c>
      <c r="H549" s="45">
        <v>46585</v>
      </c>
      <c r="I549" s="38">
        <v>5</v>
      </c>
      <c r="J549" s="41">
        <f t="shared" si="17"/>
        <v>47857</v>
      </c>
    </row>
    <row r="550" spans="1:10">
      <c r="A550" s="37" t="s">
        <v>764</v>
      </c>
      <c r="B550" s="38" t="s">
        <v>63</v>
      </c>
      <c r="C550" s="37" t="s">
        <v>79</v>
      </c>
      <c r="D550" s="37" t="s">
        <v>65</v>
      </c>
      <c r="E550" s="113">
        <v>44033</v>
      </c>
      <c r="F550" s="43">
        <f t="shared" ca="1" si="16"/>
        <v>3</v>
      </c>
      <c r="G550" s="44" t="s">
        <v>68</v>
      </c>
      <c r="H550" s="45">
        <v>92559</v>
      </c>
      <c r="I550" s="38">
        <v>2</v>
      </c>
      <c r="J550" s="41">
        <f t="shared" si="17"/>
        <v>95086</v>
      </c>
    </row>
    <row r="551" spans="1:10">
      <c r="A551" s="37" t="s">
        <v>618</v>
      </c>
      <c r="B551" s="38" t="s">
        <v>60</v>
      </c>
      <c r="C551" s="37" t="s">
        <v>58</v>
      </c>
      <c r="D551" s="37" t="s">
        <v>65</v>
      </c>
      <c r="E551" s="113">
        <v>43990</v>
      </c>
      <c r="F551" s="43">
        <f t="shared" ca="1" si="16"/>
        <v>3</v>
      </c>
      <c r="G551" s="44" t="s">
        <v>67</v>
      </c>
      <c r="H551" s="45">
        <v>100824</v>
      </c>
      <c r="I551" s="38">
        <v>5</v>
      </c>
      <c r="J551" s="41">
        <f t="shared" si="17"/>
        <v>103576</v>
      </c>
    </row>
    <row r="552" spans="1:10">
      <c r="A552" s="37" t="s">
        <v>1011</v>
      </c>
      <c r="B552" s="38" t="s">
        <v>61</v>
      </c>
      <c r="C552" s="37" t="s">
        <v>87</v>
      </c>
      <c r="D552" s="37" t="s">
        <v>65</v>
      </c>
      <c r="E552" s="113">
        <v>42771</v>
      </c>
      <c r="F552" s="43">
        <f t="shared" ca="1" si="16"/>
        <v>6</v>
      </c>
      <c r="G552" s="44" t="s">
        <v>66</v>
      </c>
      <c r="H552" s="45">
        <v>120018</v>
      </c>
      <c r="I552" s="38">
        <v>4</v>
      </c>
      <c r="J552" s="41">
        <f t="shared" si="17"/>
        <v>123294</v>
      </c>
    </row>
    <row r="553" spans="1:10">
      <c r="A553" s="37" t="s">
        <v>815</v>
      </c>
      <c r="B553" s="38" t="s">
        <v>64</v>
      </c>
      <c r="C553" s="37" t="s">
        <v>82</v>
      </c>
      <c r="D553" s="37" t="s">
        <v>59</v>
      </c>
      <c r="E553" s="113">
        <v>40264</v>
      </c>
      <c r="F553" s="43">
        <f t="shared" ca="1" si="16"/>
        <v>13</v>
      </c>
      <c r="G553" s="44" t="s">
        <v>70</v>
      </c>
      <c r="H553" s="45">
        <v>96262</v>
      </c>
      <c r="I553" s="38">
        <v>4</v>
      </c>
      <c r="J553" s="41">
        <f t="shared" si="17"/>
        <v>98890</v>
      </c>
    </row>
    <row r="554" spans="1:10">
      <c r="A554" s="37" t="s">
        <v>664</v>
      </c>
      <c r="B554" s="38" t="s">
        <v>60</v>
      </c>
      <c r="C554" s="37" t="s">
        <v>74</v>
      </c>
      <c r="D554" s="37" t="s">
        <v>59</v>
      </c>
      <c r="E554" s="113">
        <v>43854</v>
      </c>
      <c r="F554" s="43">
        <f t="shared" ca="1" si="16"/>
        <v>3</v>
      </c>
      <c r="G554" s="44"/>
      <c r="H554" s="45">
        <v>48901</v>
      </c>
      <c r="I554" s="38">
        <v>2</v>
      </c>
      <c r="J554" s="41">
        <f t="shared" si="17"/>
        <v>50236</v>
      </c>
    </row>
    <row r="555" spans="1:10">
      <c r="A555" s="37" t="s">
        <v>1012</v>
      </c>
      <c r="B555" s="38" t="s">
        <v>61</v>
      </c>
      <c r="C555" s="37" t="s">
        <v>87</v>
      </c>
      <c r="D555" s="37" t="s">
        <v>65</v>
      </c>
      <c r="E555" s="113">
        <v>42425</v>
      </c>
      <c r="F555" s="43">
        <f t="shared" ca="1" si="16"/>
        <v>7</v>
      </c>
      <c r="G555" s="44" t="s">
        <v>68</v>
      </c>
      <c r="H555" s="45">
        <v>113223</v>
      </c>
      <c r="I555" s="38">
        <v>4</v>
      </c>
      <c r="J555" s="41">
        <f t="shared" si="17"/>
        <v>116314</v>
      </c>
    </row>
    <row r="556" spans="1:10">
      <c r="A556" s="37" t="s">
        <v>1051</v>
      </c>
      <c r="B556" s="38" t="s">
        <v>61</v>
      </c>
      <c r="C556" s="37" t="s">
        <v>88</v>
      </c>
      <c r="D556" s="37" t="s">
        <v>65</v>
      </c>
      <c r="E556" s="113">
        <v>44061</v>
      </c>
      <c r="F556" s="43">
        <f t="shared" ca="1" si="16"/>
        <v>3</v>
      </c>
      <c r="G556" s="44" t="s">
        <v>70</v>
      </c>
      <c r="H556" s="45">
        <v>59108</v>
      </c>
      <c r="I556" s="38">
        <v>3</v>
      </c>
      <c r="J556" s="41">
        <f t="shared" si="17"/>
        <v>60722</v>
      </c>
    </row>
    <row r="557" spans="1:10">
      <c r="A557" s="37" t="s">
        <v>798</v>
      </c>
      <c r="B557" s="38" t="s">
        <v>60</v>
      </c>
      <c r="C557" s="37" t="s">
        <v>80</v>
      </c>
      <c r="D557" s="37" t="s">
        <v>65</v>
      </c>
      <c r="E557" s="113">
        <v>44532</v>
      </c>
      <c r="F557" s="43">
        <f t="shared" ca="1" si="16"/>
        <v>1</v>
      </c>
      <c r="G557" s="44" t="s">
        <v>68</v>
      </c>
      <c r="H557" s="45">
        <v>36557</v>
      </c>
      <c r="I557" s="38">
        <v>1</v>
      </c>
      <c r="J557" s="41">
        <f t="shared" si="17"/>
        <v>37555</v>
      </c>
    </row>
    <row r="558" spans="1:10">
      <c r="A558" s="37" t="s">
        <v>619</v>
      </c>
      <c r="B558" s="38" t="s">
        <v>63</v>
      </c>
      <c r="C558" s="37" t="s">
        <v>58</v>
      </c>
      <c r="D558" s="37" t="s">
        <v>65</v>
      </c>
      <c r="E558" s="113">
        <v>42638</v>
      </c>
      <c r="F558" s="43">
        <f t="shared" ca="1" si="16"/>
        <v>6</v>
      </c>
      <c r="G558" s="44" t="s">
        <v>70</v>
      </c>
      <c r="H558" s="45">
        <v>91366</v>
      </c>
      <c r="I558" s="38">
        <v>5</v>
      </c>
      <c r="J558" s="41">
        <f t="shared" si="17"/>
        <v>93860</v>
      </c>
    </row>
    <row r="559" spans="1:10">
      <c r="A559" s="37" t="s">
        <v>1013</v>
      </c>
      <c r="B559" s="38" t="s">
        <v>62</v>
      </c>
      <c r="C559" s="37" t="s">
        <v>87</v>
      </c>
      <c r="D559" s="37" t="s">
        <v>59</v>
      </c>
      <c r="E559" s="113">
        <v>39790</v>
      </c>
      <c r="F559" s="43">
        <f t="shared" ca="1" si="16"/>
        <v>14</v>
      </c>
      <c r="G559" s="44"/>
      <c r="H559" s="45">
        <v>43367</v>
      </c>
      <c r="I559" s="38">
        <v>5</v>
      </c>
      <c r="J559" s="41">
        <f t="shared" si="17"/>
        <v>44551</v>
      </c>
    </row>
    <row r="560" spans="1:10">
      <c r="A560" s="37" t="s">
        <v>1014</v>
      </c>
      <c r="B560" s="38" t="s">
        <v>60</v>
      </c>
      <c r="C560" s="37" t="s">
        <v>87</v>
      </c>
      <c r="D560" s="37" t="s">
        <v>65</v>
      </c>
      <c r="E560" s="113">
        <v>40531</v>
      </c>
      <c r="F560" s="43">
        <f t="shared" ca="1" si="16"/>
        <v>12</v>
      </c>
      <c r="G560" s="44" t="s">
        <v>68</v>
      </c>
      <c r="H560" s="45">
        <v>67943</v>
      </c>
      <c r="I560" s="38">
        <v>5</v>
      </c>
      <c r="J560" s="41">
        <f t="shared" si="17"/>
        <v>69798</v>
      </c>
    </row>
    <row r="561" spans="1:10">
      <c r="A561" s="37" t="s">
        <v>933</v>
      </c>
      <c r="B561" s="38" t="s">
        <v>57</v>
      </c>
      <c r="C561" s="37" t="s">
        <v>83</v>
      </c>
      <c r="D561" s="37" t="s">
        <v>65</v>
      </c>
      <c r="E561" s="113">
        <v>43766</v>
      </c>
      <c r="F561" s="43">
        <f t="shared" ca="1" si="16"/>
        <v>3</v>
      </c>
      <c r="G561" s="44" t="s">
        <v>66</v>
      </c>
      <c r="H561" s="45">
        <v>48111</v>
      </c>
      <c r="I561" s="38">
        <v>2</v>
      </c>
      <c r="J561" s="41">
        <f t="shared" si="17"/>
        <v>49424</v>
      </c>
    </row>
    <row r="562" spans="1:10">
      <c r="A562" s="37" t="s">
        <v>934</v>
      </c>
      <c r="B562" s="38" t="s">
        <v>62</v>
      </c>
      <c r="C562" s="37" t="s">
        <v>83</v>
      </c>
      <c r="D562" s="37" t="s">
        <v>65</v>
      </c>
      <c r="E562" s="113">
        <v>42759</v>
      </c>
      <c r="F562" s="43">
        <f t="shared" ca="1" si="16"/>
        <v>6</v>
      </c>
      <c r="G562" s="44" t="s">
        <v>68</v>
      </c>
      <c r="H562" s="45">
        <v>33701</v>
      </c>
      <c r="I562" s="38">
        <v>3</v>
      </c>
      <c r="J562" s="41">
        <f t="shared" si="17"/>
        <v>34621</v>
      </c>
    </row>
    <row r="563" spans="1:10">
      <c r="A563" s="37" t="s">
        <v>1052</v>
      </c>
      <c r="B563" s="38" t="s">
        <v>60</v>
      </c>
      <c r="C563" s="37" t="s">
        <v>88</v>
      </c>
      <c r="D563" s="37" t="s">
        <v>59</v>
      </c>
      <c r="E563" s="113">
        <v>42865</v>
      </c>
      <c r="F563" s="43">
        <f t="shared" ca="1" si="16"/>
        <v>6</v>
      </c>
      <c r="G563" s="44"/>
      <c r="H563" s="45">
        <v>88884</v>
      </c>
      <c r="I563" s="38">
        <v>2</v>
      </c>
      <c r="J563" s="41">
        <f t="shared" si="17"/>
        <v>91311</v>
      </c>
    </row>
    <row r="564" spans="1:10">
      <c r="A564" s="37" t="s">
        <v>935</v>
      </c>
      <c r="B564" s="38" t="s">
        <v>61</v>
      </c>
      <c r="C564" s="37" t="s">
        <v>83</v>
      </c>
      <c r="D564" s="37" t="s">
        <v>65</v>
      </c>
      <c r="E564" s="113">
        <v>43351</v>
      </c>
      <c r="F564" s="43">
        <f t="shared" ca="1" si="16"/>
        <v>5</v>
      </c>
      <c r="G564" s="44" t="s">
        <v>68</v>
      </c>
      <c r="H564" s="45">
        <v>84681</v>
      </c>
      <c r="I564" s="38">
        <v>5</v>
      </c>
      <c r="J564" s="41">
        <f t="shared" si="17"/>
        <v>86993</v>
      </c>
    </row>
    <row r="565" spans="1:10">
      <c r="A565" s="37" t="s">
        <v>936</v>
      </c>
      <c r="B565" s="38" t="s">
        <v>62</v>
      </c>
      <c r="C565" s="37" t="s">
        <v>83</v>
      </c>
      <c r="D565" s="37" t="s">
        <v>71</v>
      </c>
      <c r="E565" s="113">
        <v>43288</v>
      </c>
      <c r="F565" s="43">
        <f t="shared" ca="1" si="16"/>
        <v>5</v>
      </c>
      <c r="G565" s="44" t="s">
        <v>67</v>
      </c>
      <c r="H565" s="45">
        <v>21163</v>
      </c>
      <c r="I565" s="38">
        <v>2</v>
      </c>
      <c r="J565" s="41">
        <f t="shared" si="17"/>
        <v>21741</v>
      </c>
    </row>
    <row r="566" spans="1:10">
      <c r="A566" s="37" t="s">
        <v>733</v>
      </c>
      <c r="B566" s="38" t="s">
        <v>61</v>
      </c>
      <c r="C566" s="37" t="s">
        <v>77</v>
      </c>
      <c r="D566" s="37" t="s">
        <v>65</v>
      </c>
      <c r="E566" s="113">
        <v>44642</v>
      </c>
      <c r="F566" s="43">
        <f t="shared" ca="1" si="16"/>
        <v>1</v>
      </c>
      <c r="G566" s="44" t="s">
        <v>67</v>
      </c>
      <c r="H566" s="45">
        <v>44144</v>
      </c>
      <c r="I566" s="38">
        <v>3</v>
      </c>
      <c r="J566" s="41">
        <f t="shared" si="17"/>
        <v>45349</v>
      </c>
    </row>
    <row r="567" spans="1:10">
      <c r="A567" s="37" t="s">
        <v>1253</v>
      </c>
      <c r="B567" s="38" t="s">
        <v>62</v>
      </c>
      <c r="C567" s="37" t="s">
        <v>96</v>
      </c>
      <c r="D567" s="37" t="s">
        <v>65</v>
      </c>
      <c r="E567" s="113">
        <v>43975</v>
      </c>
      <c r="F567" s="43">
        <f t="shared" ca="1" si="16"/>
        <v>3</v>
      </c>
      <c r="G567" s="44" t="s">
        <v>68</v>
      </c>
      <c r="H567" s="45">
        <v>64738</v>
      </c>
      <c r="I567" s="38">
        <v>1</v>
      </c>
      <c r="J567" s="41">
        <f t="shared" si="17"/>
        <v>66505</v>
      </c>
    </row>
    <row r="568" spans="1:10">
      <c r="A568" s="37" t="s">
        <v>937</v>
      </c>
      <c r="B568" s="38" t="s">
        <v>61</v>
      </c>
      <c r="C568" s="37" t="s">
        <v>83</v>
      </c>
      <c r="D568" s="37" t="s">
        <v>65</v>
      </c>
      <c r="E568" s="113">
        <v>44509</v>
      </c>
      <c r="F568" s="43">
        <f t="shared" ca="1" si="16"/>
        <v>1</v>
      </c>
      <c r="G568" s="44" t="s">
        <v>85</v>
      </c>
      <c r="H568" s="45">
        <v>78912</v>
      </c>
      <c r="I568" s="38">
        <v>5</v>
      </c>
      <c r="J568" s="41">
        <f t="shared" si="17"/>
        <v>81066</v>
      </c>
    </row>
    <row r="569" spans="1:10">
      <c r="A569" s="37" t="s">
        <v>1222</v>
      </c>
      <c r="B569" s="38" t="s">
        <v>64</v>
      </c>
      <c r="C569" s="37" t="s">
        <v>93</v>
      </c>
      <c r="D569" s="37" t="s">
        <v>65</v>
      </c>
      <c r="E569" s="113">
        <v>43270</v>
      </c>
      <c r="F569" s="43">
        <f t="shared" ca="1" si="16"/>
        <v>5</v>
      </c>
      <c r="G569" s="44" t="s">
        <v>68</v>
      </c>
      <c r="H569" s="45">
        <v>31648</v>
      </c>
      <c r="I569" s="38">
        <v>5</v>
      </c>
      <c r="J569" s="41">
        <f t="shared" si="17"/>
        <v>32512</v>
      </c>
    </row>
    <row r="570" spans="1:10">
      <c r="A570" s="37" t="s">
        <v>620</v>
      </c>
      <c r="B570" s="38" t="s">
        <v>60</v>
      </c>
      <c r="C570" s="37" t="s">
        <v>58</v>
      </c>
      <c r="D570" s="37" t="s">
        <v>71</v>
      </c>
      <c r="E570" s="113">
        <v>42767</v>
      </c>
      <c r="F570" s="43">
        <f t="shared" ca="1" si="16"/>
        <v>6</v>
      </c>
      <c r="G570" s="44" t="s">
        <v>70</v>
      </c>
      <c r="H570" s="45">
        <v>14839</v>
      </c>
      <c r="I570" s="38">
        <v>4</v>
      </c>
      <c r="J570" s="41">
        <f t="shared" si="17"/>
        <v>15244</v>
      </c>
    </row>
    <row r="571" spans="1:10">
      <c r="A571" s="37" t="s">
        <v>799</v>
      </c>
      <c r="B571" s="38" t="s">
        <v>61</v>
      </c>
      <c r="C571" s="37" t="s">
        <v>80</v>
      </c>
      <c r="D571" s="37" t="s">
        <v>72</v>
      </c>
      <c r="E571" s="113">
        <v>41735</v>
      </c>
      <c r="F571" s="43">
        <f t="shared" ca="1" si="16"/>
        <v>9</v>
      </c>
      <c r="G571" s="44"/>
      <c r="H571" s="45">
        <v>46476</v>
      </c>
      <c r="I571" s="38">
        <v>4</v>
      </c>
      <c r="J571" s="41">
        <f t="shared" si="17"/>
        <v>47745</v>
      </c>
    </row>
    <row r="572" spans="1:10">
      <c r="A572" s="37" t="s">
        <v>665</v>
      </c>
      <c r="B572" s="38" t="s">
        <v>63</v>
      </c>
      <c r="C572" s="37" t="s">
        <v>74</v>
      </c>
      <c r="D572" s="37" t="s">
        <v>59</v>
      </c>
      <c r="E572" s="113">
        <v>39550</v>
      </c>
      <c r="F572" s="43">
        <f t="shared" ca="1" si="16"/>
        <v>15</v>
      </c>
      <c r="G572" s="44"/>
      <c r="H572" s="45">
        <v>89411</v>
      </c>
      <c r="I572" s="38">
        <v>3</v>
      </c>
      <c r="J572" s="41">
        <f t="shared" si="17"/>
        <v>91852</v>
      </c>
    </row>
    <row r="573" spans="1:10">
      <c r="A573" s="37" t="s">
        <v>972</v>
      </c>
      <c r="B573" s="38" t="s">
        <v>60</v>
      </c>
      <c r="C573" s="37" t="s">
        <v>86</v>
      </c>
      <c r="D573" s="37" t="s">
        <v>65</v>
      </c>
      <c r="E573" s="113">
        <v>42629</v>
      </c>
      <c r="F573" s="43">
        <f t="shared" ca="1" si="16"/>
        <v>7</v>
      </c>
      <c r="G573" s="44" t="s">
        <v>69</v>
      </c>
      <c r="H573" s="45">
        <v>99021</v>
      </c>
      <c r="I573" s="38">
        <v>4</v>
      </c>
      <c r="J573" s="41">
        <f t="shared" si="17"/>
        <v>101724</v>
      </c>
    </row>
    <row r="574" spans="1:10">
      <c r="A574" s="37" t="s">
        <v>1053</v>
      </c>
      <c r="B574" s="38" t="s">
        <v>61</v>
      </c>
      <c r="C574" s="37" t="s">
        <v>88</v>
      </c>
      <c r="D574" s="37" t="s">
        <v>71</v>
      </c>
      <c r="E574" s="113">
        <v>42729</v>
      </c>
      <c r="F574" s="43">
        <f t="shared" ca="1" si="16"/>
        <v>6</v>
      </c>
      <c r="G574" s="44" t="s">
        <v>66</v>
      </c>
      <c r="H574" s="45">
        <v>20810</v>
      </c>
      <c r="I574" s="38">
        <v>4</v>
      </c>
      <c r="J574" s="41">
        <f t="shared" si="17"/>
        <v>21378</v>
      </c>
    </row>
    <row r="575" spans="1:10">
      <c r="A575" s="37" t="s">
        <v>938</v>
      </c>
      <c r="B575" s="38" t="s">
        <v>61</v>
      </c>
      <c r="C575" s="37" t="s">
        <v>83</v>
      </c>
      <c r="D575" s="37" t="s">
        <v>59</v>
      </c>
      <c r="E575" s="113">
        <v>41664</v>
      </c>
      <c r="F575" s="43">
        <f t="shared" ca="1" si="16"/>
        <v>9</v>
      </c>
      <c r="G575" s="44"/>
      <c r="H575" s="45">
        <v>54503</v>
      </c>
      <c r="I575" s="38">
        <v>2</v>
      </c>
      <c r="J575" s="41">
        <f t="shared" si="17"/>
        <v>55991</v>
      </c>
    </row>
    <row r="576" spans="1:10">
      <c r="A576" s="37" t="s">
        <v>1015</v>
      </c>
      <c r="B576" s="38" t="s">
        <v>61</v>
      </c>
      <c r="C576" s="37" t="s">
        <v>87</v>
      </c>
      <c r="D576" s="37" t="s">
        <v>65</v>
      </c>
      <c r="E576" s="113">
        <v>42881</v>
      </c>
      <c r="F576" s="43">
        <f t="shared" ca="1" si="16"/>
        <v>6</v>
      </c>
      <c r="G576" s="44" t="s">
        <v>70</v>
      </c>
      <c r="H576" s="45">
        <v>90493</v>
      </c>
      <c r="I576" s="38">
        <v>2</v>
      </c>
      <c r="J576" s="41">
        <f t="shared" si="17"/>
        <v>92963</v>
      </c>
    </row>
    <row r="577" spans="1:10">
      <c r="A577" s="37" t="s">
        <v>1223</v>
      </c>
      <c r="B577" s="38" t="s">
        <v>63</v>
      </c>
      <c r="C577" s="37" t="s">
        <v>93</v>
      </c>
      <c r="D577" s="37" t="s">
        <v>59</v>
      </c>
      <c r="E577" s="113">
        <v>42681</v>
      </c>
      <c r="F577" s="43">
        <f t="shared" ca="1" si="16"/>
        <v>6</v>
      </c>
      <c r="G577" s="44"/>
      <c r="H577" s="45">
        <v>87775</v>
      </c>
      <c r="I577" s="38">
        <v>5</v>
      </c>
      <c r="J577" s="41">
        <f t="shared" si="17"/>
        <v>90171</v>
      </c>
    </row>
    <row r="578" spans="1:10">
      <c r="A578" s="37" t="s">
        <v>939</v>
      </c>
      <c r="B578" s="38" t="s">
        <v>61</v>
      </c>
      <c r="C578" s="37" t="s">
        <v>83</v>
      </c>
      <c r="D578" s="37" t="s">
        <v>59</v>
      </c>
      <c r="E578" s="113">
        <v>41225</v>
      </c>
      <c r="F578" s="43">
        <f t="shared" ref="F578:F641" ca="1" si="18">DATEDIF(E578,TODAY(),"Y")</f>
        <v>10</v>
      </c>
      <c r="G578" s="44"/>
      <c r="H578" s="45">
        <v>85112</v>
      </c>
      <c r="I578" s="38">
        <v>3</v>
      </c>
      <c r="J578" s="41">
        <f t="shared" ref="J578:J641" si="19">ROUND(H578*$L$1+H578,0)</f>
        <v>87436</v>
      </c>
    </row>
    <row r="579" spans="1:10">
      <c r="A579" s="37" t="s">
        <v>1075</v>
      </c>
      <c r="B579" s="38" t="s">
        <v>63</v>
      </c>
      <c r="C579" s="37" t="s">
        <v>90</v>
      </c>
      <c r="D579" s="37" t="s">
        <v>65</v>
      </c>
      <c r="E579" s="113">
        <v>43279</v>
      </c>
      <c r="F579" s="43">
        <f t="shared" ca="1" si="18"/>
        <v>5</v>
      </c>
      <c r="G579" s="44" t="s">
        <v>68</v>
      </c>
      <c r="H579" s="45">
        <v>45211</v>
      </c>
      <c r="I579" s="38">
        <v>5</v>
      </c>
      <c r="J579" s="41">
        <f t="shared" si="19"/>
        <v>46445</v>
      </c>
    </row>
    <row r="580" spans="1:10">
      <c r="A580" s="37" t="s">
        <v>1134</v>
      </c>
      <c r="B580" s="38" t="s">
        <v>60</v>
      </c>
      <c r="C580" s="37" t="s">
        <v>91</v>
      </c>
      <c r="D580" s="37" t="s">
        <v>65</v>
      </c>
      <c r="E580" s="113">
        <v>42329</v>
      </c>
      <c r="F580" s="43">
        <f t="shared" ca="1" si="18"/>
        <v>7</v>
      </c>
      <c r="G580" s="44" t="s">
        <v>69</v>
      </c>
      <c r="H580" s="45">
        <v>87324</v>
      </c>
      <c r="I580" s="38">
        <v>1</v>
      </c>
      <c r="J580" s="41">
        <f t="shared" si="19"/>
        <v>89708</v>
      </c>
    </row>
    <row r="581" spans="1:10">
      <c r="A581" s="37" t="s">
        <v>940</v>
      </c>
      <c r="B581" s="38" t="s">
        <v>60</v>
      </c>
      <c r="C581" s="37" t="s">
        <v>83</v>
      </c>
      <c r="D581" s="37" t="s">
        <v>59</v>
      </c>
      <c r="E581" s="113">
        <v>43421</v>
      </c>
      <c r="F581" s="43">
        <f t="shared" ca="1" si="18"/>
        <v>4</v>
      </c>
      <c r="G581" s="44"/>
      <c r="H581" s="45">
        <v>108896</v>
      </c>
      <c r="I581" s="38">
        <v>4</v>
      </c>
      <c r="J581" s="41">
        <f t="shared" si="19"/>
        <v>111869</v>
      </c>
    </row>
    <row r="582" spans="1:10">
      <c r="A582" s="37" t="s">
        <v>621</v>
      </c>
      <c r="B582" s="38" t="s">
        <v>63</v>
      </c>
      <c r="C582" s="37" t="s">
        <v>58</v>
      </c>
      <c r="D582" s="37" t="s">
        <v>59</v>
      </c>
      <c r="E582" s="113">
        <v>44298</v>
      </c>
      <c r="F582" s="43">
        <f t="shared" ca="1" si="18"/>
        <v>2</v>
      </c>
      <c r="G582" s="44"/>
      <c r="H582" s="45">
        <v>110089</v>
      </c>
      <c r="I582" s="38">
        <v>1</v>
      </c>
      <c r="J582" s="41">
        <f t="shared" si="19"/>
        <v>113094</v>
      </c>
    </row>
    <row r="583" spans="1:10">
      <c r="A583" s="37" t="s">
        <v>816</v>
      </c>
      <c r="B583" s="38" t="s">
        <v>63</v>
      </c>
      <c r="C583" s="37" t="s">
        <v>82</v>
      </c>
      <c r="D583" s="37" t="s">
        <v>65</v>
      </c>
      <c r="E583" s="113">
        <v>44281</v>
      </c>
      <c r="F583" s="43">
        <f t="shared" ca="1" si="18"/>
        <v>2</v>
      </c>
      <c r="G583" s="44" t="s">
        <v>68</v>
      </c>
      <c r="H583" s="45">
        <v>123624</v>
      </c>
      <c r="I583" s="38">
        <v>1</v>
      </c>
      <c r="J583" s="41">
        <f t="shared" si="19"/>
        <v>126999</v>
      </c>
    </row>
    <row r="584" spans="1:10">
      <c r="A584" s="37" t="s">
        <v>1224</v>
      </c>
      <c r="B584" s="38" t="s">
        <v>57</v>
      </c>
      <c r="C584" s="37" t="s">
        <v>93</v>
      </c>
      <c r="D584" s="37" t="s">
        <v>65</v>
      </c>
      <c r="E584" s="113">
        <v>44817</v>
      </c>
      <c r="F584" s="43">
        <f t="shared" ca="1" si="18"/>
        <v>1</v>
      </c>
      <c r="G584" s="44" t="s">
        <v>66</v>
      </c>
      <c r="H584" s="45">
        <v>44601</v>
      </c>
      <c r="I584" s="38">
        <v>3</v>
      </c>
      <c r="J584" s="41">
        <f t="shared" si="19"/>
        <v>45819</v>
      </c>
    </row>
    <row r="585" spans="1:10">
      <c r="A585" s="37" t="s">
        <v>1016</v>
      </c>
      <c r="B585" s="38" t="s">
        <v>64</v>
      </c>
      <c r="C585" s="37" t="s">
        <v>87</v>
      </c>
      <c r="D585" s="37" t="s">
        <v>71</v>
      </c>
      <c r="E585" s="113">
        <v>39962</v>
      </c>
      <c r="F585" s="43">
        <f t="shared" ca="1" si="18"/>
        <v>14</v>
      </c>
      <c r="G585" s="44" t="s">
        <v>70</v>
      </c>
      <c r="H585" s="45">
        <v>37154</v>
      </c>
      <c r="I585" s="38">
        <v>2</v>
      </c>
      <c r="J585" s="41">
        <f t="shared" si="19"/>
        <v>38168</v>
      </c>
    </row>
    <row r="586" spans="1:10">
      <c r="A586" s="37" t="s">
        <v>941</v>
      </c>
      <c r="B586" s="38" t="s">
        <v>62</v>
      </c>
      <c r="C586" s="37" t="s">
        <v>83</v>
      </c>
      <c r="D586" s="37" t="s">
        <v>59</v>
      </c>
      <c r="E586" s="113">
        <v>40917</v>
      </c>
      <c r="F586" s="43">
        <f t="shared" ca="1" si="18"/>
        <v>11</v>
      </c>
      <c r="G586" s="44"/>
      <c r="H586" s="45">
        <v>73185</v>
      </c>
      <c r="I586" s="38">
        <v>2</v>
      </c>
      <c r="J586" s="41">
        <f t="shared" si="19"/>
        <v>75183</v>
      </c>
    </row>
    <row r="587" spans="1:10">
      <c r="A587" s="37" t="s">
        <v>1283</v>
      </c>
      <c r="B587" s="38" t="s">
        <v>60</v>
      </c>
      <c r="C587" s="37" t="s">
        <v>98</v>
      </c>
      <c r="D587" s="37" t="s">
        <v>59</v>
      </c>
      <c r="E587" s="113">
        <v>40368</v>
      </c>
      <c r="F587" s="43">
        <f t="shared" ca="1" si="18"/>
        <v>13</v>
      </c>
      <c r="G587" s="44"/>
      <c r="H587" s="45">
        <v>106358</v>
      </c>
      <c r="I587" s="38">
        <v>3</v>
      </c>
      <c r="J587" s="41">
        <f t="shared" si="19"/>
        <v>109262</v>
      </c>
    </row>
    <row r="588" spans="1:10">
      <c r="A588" s="37" t="s">
        <v>1225</v>
      </c>
      <c r="B588" s="38" t="s">
        <v>63</v>
      </c>
      <c r="C588" s="37" t="s">
        <v>93</v>
      </c>
      <c r="D588" s="37" t="s">
        <v>65</v>
      </c>
      <c r="E588" s="113">
        <v>43130</v>
      </c>
      <c r="F588" s="43">
        <f t="shared" ca="1" si="18"/>
        <v>5</v>
      </c>
      <c r="G588" s="44" t="s">
        <v>70</v>
      </c>
      <c r="H588" s="45">
        <v>102420</v>
      </c>
      <c r="I588" s="38">
        <v>2</v>
      </c>
      <c r="J588" s="41">
        <f t="shared" si="19"/>
        <v>105216</v>
      </c>
    </row>
    <row r="589" spans="1:10">
      <c r="A589" s="37" t="s">
        <v>1135</v>
      </c>
      <c r="B589" s="38" t="s">
        <v>60</v>
      </c>
      <c r="C589" s="37" t="s">
        <v>91</v>
      </c>
      <c r="D589" s="37" t="s">
        <v>65</v>
      </c>
      <c r="E589" s="113">
        <v>39951</v>
      </c>
      <c r="F589" s="43">
        <f t="shared" ca="1" si="18"/>
        <v>14</v>
      </c>
      <c r="G589" s="44" t="s">
        <v>70</v>
      </c>
      <c r="H589" s="45">
        <v>92947</v>
      </c>
      <c r="I589" s="38">
        <v>1</v>
      </c>
      <c r="J589" s="41">
        <f t="shared" si="19"/>
        <v>95484</v>
      </c>
    </row>
    <row r="590" spans="1:10">
      <c r="A590" s="37" t="s">
        <v>1136</v>
      </c>
      <c r="B590" s="38" t="s">
        <v>60</v>
      </c>
      <c r="C590" s="37" t="s">
        <v>91</v>
      </c>
      <c r="D590" s="37" t="s">
        <v>71</v>
      </c>
      <c r="E590" s="113">
        <v>41366</v>
      </c>
      <c r="F590" s="43">
        <f t="shared" ca="1" si="18"/>
        <v>10</v>
      </c>
      <c r="G590" s="44" t="s">
        <v>67</v>
      </c>
      <c r="H590" s="45">
        <v>39560</v>
      </c>
      <c r="I590" s="38">
        <v>4</v>
      </c>
      <c r="J590" s="41">
        <f t="shared" si="19"/>
        <v>40640</v>
      </c>
    </row>
    <row r="591" spans="1:10">
      <c r="A591" s="37" t="s">
        <v>800</v>
      </c>
      <c r="B591" s="38" t="s">
        <v>63</v>
      </c>
      <c r="C591" s="37" t="s">
        <v>80</v>
      </c>
      <c r="D591" s="37" t="s">
        <v>65</v>
      </c>
      <c r="E591" s="113">
        <v>39560</v>
      </c>
      <c r="F591" s="43">
        <f t="shared" ca="1" si="18"/>
        <v>15</v>
      </c>
      <c r="G591" s="44" t="s">
        <v>68</v>
      </c>
      <c r="H591" s="45">
        <v>103363</v>
      </c>
      <c r="I591" s="38">
        <v>5</v>
      </c>
      <c r="J591" s="41">
        <f t="shared" si="19"/>
        <v>106185</v>
      </c>
    </row>
    <row r="592" spans="1:10">
      <c r="A592" s="37" t="s">
        <v>942</v>
      </c>
      <c r="B592" s="38" t="s">
        <v>61</v>
      </c>
      <c r="C592" s="37" t="s">
        <v>83</v>
      </c>
      <c r="D592" s="37" t="s">
        <v>59</v>
      </c>
      <c r="E592" s="113">
        <v>43194</v>
      </c>
      <c r="F592" s="43">
        <f t="shared" ca="1" si="18"/>
        <v>5</v>
      </c>
      <c r="G592" s="44"/>
      <c r="H592" s="45">
        <v>56778</v>
      </c>
      <c r="I592" s="38">
        <v>2</v>
      </c>
      <c r="J592" s="41">
        <f t="shared" si="19"/>
        <v>58328</v>
      </c>
    </row>
    <row r="593" spans="1:10">
      <c r="A593" s="37" t="s">
        <v>1226</v>
      </c>
      <c r="B593" s="38" t="s">
        <v>57</v>
      </c>
      <c r="C593" s="37" t="s">
        <v>93</v>
      </c>
      <c r="D593" s="37" t="s">
        <v>59</v>
      </c>
      <c r="E593" s="113">
        <v>41044</v>
      </c>
      <c r="F593" s="43">
        <f t="shared" ca="1" si="18"/>
        <v>11</v>
      </c>
      <c r="G593" s="44"/>
      <c r="H593" s="45">
        <v>68081</v>
      </c>
      <c r="I593" s="38">
        <v>4</v>
      </c>
      <c r="J593" s="41">
        <f t="shared" si="19"/>
        <v>69940</v>
      </c>
    </row>
    <row r="594" spans="1:10">
      <c r="A594" s="37" t="s">
        <v>1227</v>
      </c>
      <c r="B594" s="38" t="s">
        <v>61</v>
      </c>
      <c r="C594" s="37" t="s">
        <v>93</v>
      </c>
      <c r="D594" s="37" t="s">
        <v>65</v>
      </c>
      <c r="E594" s="113">
        <v>42990</v>
      </c>
      <c r="F594" s="43">
        <f t="shared" ca="1" si="18"/>
        <v>6</v>
      </c>
      <c r="G594" s="44" t="s">
        <v>70</v>
      </c>
      <c r="H594" s="45">
        <v>120961</v>
      </c>
      <c r="I594" s="38">
        <v>1</v>
      </c>
      <c r="J594" s="41">
        <f t="shared" si="19"/>
        <v>124263</v>
      </c>
    </row>
    <row r="595" spans="1:10">
      <c r="A595" s="37" t="s">
        <v>1228</v>
      </c>
      <c r="B595" s="38" t="s">
        <v>63</v>
      </c>
      <c r="C595" s="37" t="s">
        <v>93</v>
      </c>
      <c r="D595" s="37" t="s">
        <v>65</v>
      </c>
      <c r="E595" s="113">
        <v>44068</v>
      </c>
      <c r="F595" s="43">
        <f t="shared" ca="1" si="18"/>
        <v>3</v>
      </c>
      <c r="G595" s="44" t="s">
        <v>68</v>
      </c>
      <c r="H595" s="45">
        <v>37626</v>
      </c>
      <c r="I595" s="38">
        <v>5</v>
      </c>
      <c r="J595" s="41">
        <f t="shared" si="19"/>
        <v>38653</v>
      </c>
    </row>
    <row r="596" spans="1:10">
      <c r="A596" s="37" t="s">
        <v>943</v>
      </c>
      <c r="B596" s="38" t="s">
        <v>62</v>
      </c>
      <c r="C596" s="37" t="s">
        <v>83</v>
      </c>
      <c r="D596" s="37" t="s">
        <v>65</v>
      </c>
      <c r="E596" s="113">
        <v>42469</v>
      </c>
      <c r="F596" s="43">
        <f t="shared" ca="1" si="18"/>
        <v>7</v>
      </c>
      <c r="G596" s="44" t="s">
        <v>70</v>
      </c>
      <c r="H596" s="45">
        <v>84807</v>
      </c>
      <c r="I596" s="38">
        <v>2</v>
      </c>
      <c r="J596" s="41">
        <f t="shared" si="19"/>
        <v>87122</v>
      </c>
    </row>
    <row r="597" spans="1:10">
      <c r="A597" s="37" t="s">
        <v>1229</v>
      </c>
      <c r="B597" s="38" t="s">
        <v>61</v>
      </c>
      <c r="C597" s="37" t="s">
        <v>93</v>
      </c>
      <c r="D597" s="37" t="s">
        <v>72</v>
      </c>
      <c r="E597" s="113">
        <v>42454</v>
      </c>
      <c r="F597" s="43">
        <f t="shared" ca="1" si="18"/>
        <v>7</v>
      </c>
      <c r="G597" s="44"/>
      <c r="H597" s="45">
        <v>39897</v>
      </c>
      <c r="I597" s="38">
        <v>3</v>
      </c>
      <c r="J597" s="41">
        <f t="shared" si="19"/>
        <v>40986</v>
      </c>
    </row>
    <row r="598" spans="1:10">
      <c r="A598" s="37" t="s">
        <v>1137</v>
      </c>
      <c r="B598" s="38" t="s">
        <v>61</v>
      </c>
      <c r="C598" s="37" t="s">
        <v>91</v>
      </c>
      <c r="D598" s="37" t="s">
        <v>71</v>
      </c>
      <c r="E598" s="113">
        <v>40014</v>
      </c>
      <c r="F598" s="43">
        <f t="shared" ca="1" si="18"/>
        <v>14</v>
      </c>
      <c r="G598" s="44" t="s">
        <v>69</v>
      </c>
      <c r="H598" s="45">
        <v>65668</v>
      </c>
      <c r="I598" s="38">
        <v>1</v>
      </c>
      <c r="J598" s="41">
        <f t="shared" si="19"/>
        <v>67461</v>
      </c>
    </row>
    <row r="599" spans="1:10">
      <c r="A599" s="37" t="s">
        <v>1054</v>
      </c>
      <c r="B599" s="38" t="s">
        <v>62</v>
      </c>
      <c r="C599" s="37" t="s">
        <v>88</v>
      </c>
      <c r="D599" s="37" t="s">
        <v>65</v>
      </c>
      <c r="E599" s="113">
        <v>39580</v>
      </c>
      <c r="F599" s="43">
        <f t="shared" ca="1" si="18"/>
        <v>15</v>
      </c>
      <c r="G599" s="44" t="s">
        <v>67</v>
      </c>
      <c r="H599" s="45">
        <v>98481</v>
      </c>
      <c r="I599" s="38">
        <v>5</v>
      </c>
      <c r="J599" s="41">
        <f t="shared" si="19"/>
        <v>101170</v>
      </c>
    </row>
    <row r="600" spans="1:10">
      <c r="A600" s="37" t="s">
        <v>801</v>
      </c>
      <c r="B600" s="38" t="s">
        <v>64</v>
      </c>
      <c r="C600" s="37" t="s">
        <v>80</v>
      </c>
      <c r="D600" s="37" t="s">
        <v>65</v>
      </c>
      <c r="E600" s="113">
        <v>43837</v>
      </c>
      <c r="F600" s="43">
        <f t="shared" ca="1" si="18"/>
        <v>3</v>
      </c>
      <c r="G600" s="44" t="s">
        <v>70</v>
      </c>
      <c r="H600" s="45">
        <v>87483</v>
      </c>
      <c r="I600" s="38">
        <v>5</v>
      </c>
      <c r="J600" s="41">
        <f t="shared" si="19"/>
        <v>89871</v>
      </c>
    </row>
    <row r="601" spans="1:10">
      <c r="A601" s="37" t="s">
        <v>973</v>
      </c>
      <c r="B601" s="38" t="s">
        <v>57</v>
      </c>
      <c r="C601" s="37" t="s">
        <v>86</v>
      </c>
      <c r="D601" s="37" t="s">
        <v>65</v>
      </c>
      <c r="E601" s="113">
        <v>43904</v>
      </c>
      <c r="F601" s="43">
        <f t="shared" ca="1" si="18"/>
        <v>3</v>
      </c>
      <c r="G601" s="44" t="s">
        <v>70</v>
      </c>
      <c r="H601" s="45">
        <v>37792</v>
      </c>
      <c r="I601" s="38">
        <v>5</v>
      </c>
      <c r="J601" s="41">
        <f t="shared" si="19"/>
        <v>38824</v>
      </c>
    </row>
    <row r="602" spans="1:10">
      <c r="A602" s="37" t="s">
        <v>802</v>
      </c>
      <c r="B602" s="38" t="s">
        <v>60</v>
      </c>
      <c r="C602" s="37" t="s">
        <v>80</v>
      </c>
      <c r="D602" s="37" t="s">
        <v>72</v>
      </c>
      <c r="E602" s="113">
        <v>43994</v>
      </c>
      <c r="F602" s="43">
        <f t="shared" ca="1" si="18"/>
        <v>3</v>
      </c>
      <c r="G602" s="44"/>
      <c r="H602" s="45">
        <v>20881</v>
      </c>
      <c r="I602" s="38">
        <v>5</v>
      </c>
      <c r="J602" s="41">
        <f t="shared" si="19"/>
        <v>21451</v>
      </c>
    </row>
    <row r="603" spans="1:10">
      <c r="A603" s="37" t="s">
        <v>622</v>
      </c>
      <c r="B603" s="38" t="s">
        <v>61</v>
      </c>
      <c r="C603" s="37" t="s">
        <v>58</v>
      </c>
      <c r="D603" s="37" t="s">
        <v>71</v>
      </c>
      <c r="E603" s="113">
        <v>41764</v>
      </c>
      <c r="F603" s="43">
        <f t="shared" ca="1" si="18"/>
        <v>9</v>
      </c>
      <c r="G603" s="44" t="s">
        <v>70</v>
      </c>
      <c r="H603" s="45">
        <v>45628</v>
      </c>
      <c r="I603" s="38">
        <v>2</v>
      </c>
      <c r="J603" s="41">
        <f t="shared" si="19"/>
        <v>46874</v>
      </c>
    </row>
    <row r="604" spans="1:10">
      <c r="A604" s="37" t="s">
        <v>734</v>
      </c>
      <c r="B604" s="38" t="s">
        <v>63</v>
      </c>
      <c r="C604" s="37" t="s">
        <v>77</v>
      </c>
      <c r="D604" s="37" t="s">
        <v>71</v>
      </c>
      <c r="E604" s="113">
        <v>42870</v>
      </c>
      <c r="F604" s="43">
        <f t="shared" ca="1" si="18"/>
        <v>6</v>
      </c>
      <c r="G604" s="44" t="s">
        <v>68</v>
      </c>
      <c r="H604" s="45">
        <v>37293</v>
      </c>
      <c r="I604" s="38">
        <v>3</v>
      </c>
      <c r="J604" s="41">
        <f t="shared" si="19"/>
        <v>38311</v>
      </c>
    </row>
    <row r="605" spans="1:10">
      <c r="A605" s="37" t="s">
        <v>1138</v>
      </c>
      <c r="B605" s="38" t="s">
        <v>61</v>
      </c>
      <c r="C605" s="37" t="s">
        <v>91</v>
      </c>
      <c r="D605" s="37" t="s">
        <v>65</v>
      </c>
      <c r="E605" s="113">
        <v>42774</v>
      </c>
      <c r="F605" s="43">
        <f t="shared" ca="1" si="18"/>
        <v>6</v>
      </c>
      <c r="G605" s="44" t="s">
        <v>67</v>
      </c>
      <c r="H605" s="45">
        <v>114693</v>
      </c>
      <c r="I605" s="38">
        <v>3</v>
      </c>
      <c r="J605" s="41">
        <f t="shared" si="19"/>
        <v>117824</v>
      </c>
    </row>
    <row r="606" spans="1:10">
      <c r="A606" s="37" t="s">
        <v>944</v>
      </c>
      <c r="B606" s="38" t="s">
        <v>60</v>
      </c>
      <c r="C606" s="37" t="s">
        <v>83</v>
      </c>
      <c r="D606" s="37" t="s">
        <v>72</v>
      </c>
      <c r="E606" s="113">
        <v>42678</v>
      </c>
      <c r="F606" s="43">
        <f t="shared" ca="1" si="18"/>
        <v>6</v>
      </c>
      <c r="G606" s="44"/>
      <c r="H606" s="45">
        <v>19993</v>
      </c>
      <c r="I606" s="38">
        <v>4</v>
      </c>
      <c r="J606" s="41">
        <f t="shared" si="19"/>
        <v>20539</v>
      </c>
    </row>
    <row r="607" spans="1:10">
      <c r="A607" s="37" t="s">
        <v>1230</v>
      </c>
      <c r="B607" s="38" t="s">
        <v>63</v>
      </c>
      <c r="C607" s="37" t="s">
        <v>93</v>
      </c>
      <c r="D607" s="37" t="s">
        <v>65</v>
      </c>
      <c r="E607" s="113">
        <v>44271</v>
      </c>
      <c r="F607" s="43">
        <f t="shared" ca="1" si="18"/>
        <v>2</v>
      </c>
      <c r="G607" s="44" t="s">
        <v>69</v>
      </c>
      <c r="H607" s="45">
        <v>55835</v>
      </c>
      <c r="I607" s="38">
        <v>5</v>
      </c>
      <c r="J607" s="41">
        <f t="shared" si="19"/>
        <v>57359</v>
      </c>
    </row>
    <row r="608" spans="1:10">
      <c r="A608" s="37" t="s">
        <v>623</v>
      </c>
      <c r="B608" s="38" t="s">
        <v>62</v>
      </c>
      <c r="C608" s="37" t="s">
        <v>58</v>
      </c>
      <c r="D608" s="37" t="s">
        <v>71</v>
      </c>
      <c r="E608" s="113">
        <v>43845</v>
      </c>
      <c r="F608" s="43">
        <f t="shared" ca="1" si="18"/>
        <v>3</v>
      </c>
      <c r="G608" s="44" t="s">
        <v>70</v>
      </c>
      <c r="H608" s="45">
        <v>67540</v>
      </c>
      <c r="I608" s="38">
        <v>3</v>
      </c>
      <c r="J608" s="41">
        <f t="shared" si="19"/>
        <v>69384</v>
      </c>
    </row>
    <row r="609" spans="1:10">
      <c r="A609" s="37" t="s">
        <v>1017</v>
      </c>
      <c r="B609" s="38" t="s">
        <v>63</v>
      </c>
      <c r="C609" s="37" t="s">
        <v>87</v>
      </c>
      <c r="D609" s="37" t="s">
        <v>59</v>
      </c>
      <c r="E609" s="113">
        <v>42654</v>
      </c>
      <c r="F609" s="43">
        <f t="shared" ca="1" si="18"/>
        <v>6</v>
      </c>
      <c r="G609" s="44"/>
      <c r="H609" s="45">
        <v>108078</v>
      </c>
      <c r="I609" s="38">
        <v>5</v>
      </c>
      <c r="J609" s="41">
        <f t="shared" si="19"/>
        <v>111029</v>
      </c>
    </row>
    <row r="610" spans="1:10">
      <c r="A610" s="37" t="s">
        <v>624</v>
      </c>
      <c r="B610" s="38" t="s">
        <v>63</v>
      </c>
      <c r="C610" s="37" t="s">
        <v>58</v>
      </c>
      <c r="D610" s="37" t="s">
        <v>65</v>
      </c>
      <c r="E610" s="113">
        <v>40264</v>
      </c>
      <c r="F610" s="43">
        <f t="shared" ca="1" si="18"/>
        <v>13</v>
      </c>
      <c r="G610" s="44" t="s">
        <v>69</v>
      </c>
      <c r="H610" s="45">
        <v>67027</v>
      </c>
      <c r="I610" s="38">
        <v>1</v>
      </c>
      <c r="J610" s="41">
        <f t="shared" si="19"/>
        <v>68857</v>
      </c>
    </row>
    <row r="611" spans="1:10">
      <c r="A611" s="37" t="s">
        <v>945</v>
      </c>
      <c r="B611" s="38" t="s">
        <v>63</v>
      </c>
      <c r="C611" s="37" t="s">
        <v>83</v>
      </c>
      <c r="D611" s="37" t="s">
        <v>59</v>
      </c>
      <c r="E611" s="113">
        <v>40228</v>
      </c>
      <c r="F611" s="43">
        <f t="shared" ca="1" si="18"/>
        <v>13</v>
      </c>
      <c r="G611" s="44"/>
      <c r="H611" s="45">
        <v>79883</v>
      </c>
      <c r="I611" s="38">
        <v>3</v>
      </c>
      <c r="J611" s="41">
        <f t="shared" si="19"/>
        <v>82064</v>
      </c>
    </row>
    <row r="612" spans="1:10">
      <c r="A612" s="37" t="s">
        <v>1055</v>
      </c>
      <c r="B612" s="38" t="s">
        <v>61</v>
      </c>
      <c r="C612" s="37" t="s">
        <v>88</v>
      </c>
      <c r="D612" s="37" t="s">
        <v>65</v>
      </c>
      <c r="E612" s="113">
        <v>42379</v>
      </c>
      <c r="F612" s="43">
        <f t="shared" ca="1" si="18"/>
        <v>7</v>
      </c>
      <c r="G612" s="44" t="s">
        <v>70</v>
      </c>
      <c r="H612" s="45">
        <v>52354</v>
      </c>
      <c r="I612" s="38">
        <v>5</v>
      </c>
      <c r="J612" s="41">
        <f t="shared" si="19"/>
        <v>53783</v>
      </c>
    </row>
    <row r="613" spans="1:10">
      <c r="A613" s="37" t="s">
        <v>625</v>
      </c>
      <c r="B613" s="38" t="s">
        <v>61</v>
      </c>
      <c r="C613" s="37" t="s">
        <v>58</v>
      </c>
      <c r="D613" s="37" t="s">
        <v>65</v>
      </c>
      <c r="E613" s="113">
        <v>42953</v>
      </c>
      <c r="F613" s="43">
        <f t="shared" ca="1" si="18"/>
        <v>6</v>
      </c>
      <c r="G613" s="44" t="s">
        <v>67</v>
      </c>
      <c r="H613" s="45">
        <v>58276</v>
      </c>
      <c r="I613" s="38">
        <v>5</v>
      </c>
      <c r="J613" s="41">
        <f t="shared" si="19"/>
        <v>59867</v>
      </c>
    </row>
    <row r="614" spans="1:10">
      <c r="A614" s="37" t="s">
        <v>946</v>
      </c>
      <c r="B614" s="38" t="s">
        <v>60</v>
      </c>
      <c r="C614" s="37" t="s">
        <v>83</v>
      </c>
      <c r="D614" s="37" t="s">
        <v>72</v>
      </c>
      <c r="E614" s="113">
        <v>42368</v>
      </c>
      <c r="F614" s="43">
        <f t="shared" ca="1" si="18"/>
        <v>7</v>
      </c>
      <c r="G614" s="44"/>
      <c r="H614" s="45">
        <v>31165</v>
      </c>
      <c r="I614" s="38">
        <v>1</v>
      </c>
      <c r="J614" s="41">
        <f t="shared" si="19"/>
        <v>32016</v>
      </c>
    </row>
    <row r="615" spans="1:10">
      <c r="A615" s="37" t="s">
        <v>626</v>
      </c>
      <c r="B615" s="38" t="s">
        <v>63</v>
      </c>
      <c r="C615" s="37" t="s">
        <v>58</v>
      </c>
      <c r="D615" s="37" t="s">
        <v>59</v>
      </c>
      <c r="E615" s="113">
        <v>43183</v>
      </c>
      <c r="F615" s="43">
        <f t="shared" ca="1" si="18"/>
        <v>5</v>
      </c>
      <c r="G615" s="44"/>
      <c r="H615" s="45">
        <v>78566</v>
      </c>
      <c r="I615" s="38">
        <v>1</v>
      </c>
      <c r="J615" s="41">
        <f t="shared" si="19"/>
        <v>80711</v>
      </c>
    </row>
    <row r="616" spans="1:10">
      <c r="A616" s="37" t="s">
        <v>947</v>
      </c>
      <c r="B616" s="38" t="s">
        <v>63</v>
      </c>
      <c r="C616" s="37" t="s">
        <v>83</v>
      </c>
      <c r="D616" s="37" t="s">
        <v>65</v>
      </c>
      <c r="E616" s="113">
        <v>43892</v>
      </c>
      <c r="F616" s="43">
        <f t="shared" ca="1" si="18"/>
        <v>3</v>
      </c>
      <c r="G616" s="44" t="s">
        <v>70</v>
      </c>
      <c r="H616" s="45">
        <v>61397</v>
      </c>
      <c r="I616" s="38">
        <v>2</v>
      </c>
      <c r="J616" s="41">
        <f t="shared" si="19"/>
        <v>63073</v>
      </c>
    </row>
    <row r="617" spans="1:10">
      <c r="A617" s="37" t="s">
        <v>627</v>
      </c>
      <c r="B617" s="38" t="s">
        <v>57</v>
      </c>
      <c r="C617" s="37" t="s">
        <v>58</v>
      </c>
      <c r="D617" s="37" t="s">
        <v>65</v>
      </c>
      <c r="E617" s="113">
        <v>42808</v>
      </c>
      <c r="F617" s="43">
        <f t="shared" ca="1" si="18"/>
        <v>6</v>
      </c>
      <c r="G617" s="44" t="s">
        <v>68</v>
      </c>
      <c r="H617" s="45">
        <v>102392</v>
      </c>
      <c r="I617" s="38">
        <v>2</v>
      </c>
      <c r="J617" s="41">
        <f t="shared" si="19"/>
        <v>105187</v>
      </c>
    </row>
    <row r="618" spans="1:10">
      <c r="A618" s="37" t="s">
        <v>1231</v>
      </c>
      <c r="B618" s="38" t="s">
        <v>63</v>
      </c>
      <c r="C618" s="37" t="s">
        <v>93</v>
      </c>
      <c r="D618" s="37" t="s">
        <v>65</v>
      </c>
      <c r="E618" s="113">
        <v>39921</v>
      </c>
      <c r="F618" s="43">
        <f t="shared" ca="1" si="18"/>
        <v>14</v>
      </c>
      <c r="G618" s="44" t="s">
        <v>69</v>
      </c>
      <c r="H618" s="45">
        <v>85777</v>
      </c>
      <c r="I618" s="38">
        <v>2</v>
      </c>
      <c r="J618" s="41">
        <f t="shared" si="19"/>
        <v>88119</v>
      </c>
    </row>
    <row r="619" spans="1:10">
      <c r="A619" s="37" t="s">
        <v>735</v>
      </c>
      <c r="B619" s="38" t="s">
        <v>61</v>
      </c>
      <c r="C619" s="37" t="s">
        <v>77</v>
      </c>
      <c r="D619" s="37" t="s">
        <v>65</v>
      </c>
      <c r="E619" s="113">
        <v>40599</v>
      </c>
      <c r="F619" s="43">
        <f t="shared" ca="1" si="18"/>
        <v>12</v>
      </c>
      <c r="G619" s="44" t="s">
        <v>68</v>
      </c>
      <c r="H619" s="45">
        <v>37695</v>
      </c>
      <c r="I619" s="38">
        <v>4</v>
      </c>
      <c r="J619" s="41">
        <f t="shared" si="19"/>
        <v>38724</v>
      </c>
    </row>
    <row r="620" spans="1:10">
      <c r="A620" s="37" t="s">
        <v>1056</v>
      </c>
      <c r="B620" s="38" t="s">
        <v>63</v>
      </c>
      <c r="C620" s="37" t="s">
        <v>88</v>
      </c>
      <c r="D620" s="37" t="s">
        <v>59</v>
      </c>
      <c r="E620" s="113">
        <v>43827</v>
      </c>
      <c r="F620" s="43">
        <f t="shared" ca="1" si="18"/>
        <v>3</v>
      </c>
      <c r="G620" s="44"/>
      <c r="H620" s="45">
        <v>63560</v>
      </c>
      <c r="I620" s="38">
        <v>4</v>
      </c>
      <c r="J620" s="41">
        <f t="shared" si="19"/>
        <v>65295</v>
      </c>
    </row>
    <row r="621" spans="1:10">
      <c r="A621" s="37" t="s">
        <v>1273</v>
      </c>
      <c r="B621" s="38" t="s">
        <v>63</v>
      </c>
      <c r="C621" s="37" t="s">
        <v>97</v>
      </c>
      <c r="D621" s="37" t="s">
        <v>59</v>
      </c>
      <c r="E621" s="113">
        <v>43963</v>
      </c>
      <c r="F621" s="43">
        <f t="shared" ca="1" si="18"/>
        <v>3</v>
      </c>
      <c r="G621" s="44"/>
      <c r="H621" s="45">
        <v>104153</v>
      </c>
      <c r="I621" s="38">
        <v>4</v>
      </c>
      <c r="J621" s="41">
        <f t="shared" si="19"/>
        <v>106996</v>
      </c>
    </row>
    <row r="622" spans="1:10">
      <c r="A622" s="37" t="s">
        <v>666</v>
      </c>
      <c r="B622" s="38" t="s">
        <v>63</v>
      </c>
      <c r="C622" s="37" t="s">
        <v>74</v>
      </c>
      <c r="D622" s="37" t="s">
        <v>71</v>
      </c>
      <c r="E622" s="113">
        <v>39948</v>
      </c>
      <c r="F622" s="43">
        <f t="shared" ca="1" si="18"/>
        <v>14</v>
      </c>
      <c r="G622" s="44" t="s">
        <v>69</v>
      </c>
      <c r="H622" s="45">
        <v>59503</v>
      </c>
      <c r="I622" s="38">
        <v>1</v>
      </c>
      <c r="J622" s="41">
        <f t="shared" si="19"/>
        <v>61127</v>
      </c>
    </row>
    <row r="623" spans="1:10">
      <c r="A623" s="37" t="s">
        <v>736</v>
      </c>
      <c r="B623" s="38" t="s">
        <v>61</v>
      </c>
      <c r="C623" s="37" t="s">
        <v>77</v>
      </c>
      <c r="D623" s="37" t="s">
        <v>71</v>
      </c>
      <c r="E623" s="113">
        <v>43253</v>
      </c>
      <c r="F623" s="43">
        <f t="shared" ca="1" si="18"/>
        <v>5</v>
      </c>
      <c r="G623" s="44" t="s">
        <v>69</v>
      </c>
      <c r="H623" s="45">
        <v>53976</v>
      </c>
      <c r="I623" s="38">
        <v>4</v>
      </c>
      <c r="J623" s="41">
        <f t="shared" si="19"/>
        <v>55450</v>
      </c>
    </row>
    <row r="624" spans="1:10">
      <c r="A624" s="37" t="s">
        <v>1018</v>
      </c>
      <c r="B624" s="38" t="s">
        <v>61</v>
      </c>
      <c r="C624" s="37" t="s">
        <v>87</v>
      </c>
      <c r="D624" s="37" t="s">
        <v>59</v>
      </c>
      <c r="E624" s="113">
        <v>42560</v>
      </c>
      <c r="F624" s="43">
        <f t="shared" ca="1" si="18"/>
        <v>7</v>
      </c>
      <c r="G624" s="44"/>
      <c r="H624" s="45">
        <v>88551</v>
      </c>
      <c r="I624" s="38">
        <v>2</v>
      </c>
      <c r="J624" s="41">
        <f t="shared" si="19"/>
        <v>90968</v>
      </c>
    </row>
    <row r="625" spans="1:10">
      <c r="A625" s="37" t="s">
        <v>737</v>
      </c>
      <c r="B625" s="38" t="s">
        <v>57</v>
      </c>
      <c r="C625" s="37" t="s">
        <v>77</v>
      </c>
      <c r="D625" s="37" t="s">
        <v>71</v>
      </c>
      <c r="E625" s="113">
        <v>40487</v>
      </c>
      <c r="F625" s="43">
        <f t="shared" ca="1" si="18"/>
        <v>12</v>
      </c>
      <c r="G625" s="44" t="s">
        <v>68</v>
      </c>
      <c r="H625" s="45">
        <v>48928</v>
      </c>
      <c r="I625" s="38">
        <v>3</v>
      </c>
      <c r="J625" s="41">
        <f t="shared" si="19"/>
        <v>50264</v>
      </c>
    </row>
    <row r="626" spans="1:10">
      <c r="A626" s="37" t="s">
        <v>1232</v>
      </c>
      <c r="B626" s="38" t="s">
        <v>60</v>
      </c>
      <c r="C626" s="37" t="s">
        <v>93</v>
      </c>
      <c r="D626" s="37" t="s">
        <v>72</v>
      </c>
      <c r="E626" s="113">
        <v>43333</v>
      </c>
      <c r="F626" s="43">
        <f t="shared" ca="1" si="18"/>
        <v>5</v>
      </c>
      <c r="G626" s="44"/>
      <c r="H626" s="45">
        <v>51790</v>
      </c>
      <c r="I626" s="38">
        <v>2</v>
      </c>
      <c r="J626" s="41">
        <f t="shared" si="19"/>
        <v>53204</v>
      </c>
    </row>
    <row r="627" spans="1:10">
      <c r="A627" s="37" t="s">
        <v>1233</v>
      </c>
      <c r="B627" s="38" t="s">
        <v>61</v>
      </c>
      <c r="C627" s="37" t="s">
        <v>93</v>
      </c>
      <c r="D627" s="37" t="s">
        <v>71</v>
      </c>
      <c r="E627" s="113">
        <v>42709</v>
      </c>
      <c r="F627" s="43">
        <f t="shared" ca="1" si="18"/>
        <v>6</v>
      </c>
      <c r="G627" s="44" t="s">
        <v>68</v>
      </c>
      <c r="H627" s="45">
        <v>27841</v>
      </c>
      <c r="I627" s="38">
        <v>1</v>
      </c>
      <c r="J627" s="41">
        <f t="shared" si="19"/>
        <v>28601</v>
      </c>
    </row>
    <row r="628" spans="1:10">
      <c r="A628" s="37" t="s">
        <v>803</v>
      </c>
      <c r="B628" s="38" t="s">
        <v>63</v>
      </c>
      <c r="C628" s="37" t="s">
        <v>80</v>
      </c>
      <c r="D628" s="37" t="s">
        <v>65</v>
      </c>
      <c r="E628" s="113">
        <v>42815</v>
      </c>
      <c r="F628" s="43">
        <f t="shared" ca="1" si="18"/>
        <v>6</v>
      </c>
      <c r="G628" s="44" t="s">
        <v>70</v>
      </c>
      <c r="H628" s="45">
        <v>101283</v>
      </c>
      <c r="I628" s="38">
        <v>5</v>
      </c>
      <c r="J628" s="41">
        <f t="shared" si="19"/>
        <v>104048</v>
      </c>
    </row>
    <row r="629" spans="1:10">
      <c r="A629" s="37" t="s">
        <v>948</v>
      </c>
      <c r="B629" s="38" t="s">
        <v>63</v>
      </c>
      <c r="C629" s="37" t="s">
        <v>83</v>
      </c>
      <c r="D629" s="37" t="s">
        <v>65</v>
      </c>
      <c r="E629" s="113">
        <v>42573</v>
      </c>
      <c r="F629" s="43">
        <f t="shared" ca="1" si="18"/>
        <v>7</v>
      </c>
      <c r="G629" s="44" t="s">
        <v>68</v>
      </c>
      <c r="H629" s="45">
        <v>83350</v>
      </c>
      <c r="I629" s="38">
        <v>1</v>
      </c>
      <c r="J629" s="41">
        <f t="shared" si="19"/>
        <v>85625</v>
      </c>
    </row>
    <row r="630" spans="1:10">
      <c r="A630" s="37" t="s">
        <v>949</v>
      </c>
      <c r="B630" s="38" t="s">
        <v>63</v>
      </c>
      <c r="C630" s="37" t="s">
        <v>83</v>
      </c>
      <c r="D630" s="37" t="s">
        <v>65</v>
      </c>
      <c r="E630" s="113">
        <v>42697</v>
      </c>
      <c r="F630" s="43">
        <f t="shared" ca="1" si="18"/>
        <v>6</v>
      </c>
      <c r="G630" s="44" t="s">
        <v>70</v>
      </c>
      <c r="H630" s="45">
        <v>63102</v>
      </c>
      <c r="I630" s="38">
        <v>3</v>
      </c>
      <c r="J630" s="41">
        <f t="shared" si="19"/>
        <v>64825</v>
      </c>
    </row>
    <row r="631" spans="1:10">
      <c r="A631" s="37" t="s">
        <v>950</v>
      </c>
      <c r="B631" s="38" t="s">
        <v>63</v>
      </c>
      <c r="C631" s="37" t="s">
        <v>83</v>
      </c>
      <c r="D631" s="37" t="s">
        <v>65</v>
      </c>
      <c r="E631" s="113">
        <v>43860</v>
      </c>
      <c r="F631" s="43">
        <f t="shared" ca="1" si="18"/>
        <v>3</v>
      </c>
      <c r="G631" s="44" t="s">
        <v>70</v>
      </c>
      <c r="H631" s="45">
        <v>119630</v>
      </c>
      <c r="I631" s="38">
        <v>3</v>
      </c>
      <c r="J631" s="41">
        <f t="shared" si="19"/>
        <v>122896</v>
      </c>
    </row>
    <row r="632" spans="1:10">
      <c r="A632" s="37" t="s">
        <v>951</v>
      </c>
      <c r="B632" s="38" t="s">
        <v>63</v>
      </c>
      <c r="C632" s="37" t="s">
        <v>83</v>
      </c>
      <c r="D632" s="37" t="s">
        <v>65</v>
      </c>
      <c r="E632" s="113">
        <v>41100</v>
      </c>
      <c r="F632" s="43">
        <f t="shared" ca="1" si="18"/>
        <v>11</v>
      </c>
      <c r="G632" s="44" t="s">
        <v>70</v>
      </c>
      <c r="H632" s="45">
        <v>95804</v>
      </c>
      <c r="I632" s="38">
        <v>3</v>
      </c>
      <c r="J632" s="41">
        <f t="shared" si="19"/>
        <v>98419</v>
      </c>
    </row>
    <row r="633" spans="1:10">
      <c r="A633" s="37" t="s">
        <v>1234</v>
      </c>
      <c r="B633" s="38" t="s">
        <v>60</v>
      </c>
      <c r="C633" s="37" t="s">
        <v>93</v>
      </c>
      <c r="D633" s="37" t="s">
        <v>59</v>
      </c>
      <c r="E633" s="113">
        <v>44716</v>
      </c>
      <c r="F633" s="43">
        <f t="shared" ca="1" si="18"/>
        <v>1</v>
      </c>
      <c r="G633" s="44"/>
      <c r="H633" s="45">
        <v>97496</v>
      </c>
      <c r="I633" s="38">
        <v>3</v>
      </c>
      <c r="J633" s="41">
        <f t="shared" si="19"/>
        <v>100158</v>
      </c>
    </row>
    <row r="634" spans="1:10">
      <c r="A634" s="37" t="s">
        <v>628</v>
      </c>
      <c r="B634" s="38" t="s">
        <v>63</v>
      </c>
      <c r="C634" s="37" t="s">
        <v>58</v>
      </c>
      <c r="D634" s="37" t="s">
        <v>59</v>
      </c>
      <c r="E634" s="113">
        <v>44845</v>
      </c>
      <c r="F634" s="43">
        <f t="shared" ca="1" si="18"/>
        <v>0</v>
      </c>
      <c r="G634" s="44"/>
      <c r="H634" s="45">
        <v>62020</v>
      </c>
      <c r="I634" s="38">
        <v>2</v>
      </c>
      <c r="J634" s="41">
        <f t="shared" si="19"/>
        <v>63713</v>
      </c>
    </row>
    <row r="635" spans="1:10">
      <c r="A635" s="37" t="s">
        <v>1139</v>
      </c>
      <c r="B635" s="38" t="s">
        <v>61</v>
      </c>
      <c r="C635" s="37" t="s">
        <v>91</v>
      </c>
      <c r="D635" s="37" t="s">
        <v>65</v>
      </c>
      <c r="E635" s="113">
        <v>39836</v>
      </c>
      <c r="F635" s="43">
        <f t="shared" ca="1" si="18"/>
        <v>14</v>
      </c>
      <c r="G635" s="44" t="s">
        <v>68</v>
      </c>
      <c r="H635" s="45">
        <v>81007</v>
      </c>
      <c r="I635" s="38">
        <v>5</v>
      </c>
      <c r="J635" s="41">
        <f t="shared" si="19"/>
        <v>83218</v>
      </c>
    </row>
    <row r="636" spans="1:10">
      <c r="A636" s="37" t="s">
        <v>629</v>
      </c>
      <c r="B636" s="38" t="s">
        <v>63</v>
      </c>
      <c r="C636" s="37" t="s">
        <v>58</v>
      </c>
      <c r="D636" s="37" t="s">
        <v>59</v>
      </c>
      <c r="E636" s="113">
        <v>39888</v>
      </c>
      <c r="F636" s="43">
        <f t="shared" ca="1" si="18"/>
        <v>14</v>
      </c>
      <c r="G636" s="44"/>
      <c r="H636" s="45">
        <v>80424</v>
      </c>
      <c r="I636" s="38">
        <v>5</v>
      </c>
      <c r="J636" s="41">
        <f t="shared" si="19"/>
        <v>82620</v>
      </c>
    </row>
    <row r="637" spans="1:10">
      <c r="A637" s="37" t="s">
        <v>1235</v>
      </c>
      <c r="B637" s="38" t="s">
        <v>61</v>
      </c>
      <c r="C637" s="37" t="s">
        <v>93</v>
      </c>
      <c r="D637" s="37" t="s">
        <v>65</v>
      </c>
      <c r="E637" s="113">
        <v>44159</v>
      </c>
      <c r="F637" s="43">
        <f t="shared" ca="1" si="18"/>
        <v>2</v>
      </c>
      <c r="G637" s="44" t="s">
        <v>68</v>
      </c>
      <c r="H637" s="45">
        <v>64337</v>
      </c>
      <c r="I637" s="38">
        <v>5</v>
      </c>
      <c r="J637" s="41">
        <f t="shared" si="19"/>
        <v>66093</v>
      </c>
    </row>
    <row r="638" spans="1:10">
      <c r="A638" s="37" t="s">
        <v>1019</v>
      </c>
      <c r="B638" s="38" t="s">
        <v>60</v>
      </c>
      <c r="C638" s="37" t="s">
        <v>87</v>
      </c>
      <c r="D638" s="37" t="s">
        <v>65</v>
      </c>
      <c r="E638" s="113">
        <v>43924</v>
      </c>
      <c r="F638" s="43">
        <f t="shared" ca="1" si="18"/>
        <v>3</v>
      </c>
      <c r="G638" s="44" t="s">
        <v>66</v>
      </c>
      <c r="H638" s="45">
        <v>97746</v>
      </c>
      <c r="I638" s="38">
        <v>4</v>
      </c>
      <c r="J638" s="41">
        <f t="shared" si="19"/>
        <v>100414</v>
      </c>
    </row>
    <row r="639" spans="1:10">
      <c r="A639" s="37" t="s">
        <v>1284</v>
      </c>
      <c r="B639" s="38" t="s">
        <v>63</v>
      </c>
      <c r="C639" s="37" t="s">
        <v>98</v>
      </c>
      <c r="D639" s="37" t="s">
        <v>59</v>
      </c>
      <c r="E639" s="113">
        <v>42780</v>
      </c>
      <c r="F639" s="43">
        <f t="shared" ca="1" si="18"/>
        <v>6</v>
      </c>
      <c r="G639" s="44"/>
      <c r="H639" s="45">
        <v>92337</v>
      </c>
      <c r="I639" s="38">
        <v>5</v>
      </c>
      <c r="J639" s="41">
        <f t="shared" si="19"/>
        <v>94858</v>
      </c>
    </row>
    <row r="640" spans="1:10">
      <c r="A640" s="37" t="s">
        <v>952</v>
      </c>
      <c r="B640" s="38" t="s">
        <v>63</v>
      </c>
      <c r="C640" s="37" t="s">
        <v>83</v>
      </c>
      <c r="D640" s="37" t="s">
        <v>65</v>
      </c>
      <c r="E640" s="113">
        <v>39600</v>
      </c>
      <c r="F640" s="43">
        <f t="shared" ca="1" si="18"/>
        <v>15</v>
      </c>
      <c r="G640" s="44" t="s">
        <v>68</v>
      </c>
      <c r="H640" s="45">
        <v>104181</v>
      </c>
      <c r="I640" s="38">
        <v>5</v>
      </c>
      <c r="J640" s="41">
        <f t="shared" si="19"/>
        <v>107025</v>
      </c>
    </row>
    <row r="641" spans="1:10">
      <c r="A641" s="37" t="s">
        <v>630</v>
      </c>
      <c r="B641" s="38" t="s">
        <v>64</v>
      </c>
      <c r="C641" s="37" t="s">
        <v>58</v>
      </c>
      <c r="D641" s="37" t="s">
        <v>71</v>
      </c>
      <c r="E641" s="113">
        <v>43319</v>
      </c>
      <c r="F641" s="43">
        <f t="shared" ca="1" si="18"/>
        <v>5</v>
      </c>
      <c r="G641" s="44" t="s">
        <v>68</v>
      </c>
      <c r="H641" s="45">
        <v>63192</v>
      </c>
      <c r="I641" s="38">
        <v>1</v>
      </c>
      <c r="J641" s="41">
        <f t="shared" si="19"/>
        <v>64917</v>
      </c>
    </row>
    <row r="642" spans="1:10">
      <c r="A642" s="37" t="s">
        <v>738</v>
      </c>
      <c r="B642" s="38" t="s">
        <v>60</v>
      </c>
      <c r="C642" s="37" t="s">
        <v>77</v>
      </c>
      <c r="D642" s="37" t="s">
        <v>65</v>
      </c>
      <c r="E642" s="113">
        <v>43883</v>
      </c>
      <c r="F642" s="43">
        <f t="shared" ref="F642:F705" ca="1" si="20">DATEDIF(E642,TODAY(),"Y")</f>
        <v>3</v>
      </c>
      <c r="G642" s="44" t="s">
        <v>68</v>
      </c>
      <c r="H642" s="45">
        <v>32286</v>
      </c>
      <c r="I642" s="38">
        <v>1</v>
      </c>
      <c r="J642" s="41">
        <f t="shared" ref="J642:J705" si="21">ROUND(H642*$L$1+H642,0)</f>
        <v>33167</v>
      </c>
    </row>
    <row r="643" spans="1:10">
      <c r="A643" s="37" t="s">
        <v>1020</v>
      </c>
      <c r="B643" s="38" t="s">
        <v>57</v>
      </c>
      <c r="C643" s="37" t="s">
        <v>87</v>
      </c>
      <c r="D643" s="37" t="s">
        <v>59</v>
      </c>
      <c r="E643" s="113">
        <v>42396</v>
      </c>
      <c r="F643" s="43">
        <f t="shared" ca="1" si="20"/>
        <v>7</v>
      </c>
      <c r="G643" s="44"/>
      <c r="H643" s="45">
        <v>74710</v>
      </c>
      <c r="I643" s="38">
        <v>2</v>
      </c>
      <c r="J643" s="41">
        <f t="shared" si="21"/>
        <v>76750</v>
      </c>
    </row>
    <row r="644" spans="1:10">
      <c r="A644" s="37" t="s">
        <v>765</v>
      </c>
      <c r="B644" s="38" t="s">
        <v>60</v>
      </c>
      <c r="C644" s="37" t="s">
        <v>79</v>
      </c>
      <c r="D644" s="37" t="s">
        <v>59</v>
      </c>
      <c r="E644" s="113">
        <v>43113</v>
      </c>
      <c r="F644" s="43">
        <f t="shared" ca="1" si="20"/>
        <v>5</v>
      </c>
      <c r="G644" s="44"/>
      <c r="H644" s="45">
        <v>99438</v>
      </c>
      <c r="I644" s="38">
        <v>2</v>
      </c>
      <c r="J644" s="41">
        <f t="shared" si="21"/>
        <v>102153</v>
      </c>
    </row>
    <row r="645" spans="1:10">
      <c r="A645" s="37" t="s">
        <v>1140</v>
      </c>
      <c r="B645" s="38" t="s">
        <v>62</v>
      </c>
      <c r="C645" s="37" t="s">
        <v>91</v>
      </c>
      <c r="D645" s="37" t="s">
        <v>59</v>
      </c>
      <c r="E645" s="113">
        <v>41618</v>
      </c>
      <c r="F645" s="43">
        <f t="shared" ca="1" si="20"/>
        <v>9</v>
      </c>
      <c r="G645" s="44"/>
      <c r="H645" s="45">
        <v>89577</v>
      </c>
      <c r="I645" s="38">
        <v>1</v>
      </c>
      <c r="J645" s="41">
        <f t="shared" si="21"/>
        <v>92022</v>
      </c>
    </row>
    <row r="646" spans="1:10">
      <c r="A646" s="37" t="s">
        <v>1236</v>
      </c>
      <c r="B646" s="38" t="s">
        <v>64</v>
      </c>
      <c r="C646" s="37" t="s">
        <v>93</v>
      </c>
      <c r="D646" s="37" t="s">
        <v>59</v>
      </c>
      <c r="E646" s="113">
        <v>42839</v>
      </c>
      <c r="F646" s="43">
        <f t="shared" ca="1" si="20"/>
        <v>6</v>
      </c>
      <c r="G646" s="44"/>
      <c r="H646" s="45">
        <v>108993</v>
      </c>
      <c r="I646" s="38">
        <v>1</v>
      </c>
      <c r="J646" s="41">
        <f t="shared" si="21"/>
        <v>111969</v>
      </c>
    </row>
    <row r="647" spans="1:10">
      <c r="A647" s="37" t="s">
        <v>953</v>
      </c>
      <c r="B647" s="38" t="s">
        <v>63</v>
      </c>
      <c r="C647" s="37" t="s">
        <v>83</v>
      </c>
      <c r="D647" s="37" t="s">
        <v>65</v>
      </c>
      <c r="E647" s="113">
        <v>40922</v>
      </c>
      <c r="F647" s="43">
        <f t="shared" ca="1" si="20"/>
        <v>11</v>
      </c>
      <c r="G647" s="44" t="s">
        <v>70</v>
      </c>
      <c r="H647" s="45">
        <v>87026</v>
      </c>
      <c r="I647" s="38">
        <v>3</v>
      </c>
      <c r="J647" s="41">
        <f t="shared" si="21"/>
        <v>89402</v>
      </c>
    </row>
    <row r="648" spans="1:10">
      <c r="A648" s="37" t="s">
        <v>756</v>
      </c>
      <c r="B648" s="38" t="s">
        <v>61</v>
      </c>
      <c r="C648" s="37" t="s">
        <v>78</v>
      </c>
      <c r="D648" s="37" t="s">
        <v>59</v>
      </c>
      <c r="E648" s="113">
        <v>43844</v>
      </c>
      <c r="F648" s="43">
        <f t="shared" ca="1" si="20"/>
        <v>3</v>
      </c>
      <c r="G648" s="44"/>
      <c r="H648" s="45">
        <v>82310</v>
      </c>
      <c r="I648" s="38">
        <v>5</v>
      </c>
      <c r="J648" s="41">
        <f t="shared" si="21"/>
        <v>84557</v>
      </c>
    </row>
    <row r="649" spans="1:10">
      <c r="A649" s="37" t="s">
        <v>739</v>
      </c>
      <c r="B649" s="38" t="s">
        <v>61</v>
      </c>
      <c r="C649" s="37" t="s">
        <v>77</v>
      </c>
      <c r="D649" s="37" t="s">
        <v>59</v>
      </c>
      <c r="E649" s="113">
        <v>43959</v>
      </c>
      <c r="F649" s="43">
        <f t="shared" ca="1" si="20"/>
        <v>3</v>
      </c>
      <c r="G649" s="44"/>
      <c r="H649" s="45">
        <v>123861</v>
      </c>
      <c r="I649" s="38">
        <v>5</v>
      </c>
      <c r="J649" s="41">
        <f t="shared" si="21"/>
        <v>127242</v>
      </c>
    </row>
    <row r="650" spans="1:10">
      <c r="A650" s="37" t="s">
        <v>1285</v>
      </c>
      <c r="B650" s="38" t="s">
        <v>63</v>
      </c>
      <c r="C650" s="37" t="s">
        <v>98</v>
      </c>
      <c r="D650" s="37" t="s">
        <v>71</v>
      </c>
      <c r="E650" s="113">
        <v>41373</v>
      </c>
      <c r="F650" s="43">
        <f t="shared" ca="1" si="20"/>
        <v>10</v>
      </c>
      <c r="G650" s="44" t="s">
        <v>69</v>
      </c>
      <c r="H650" s="45">
        <v>24596</v>
      </c>
      <c r="I650" s="38">
        <v>3</v>
      </c>
      <c r="J650" s="41">
        <f t="shared" si="21"/>
        <v>25267</v>
      </c>
    </row>
    <row r="651" spans="1:10">
      <c r="A651" s="37" t="s">
        <v>1141</v>
      </c>
      <c r="B651" s="38" t="s">
        <v>60</v>
      </c>
      <c r="C651" s="37" t="s">
        <v>91</v>
      </c>
      <c r="D651" s="37" t="s">
        <v>65</v>
      </c>
      <c r="E651" s="113">
        <v>42714</v>
      </c>
      <c r="F651" s="43">
        <f t="shared" ca="1" si="20"/>
        <v>6</v>
      </c>
      <c r="G651" s="44" t="s">
        <v>68</v>
      </c>
      <c r="H651" s="45">
        <v>75265</v>
      </c>
      <c r="I651" s="38">
        <v>3</v>
      </c>
      <c r="J651" s="41">
        <f t="shared" si="21"/>
        <v>77320</v>
      </c>
    </row>
    <row r="652" spans="1:10">
      <c r="A652" s="37" t="s">
        <v>954</v>
      </c>
      <c r="B652" s="38" t="s">
        <v>61</v>
      </c>
      <c r="C652" s="37" t="s">
        <v>83</v>
      </c>
      <c r="D652" s="37" t="s">
        <v>65</v>
      </c>
      <c r="E652" s="113">
        <v>39909</v>
      </c>
      <c r="F652" s="43">
        <f t="shared" ca="1" si="20"/>
        <v>14</v>
      </c>
      <c r="G652" s="44" t="s">
        <v>70</v>
      </c>
      <c r="H652" s="45">
        <v>95347</v>
      </c>
      <c r="I652" s="38">
        <v>1</v>
      </c>
      <c r="J652" s="41">
        <f t="shared" si="21"/>
        <v>97950</v>
      </c>
    </row>
    <row r="653" spans="1:10">
      <c r="A653" s="37" t="s">
        <v>955</v>
      </c>
      <c r="B653" s="38" t="s">
        <v>61</v>
      </c>
      <c r="C653" s="37" t="s">
        <v>83</v>
      </c>
      <c r="D653" s="37" t="s">
        <v>65</v>
      </c>
      <c r="E653" s="113">
        <v>42855</v>
      </c>
      <c r="F653" s="43">
        <f t="shared" ca="1" si="20"/>
        <v>6</v>
      </c>
      <c r="G653" s="44" t="s">
        <v>67</v>
      </c>
      <c r="H653" s="45">
        <v>87469</v>
      </c>
      <c r="I653" s="38">
        <v>1</v>
      </c>
      <c r="J653" s="41">
        <f t="shared" si="21"/>
        <v>89857</v>
      </c>
    </row>
    <row r="654" spans="1:10">
      <c r="A654" s="37" t="s">
        <v>804</v>
      </c>
      <c r="B654" s="38" t="s">
        <v>61</v>
      </c>
      <c r="C654" s="37" t="s">
        <v>80</v>
      </c>
      <c r="D654" s="37" t="s">
        <v>65</v>
      </c>
      <c r="E654" s="113">
        <v>44538</v>
      </c>
      <c r="F654" s="43">
        <f t="shared" ca="1" si="20"/>
        <v>1</v>
      </c>
      <c r="G654" s="44" t="s">
        <v>68</v>
      </c>
      <c r="H654" s="45">
        <v>110630</v>
      </c>
      <c r="I654" s="38">
        <v>4</v>
      </c>
      <c r="J654" s="41">
        <f t="shared" si="21"/>
        <v>113650</v>
      </c>
    </row>
    <row r="655" spans="1:10">
      <c r="A655" s="37" t="s">
        <v>740</v>
      </c>
      <c r="B655" s="38" t="s">
        <v>63</v>
      </c>
      <c r="C655" s="37" t="s">
        <v>77</v>
      </c>
      <c r="D655" s="37" t="s">
        <v>65</v>
      </c>
      <c r="E655" s="113">
        <v>43865</v>
      </c>
      <c r="F655" s="43">
        <f t="shared" ca="1" si="20"/>
        <v>3</v>
      </c>
      <c r="G655" s="44" t="s">
        <v>67</v>
      </c>
      <c r="H655" s="45">
        <v>53713</v>
      </c>
      <c r="I655" s="38">
        <v>1</v>
      </c>
      <c r="J655" s="41">
        <f t="shared" si="21"/>
        <v>55179</v>
      </c>
    </row>
    <row r="656" spans="1:10">
      <c r="A656" s="37" t="s">
        <v>1237</v>
      </c>
      <c r="B656" s="38" t="s">
        <v>61</v>
      </c>
      <c r="C656" s="37" t="s">
        <v>93</v>
      </c>
      <c r="D656" s="37" t="s">
        <v>65</v>
      </c>
      <c r="E656" s="113">
        <v>43026</v>
      </c>
      <c r="F656" s="43">
        <f t="shared" ca="1" si="20"/>
        <v>5</v>
      </c>
      <c r="G656" s="44" t="s">
        <v>66</v>
      </c>
      <c r="H656" s="45">
        <v>89840</v>
      </c>
      <c r="I656" s="38">
        <v>5</v>
      </c>
      <c r="J656" s="41">
        <f t="shared" si="21"/>
        <v>92293</v>
      </c>
    </row>
    <row r="657" spans="1:10">
      <c r="A657" s="37" t="s">
        <v>1286</v>
      </c>
      <c r="B657" s="38" t="s">
        <v>62</v>
      </c>
      <c r="C657" s="37" t="s">
        <v>98</v>
      </c>
      <c r="D657" s="37" t="s">
        <v>65</v>
      </c>
      <c r="E657" s="113">
        <v>40995</v>
      </c>
      <c r="F657" s="43">
        <f t="shared" ca="1" si="20"/>
        <v>11</v>
      </c>
      <c r="G657" s="44" t="s">
        <v>68</v>
      </c>
      <c r="H657" s="45">
        <v>42687</v>
      </c>
      <c r="I657" s="38">
        <v>4</v>
      </c>
      <c r="J657" s="41">
        <f t="shared" si="21"/>
        <v>43852</v>
      </c>
    </row>
    <row r="658" spans="1:10">
      <c r="A658" s="37" t="s">
        <v>956</v>
      </c>
      <c r="B658" s="38" t="s">
        <v>62</v>
      </c>
      <c r="C658" s="37" t="s">
        <v>83</v>
      </c>
      <c r="D658" s="37" t="s">
        <v>65</v>
      </c>
      <c r="E658" s="113">
        <v>39392</v>
      </c>
      <c r="F658" s="43">
        <f t="shared" ca="1" si="20"/>
        <v>15</v>
      </c>
      <c r="G658" s="44" t="s">
        <v>68</v>
      </c>
      <c r="H658" s="45">
        <v>108966</v>
      </c>
      <c r="I658" s="38">
        <v>1</v>
      </c>
      <c r="J658" s="41">
        <f t="shared" si="21"/>
        <v>111941</v>
      </c>
    </row>
    <row r="659" spans="1:10">
      <c r="A659" s="37" t="s">
        <v>647</v>
      </c>
      <c r="B659" s="38" t="s">
        <v>60</v>
      </c>
      <c r="C659" s="37" t="s">
        <v>73</v>
      </c>
      <c r="D659" s="37" t="s">
        <v>71</v>
      </c>
      <c r="E659" s="113">
        <v>44186</v>
      </c>
      <c r="F659" s="43">
        <f t="shared" ca="1" si="20"/>
        <v>2</v>
      </c>
      <c r="G659" s="44" t="s">
        <v>67</v>
      </c>
      <c r="H659" s="45">
        <v>37161</v>
      </c>
      <c r="I659" s="38">
        <v>4</v>
      </c>
      <c r="J659" s="41">
        <f t="shared" si="21"/>
        <v>38175</v>
      </c>
    </row>
    <row r="660" spans="1:10">
      <c r="A660" s="37" t="s">
        <v>805</v>
      </c>
      <c r="B660" s="38" t="s">
        <v>61</v>
      </c>
      <c r="C660" s="37" t="s">
        <v>80</v>
      </c>
      <c r="D660" s="37" t="s">
        <v>65</v>
      </c>
      <c r="E660" s="113">
        <v>44824</v>
      </c>
      <c r="F660" s="43">
        <f t="shared" ca="1" si="20"/>
        <v>1</v>
      </c>
      <c r="G660" s="44" t="s">
        <v>67</v>
      </c>
      <c r="H660" s="45">
        <v>94321</v>
      </c>
      <c r="I660" s="38">
        <v>1</v>
      </c>
      <c r="J660" s="41">
        <f t="shared" si="21"/>
        <v>96896</v>
      </c>
    </row>
    <row r="661" spans="1:10">
      <c r="A661" s="37" t="s">
        <v>1238</v>
      </c>
      <c r="B661" s="38" t="s">
        <v>62</v>
      </c>
      <c r="C661" s="37" t="s">
        <v>93</v>
      </c>
      <c r="D661" s="37" t="s">
        <v>65</v>
      </c>
      <c r="E661" s="113">
        <v>39671</v>
      </c>
      <c r="F661" s="43">
        <f t="shared" ca="1" si="20"/>
        <v>15</v>
      </c>
      <c r="G661" s="44" t="s">
        <v>70</v>
      </c>
      <c r="H661" s="45">
        <v>67138</v>
      </c>
      <c r="I661" s="38">
        <v>5</v>
      </c>
      <c r="J661" s="41">
        <f t="shared" si="21"/>
        <v>68971</v>
      </c>
    </row>
    <row r="662" spans="1:10">
      <c r="A662" s="37" t="s">
        <v>741</v>
      </c>
      <c r="B662" s="38" t="s">
        <v>57</v>
      </c>
      <c r="C662" s="37" t="s">
        <v>77</v>
      </c>
      <c r="D662" s="37" t="s">
        <v>71</v>
      </c>
      <c r="E662" s="113">
        <v>43393</v>
      </c>
      <c r="F662" s="43">
        <f t="shared" ca="1" si="20"/>
        <v>4</v>
      </c>
      <c r="G662" s="44" t="s">
        <v>69</v>
      </c>
      <c r="H662" s="45">
        <v>31253</v>
      </c>
      <c r="I662" s="38">
        <v>3</v>
      </c>
      <c r="J662" s="41">
        <f t="shared" si="21"/>
        <v>32106</v>
      </c>
    </row>
    <row r="663" spans="1:10">
      <c r="A663" s="37" t="s">
        <v>679</v>
      </c>
      <c r="B663" s="38" t="s">
        <v>60</v>
      </c>
      <c r="C663" s="37" t="s">
        <v>75</v>
      </c>
      <c r="D663" s="37" t="s">
        <v>65</v>
      </c>
      <c r="E663" s="113">
        <v>40484</v>
      </c>
      <c r="F663" s="43">
        <f t="shared" ca="1" si="20"/>
        <v>12</v>
      </c>
      <c r="G663" s="44" t="s">
        <v>70</v>
      </c>
      <c r="H663" s="45">
        <v>46654</v>
      </c>
      <c r="I663" s="38">
        <v>3</v>
      </c>
      <c r="J663" s="41">
        <f t="shared" si="21"/>
        <v>47928</v>
      </c>
    </row>
    <row r="664" spans="1:10">
      <c r="A664" s="37" t="s">
        <v>1287</v>
      </c>
      <c r="B664" s="38" t="s">
        <v>57</v>
      </c>
      <c r="C664" s="37" t="s">
        <v>98</v>
      </c>
      <c r="D664" s="37" t="s">
        <v>65</v>
      </c>
      <c r="E664" s="113">
        <v>42660</v>
      </c>
      <c r="F664" s="43">
        <f t="shared" ca="1" si="20"/>
        <v>6</v>
      </c>
      <c r="G664" s="44" t="s">
        <v>66</v>
      </c>
      <c r="H664" s="45">
        <v>52243</v>
      </c>
      <c r="I664" s="38">
        <v>3</v>
      </c>
      <c r="J664" s="41">
        <f t="shared" si="21"/>
        <v>53669</v>
      </c>
    </row>
    <row r="665" spans="1:10">
      <c r="A665" s="37" t="s">
        <v>1142</v>
      </c>
      <c r="B665" s="38" t="s">
        <v>64</v>
      </c>
      <c r="C665" s="37" t="s">
        <v>91</v>
      </c>
      <c r="D665" s="37" t="s">
        <v>65</v>
      </c>
      <c r="E665" s="113">
        <v>42593</v>
      </c>
      <c r="F665" s="43">
        <f t="shared" ca="1" si="20"/>
        <v>7</v>
      </c>
      <c r="G665" s="44" t="s">
        <v>70</v>
      </c>
      <c r="H665" s="45">
        <v>44546</v>
      </c>
      <c r="I665" s="38">
        <v>1</v>
      </c>
      <c r="J665" s="41">
        <f t="shared" si="21"/>
        <v>45762</v>
      </c>
    </row>
    <row r="666" spans="1:10">
      <c r="A666" s="37" t="s">
        <v>1057</v>
      </c>
      <c r="B666" s="38" t="s">
        <v>62</v>
      </c>
      <c r="C666" s="37" t="s">
        <v>88</v>
      </c>
      <c r="D666" s="37" t="s">
        <v>59</v>
      </c>
      <c r="E666" s="113">
        <v>43645</v>
      </c>
      <c r="F666" s="43">
        <f t="shared" ca="1" si="20"/>
        <v>4</v>
      </c>
      <c r="G666" s="44"/>
      <c r="H666" s="45">
        <v>78940</v>
      </c>
      <c r="I666" s="38">
        <v>4</v>
      </c>
      <c r="J666" s="41">
        <f t="shared" si="21"/>
        <v>81095</v>
      </c>
    </row>
    <row r="667" spans="1:10">
      <c r="A667" s="37" t="s">
        <v>817</v>
      </c>
      <c r="B667" s="38" t="s">
        <v>63</v>
      </c>
      <c r="C667" s="37" t="s">
        <v>82</v>
      </c>
      <c r="D667" s="37" t="s">
        <v>71</v>
      </c>
      <c r="E667" s="113">
        <v>43106</v>
      </c>
      <c r="F667" s="43">
        <f t="shared" ca="1" si="20"/>
        <v>5</v>
      </c>
      <c r="G667" s="44" t="s">
        <v>66</v>
      </c>
      <c r="H667" s="45">
        <v>124512</v>
      </c>
      <c r="I667" s="38">
        <v>4</v>
      </c>
      <c r="J667" s="41">
        <f t="shared" si="21"/>
        <v>127911</v>
      </c>
    </row>
    <row r="668" spans="1:10">
      <c r="A668" s="37" t="s">
        <v>1021</v>
      </c>
      <c r="B668" s="38" t="s">
        <v>64</v>
      </c>
      <c r="C668" s="37" t="s">
        <v>87</v>
      </c>
      <c r="D668" s="37" t="s">
        <v>65</v>
      </c>
      <c r="E668" s="113">
        <v>44143</v>
      </c>
      <c r="F668" s="43">
        <f t="shared" ca="1" si="20"/>
        <v>2</v>
      </c>
      <c r="G668" s="44" t="s">
        <v>68</v>
      </c>
      <c r="H668" s="45">
        <v>87011</v>
      </c>
      <c r="I668" s="38">
        <v>4</v>
      </c>
      <c r="J668" s="41">
        <f t="shared" si="21"/>
        <v>89386</v>
      </c>
    </row>
    <row r="669" spans="1:10">
      <c r="A669" s="37" t="s">
        <v>957</v>
      </c>
      <c r="B669" s="38" t="s">
        <v>61</v>
      </c>
      <c r="C669" s="37" t="s">
        <v>83</v>
      </c>
      <c r="D669" s="37" t="s">
        <v>59</v>
      </c>
      <c r="E669" s="113">
        <v>44040</v>
      </c>
      <c r="F669" s="43">
        <f t="shared" ca="1" si="20"/>
        <v>3</v>
      </c>
      <c r="G669" s="44"/>
      <c r="H669" s="45">
        <v>123208</v>
      </c>
      <c r="I669" s="38">
        <v>5</v>
      </c>
      <c r="J669" s="41">
        <f t="shared" si="21"/>
        <v>126572</v>
      </c>
    </row>
    <row r="670" spans="1:10">
      <c r="A670" s="37" t="s">
        <v>1022</v>
      </c>
      <c r="B670" s="38" t="s">
        <v>64</v>
      </c>
      <c r="C670" s="37" t="s">
        <v>87</v>
      </c>
      <c r="D670" s="37" t="s">
        <v>71</v>
      </c>
      <c r="E670" s="113">
        <v>40732</v>
      </c>
      <c r="F670" s="43">
        <f t="shared" ca="1" si="20"/>
        <v>12</v>
      </c>
      <c r="G670" s="44" t="s">
        <v>69</v>
      </c>
      <c r="H670" s="45">
        <v>22065</v>
      </c>
      <c r="I670" s="38">
        <v>3</v>
      </c>
      <c r="J670" s="41">
        <f t="shared" si="21"/>
        <v>22667</v>
      </c>
    </row>
    <row r="671" spans="1:10">
      <c r="A671" s="37" t="s">
        <v>1143</v>
      </c>
      <c r="B671" s="38" t="s">
        <v>60</v>
      </c>
      <c r="C671" s="37" t="s">
        <v>91</v>
      </c>
      <c r="D671" s="37" t="s">
        <v>72</v>
      </c>
      <c r="E671" s="113">
        <v>39460</v>
      </c>
      <c r="F671" s="43">
        <f t="shared" ca="1" si="20"/>
        <v>15</v>
      </c>
      <c r="G671" s="44"/>
      <c r="H671" s="45">
        <v>24841</v>
      </c>
      <c r="I671" s="38">
        <v>5</v>
      </c>
      <c r="J671" s="41">
        <f t="shared" si="21"/>
        <v>25519</v>
      </c>
    </row>
    <row r="672" spans="1:10">
      <c r="A672" s="37" t="s">
        <v>1144</v>
      </c>
      <c r="B672" s="38" t="s">
        <v>60</v>
      </c>
      <c r="C672" s="37" t="s">
        <v>91</v>
      </c>
      <c r="D672" s="37" t="s">
        <v>65</v>
      </c>
      <c r="E672" s="113">
        <v>42744</v>
      </c>
      <c r="F672" s="43">
        <f t="shared" ca="1" si="20"/>
        <v>6</v>
      </c>
      <c r="G672" s="44" t="s">
        <v>70</v>
      </c>
      <c r="H672" s="45">
        <v>60467</v>
      </c>
      <c r="I672" s="38">
        <v>5</v>
      </c>
      <c r="J672" s="41">
        <f t="shared" si="21"/>
        <v>62118</v>
      </c>
    </row>
    <row r="673" spans="1:10">
      <c r="A673" s="37" t="s">
        <v>806</v>
      </c>
      <c r="B673" s="38" t="s">
        <v>62</v>
      </c>
      <c r="C673" s="37" t="s">
        <v>80</v>
      </c>
      <c r="D673" s="37" t="s">
        <v>59</v>
      </c>
      <c r="E673" s="113">
        <v>44059</v>
      </c>
      <c r="F673" s="43">
        <f t="shared" ca="1" si="20"/>
        <v>3</v>
      </c>
      <c r="G673" s="44"/>
      <c r="H673" s="45">
        <v>54698</v>
      </c>
      <c r="I673" s="38">
        <v>4</v>
      </c>
      <c r="J673" s="41">
        <f t="shared" si="21"/>
        <v>56191</v>
      </c>
    </row>
    <row r="674" spans="1:10">
      <c r="A674" s="37" t="s">
        <v>1023</v>
      </c>
      <c r="B674" s="38" t="s">
        <v>62</v>
      </c>
      <c r="C674" s="37" t="s">
        <v>87</v>
      </c>
      <c r="D674" s="37" t="s">
        <v>59</v>
      </c>
      <c r="E674" s="113">
        <v>43183</v>
      </c>
      <c r="F674" s="43">
        <f t="shared" ca="1" si="20"/>
        <v>5</v>
      </c>
      <c r="G674" s="44"/>
      <c r="H674" s="45">
        <v>79772</v>
      </c>
      <c r="I674" s="38">
        <v>3</v>
      </c>
      <c r="J674" s="41">
        <f t="shared" si="21"/>
        <v>81950</v>
      </c>
    </row>
    <row r="675" spans="1:10">
      <c r="A675" s="37" t="s">
        <v>742</v>
      </c>
      <c r="B675" s="38" t="s">
        <v>64</v>
      </c>
      <c r="C675" s="37" t="s">
        <v>77</v>
      </c>
      <c r="D675" s="37" t="s">
        <v>59</v>
      </c>
      <c r="E675" s="113">
        <v>43513</v>
      </c>
      <c r="F675" s="43">
        <f t="shared" ca="1" si="20"/>
        <v>4</v>
      </c>
      <c r="G675" s="44"/>
      <c r="H675" s="45">
        <v>35768</v>
      </c>
      <c r="I675" s="38">
        <v>3</v>
      </c>
      <c r="J675" s="41">
        <f t="shared" si="21"/>
        <v>36744</v>
      </c>
    </row>
    <row r="676" spans="1:10">
      <c r="A676" s="37" t="s">
        <v>631</v>
      </c>
      <c r="B676" s="38" t="s">
        <v>63</v>
      </c>
      <c r="C676" s="37" t="s">
        <v>58</v>
      </c>
      <c r="D676" s="37" t="s">
        <v>65</v>
      </c>
      <c r="E676" s="113">
        <v>39984</v>
      </c>
      <c r="F676" s="43">
        <f t="shared" ca="1" si="20"/>
        <v>14</v>
      </c>
      <c r="G676" s="44" t="s">
        <v>70</v>
      </c>
      <c r="H676" s="45">
        <v>91408</v>
      </c>
      <c r="I676" s="38">
        <v>5</v>
      </c>
      <c r="J676" s="41">
        <f t="shared" si="21"/>
        <v>93903</v>
      </c>
    </row>
    <row r="677" spans="1:10">
      <c r="A677" s="37" t="s">
        <v>632</v>
      </c>
      <c r="B677" s="38" t="s">
        <v>63</v>
      </c>
      <c r="C677" s="37" t="s">
        <v>58</v>
      </c>
      <c r="D677" s="37" t="s">
        <v>59</v>
      </c>
      <c r="E677" s="113">
        <v>40995</v>
      </c>
      <c r="F677" s="43">
        <f t="shared" ca="1" si="20"/>
        <v>11</v>
      </c>
      <c r="G677" s="44"/>
      <c r="H677" s="45">
        <v>83309</v>
      </c>
      <c r="I677" s="38">
        <v>3</v>
      </c>
      <c r="J677" s="41">
        <f t="shared" si="21"/>
        <v>85583</v>
      </c>
    </row>
    <row r="678" spans="1:10">
      <c r="A678" s="37" t="s">
        <v>1274</v>
      </c>
      <c r="B678" s="38" t="s">
        <v>63</v>
      </c>
      <c r="C678" s="37" t="s">
        <v>97</v>
      </c>
      <c r="D678" s="37" t="s">
        <v>65</v>
      </c>
      <c r="E678" s="113">
        <v>40489</v>
      </c>
      <c r="F678" s="43">
        <f t="shared" ca="1" si="20"/>
        <v>12</v>
      </c>
      <c r="G678" s="44" t="s">
        <v>68</v>
      </c>
      <c r="H678" s="45">
        <v>99604</v>
      </c>
      <c r="I678" s="38">
        <v>2</v>
      </c>
      <c r="J678" s="41">
        <f t="shared" si="21"/>
        <v>102323</v>
      </c>
    </row>
    <row r="679" spans="1:10">
      <c r="A679" s="37" t="s">
        <v>1058</v>
      </c>
      <c r="B679" s="38" t="s">
        <v>61</v>
      </c>
      <c r="C679" s="37" t="s">
        <v>88</v>
      </c>
      <c r="D679" s="37" t="s">
        <v>65</v>
      </c>
      <c r="E679" s="113">
        <v>42790</v>
      </c>
      <c r="F679" s="43">
        <f t="shared" ca="1" si="20"/>
        <v>6</v>
      </c>
      <c r="G679" s="44" t="s">
        <v>68</v>
      </c>
      <c r="H679" s="45">
        <v>44157</v>
      </c>
      <c r="I679" s="38">
        <v>1</v>
      </c>
      <c r="J679" s="41">
        <f t="shared" si="21"/>
        <v>45362</v>
      </c>
    </row>
    <row r="680" spans="1:10">
      <c r="A680" s="37" t="s">
        <v>1145</v>
      </c>
      <c r="B680" s="38" t="s">
        <v>61</v>
      </c>
      <c r="C680" s="37" t="s">
        <v>91</v>
      </c>
      <c r="D680" s="37" t="s">
        <v>65</v>
      </c>
      <c r="E680" s="113">
        <v>42493</v>
      </c>
      <c r="F680" s="43">
        <f t="shared" ca="1" si="20"/>
        <v>7</v>
      </c>
      <c r="G680" s="44" t="s">
        <v>68</v>
      </c>
      <c r="H680" s="45">
        <v>102017</v>
      </c>
      <c r="I680" s="38">
        <v>3</v>
      </c>
      <c r="J680" s="41">
        <f t="shared" si="21"/>
        <v>104802</v>
      </c>
    </row>
    <row r="681" spans="1:10">
      <c r="A681" s="37" t="s">
        <v>958</v>
      </c>
      <c r="B681" s="38" t="s">
        <v>60</v>
      </c>
      <c r="C681" s="37" t="s">
        <v>83</v>
      </c>
      <c r="D681" s="37" t="s">
        <v>65</v>
      </c>
      <c r="E681" s="113">
        <v>41737</v>
      </c>
      <c r="F681" s="43">
        <f t="shared" ca="1" si="20"/>
        <v>9</v>
      </c>
      <c r="G681" s="44" t="s">
        <v>68</v>
      </c>
      <c r="H681" s="45">
        <v>65654</v>
      </c>
      <c r="I681" s="38">
        <v>2</v>
      </c>
      <c r="J681" s="41">
        <f t="shared" si="21"/>
        <v>67446</v>
      </c>
    </row>
    <row r="682" spans="1:10">
      <c r="A682" s="37" t="s">
        <v>1146</v>
      </c>
      <c r="B682" s="38" t="s">
        <v>61</v>
      </c>
      <c r="C682" s="37" t="s">
        <v>91</v>
      </c>
      <c r="D682" s="37" t="s">
        <v>65</v>
      </c>
      <c r="E682" s="113">
        <v>44112</v>
      </c>
      <c r="F682" s="43">
        <f t="shared" ca="1" si="20"/>
        <v>2</v>
      </c>
      <c r="G682" s="44" t="s">
        <v>70</v>
      </c>
      <c r="H682" s="45">
        <v>47611</v>
      </c>
      <c r="I682" s="38">
        <v>3</v>
      </c>
      <c r="J682" s="41">
        <f t="shared" si="21"/>
        <v>48911</v>
      </c>
    </row>
    <row r="683" spans="1:10">
      <c r="A683" s="37" t="s">
        <v>633</v>
      </c>
      <c r="B683" s="38" t="s">
        <v>64</v>
      </c>
      <c r="C683" s="37" t="s">
        <v>58</v>
      </c>
      <c r="D683" s="37" t="s">
        <v>65</v>
      </c>
      <c r="E683" s="113">
        <v>43398</v>
      </c>
      <c r="F683" s="43">
        <f t="shared" ca="1" si="20"/>
        <v>4</v>
      </c>
      <c r="G683" s="44" t="s">
        <v>67</v>
      </c>
      <c r="H683" s="45">
        <v>123180</v>
      </c>
      <c r="I683" s="38">
        <v>2</v>
      </c>
      <c r="J683" s="41">
        <f t="shared" si="21"/>
        <v>126543</v>
      </c>
    </row>
    <row r="684" spans="1:10">
      <c r="A684" s="37" t="s">
        <v>959</v>
      </c>
      <c r="B684" s="38" t="s">
        <v>61</v>
      </c>
      <c r="C684" s="37" t="s">
        <v>83</v>
      </c>
      <c r="D684" s="37" t="s">
        <v>65</v>
      </c>
      <c r="E684" s="113">
        <v>43063</v>
      </c>
      <c r="F684" s="43">
        <f t="shared" ca="1" si="20"/>
        <v>5</v>
      </c>
      <c r="G684" s="44" t="s">
        <v>68</v>
      </c>
      <c r="H684" s="45">
        <v>121710</v>
      </c>
      <c r="I684" s="38">
        <v>1</v>
      </c>
      <c r="J684" s="41">
        <f t="shared" si="21"/>
        <v>125033</v>
      </c>
    </row>
    <row r="685" spans="1:10">
      <c r="A685" s="37" t="s">
        <v>757</v>
      </c>
      <c r="B685" s="38" t="s">
        <v>64</v>
      </c>
      <c r="C685" s="37" t="s">
        <v>78</v>
      </c>
      <c r="D685" s="37" t="s">
        <v>65</v>
      </c>
      <c r="E685" s="113">
        <v>42979</v>
      </c>
      <c r="F685" s="43">
        <f t="shared" ca="1" si="20"/>
        <v>6</v>
      </c>
      <c r="G685" s="44" t="s">
        <v>68</v>
      </c>
      <c r="H685" s="45">
        <v>98633</v>
      </c>
      <c r="I685" s="38">
        <v>4</v>
      </c>
      <c r="J685" s="41">
        <f t="shared" si="21"/>
        <v>101326</v>
      </c>
    </row>
    <row r="686" spans="1:10">
      <c r="A686" s="37" t="s">
        <v>1059</v>
      </c>
      <c r="B686" s="38" t="s">
        <v>63</v>
      </c>
      <c r="C686" s="37" t="s">
        <v>88</v>
      </c>
      <c r="D686" s="37" t="s">
        <v>65</v>
      </c>
      <c r="E686" s="113">
        <v>42917</v>
      </c>
      <c r="F686" s="43">
        <f t="shared" ca="1" si="20"/>
        <v>6</v>
      </c>
      <c r="G686" s="44" t="s">
        <v>68</v>
      </c>
      <c r="H686" s="45">
        <v>101102</v>
      </c>
      <c r="I686" s="38">
        <v>3</v>
      </c>
      <c r="J686" s="41">
        <f t="shared" si="21"/>
        <v>103862</v>
      </c>
    </row>
    <row r="687" spans="1:10">
      <c r="A687" s="37" t="s">
        <v>960</v>
      </c>
      <c r="B687" s="38" t="s">
        <v>57</v>
      </c>
      <c r="C687" s="37" t="s">
        <v>83</v>
      </c>
      <c r="D687" s="37" t="s">
        <v>65</v>
      </c>
      <c r="E687" s="113">
        <v>39421</v>
      </c>
      <c r="F687" s="43">
        <f t="shared" ca="1" si="20"/>
        <v>15</v>
      </c>
      <c r="G687" s="44" t="s">
        <v>66</v>
      </c>
      <c r="H687" s="45">
        <v>49178</v>
      </c>
      <c r="I687" s="38">
        <v>5</v>
      </c>
      <c r="J687" s="41">
        <f t="shared" si="21"/>
        <v>50521</v>
      </c>
    </row>
    <row r="688" spans="1:10">
      <c r="A688" s="37" t="s">
        <v>766</v>
      </c>
      <c r="B688" s="38" t="s">
        <v>63</v>
      </c>
      <c r="C688" s="37" t="s">
        <v>79</v>
      </c>
      <c r="D688" s="37" t="s">
        <v>59</v>
      </c>
      <c r="E688" s="113">
        <v>42445</v>
      </c>
      <c r="F688" s="43">
        <f t="shared" ca="1" si="20"/>
        <v>7</v>
      </c>
      <c r="G688" s="44"/>
      <c r="H688" s="45">
        <v>62159</v>
      </c>
      <c r="I688" s="38">
        <v>4</v>
      </c>
      <c r="J688" s="41">
        <f t="shared" si="21"/>
        <v>63856</v>
      </c>
    </row>
    <row r="689" spans="1:10">
      <c r="A689" s="37" t="s">
        <v>743</v>
      </c>
      <c r="B689" s="38" t="s">
        <v>57</v>
      </c>
      <c r="C689" s="37" t="s">
        <v>77</v>
      </c>
      <c r="D689" s="37" t="s">
        <v>59</v>
      </c>
      <c r="E689" s="113">
        <v>39531</v>
      </c>
      <c r="F689" s="43">
        <f t="shared" ca="1" si="20"/>
        <v>15</v>
      </c>
      <c r="G689" s="44"/>
      <c r="H689" s="45">
        <v>122043</v>
      </c>
      <c r="I689" s="38">
        <v>5</v>
      </c>
      <c r="J689" s="41">
        <f t="shared" si="21"/>
        <v>125375</v>
      </c>
    </row>
    <row r="690" spans="1:10">
      <c r="A690" s="37" t="s">
        <v>634</v>
      </c>
      <c r="B690" s="38" t="s">
        <v>60</v>
      </c>
      <c r="C690" s="37" t="s">
        <v>58</v>
      </c>
      <c r="D690" s="37" t="s">
        <v>59</v>
      </c>
      <c r="E690" s="113">
        <v>43333</v>
      </c>
      <c r="F690" s="43">
        <f t="shared" ca="1" si="20"/>
        <v>5</v>
      </c>
      <c r="G690" s="44"/>
      <c r="H690" s="45">
        <v>31925</v>
      </c>
      <c r="I690" s="38">
        <v>4</v>
      </c>
      <c r="J690" s="41">
        <f t="shared" si="21"/>
        <v>32797</v>
      </c>
    </row>
    <row r="691" spans="1:10">
      <c r="A691" s="37" t="s">
        <v>807</v>
      </c>
      <c r="B691" s="38" t="s">
        <v>61</v>
      </c>
      <c r="C691" s="37" t="s">
        <v>80</v>
      </c>
      <c r="D691" s="37" t="s">
        <v>59</v>
      </c>
      <c r="E691" s="113">
        <v>44707</v>
      </c>
      <c r="F691" s="43">
        <f t="shared" ca="1" si="20"/>
        <v>1</v>
      </c>
      <c r="G691" s="44"/>
      <c r="H691" s="45">
        <v>45281</v>
      </c>
      <c r="I691" s="38">
        <v>1</v>
      </c>
      <c r="J691" s="41">
        <f t="shared" si="21"/>
        <v>46517</v>
      </c>
    </row>
    <row r="692" spans="1:10">
      <c r="A692" s="37" t="s">
        <v>1147</v>
      </c>
      <c r="B692" s="38" t="s">
        <v>63</v>
      </c>
      <c r="C692" s="37" t="s">
        <v>91</v>
      </c>
      <c r="D692" s="37" t="s">
        <v>65</v>
      </c>
      <c r="E692" s="113">
        <v>44748</v>
      </c>
      <c r="F692" s="43">
        <f t="shared" ca="1" si="20"/>
        <v>1</v>
      </c>
      <c r="G692" s="44" t="s">
        <v>69</v>
      </c>
      <c r="H692" s="45">
        <v>119602</v>
      </c>
      <c r="I692" s="38">
        <v>1</v>
      </c>
      <c r="J692" s="41">
        <f t="shared" si="21"/>
        <v>122867</v>
      </c>
    </row>
    <row r="693" spans="1:10">
      <c r="A693" s="37" t="s">
        <v>635</v>
      </c>
      <c r="B693" s="38" t="s">
        <v>60</v>
      </c>
      <c r="C693" s="37" t="s">
        <v>58</v>
      </c>
      <c r="D693" s="37" t="s">
        <v>71</v>
      </c>
      <c r="E693" s="113">
        <v>44012</v>
      </c>
      <c r="F693" s="43">
        <f t="shared" ca="1" si="20"/>
        <v>3</v>
      </c>
      <c r="G693" s="44" t="s">
        <v>67</v>
      </c>
      <c r="H693" s="45">
        <v>68448</v>
      </c>
      <c r="I693" s="38">
        <v>5</v>
      </c>
      <c r="J693" s="41">
        <f t="shared" si="21"/>
        <v>70317</v>
      </c>
    </row>
    <row r="694" spans="1:10">
      <c r="A694" s="37" t="s">
        <v>680</v>
      </c>
      <c r="B694" s="38" t="s">
        <v>61</v>
      </c>
      <c r="C694" s="37" t="s">
        <v>75</v>
      </c>
      <c r="D694" s="37" t="s">
        <v>65</v>
      </c>
      <c r="E694" s="113">
        <v>43005</v>
      </c>
      <c r="F694" s="43">
        <f t="shared" ca="1" si="20"/>
        <v>5</v>
      </c>
      <c r="G694" s="44" t="s">
        <v>68</v>
      </c>
      <c r="H694" s="45">
        <v>101851</v>
      </c>
      <c r="I694" s="38">
        <v>1</v>
      </c>
      <c r="J694" s="41">
        <f t="shared" si="21"/>
        <v>104632</v>
      </c>
    </row>
    <row r="695" spans="1:10">
      <c r="A695" s="37" t="s">
        <v>636</v>
      </c>
      <c r="B695" s="38" t="s">
        <v>63</v>
      </c>
      <c r="C695" s="37" t="s">
        <v>58</v>
      </c>
      <c r="D695" s="37" t="s">
        <v>65</v>
      </c>
      <c r="E695" s="113">
        <v>43264</v>
      </c>
      <c r="F695" s="43">
        <f t="shared" ca="1" si="20"/>
        <v>5</v>
      </c>
      <c r="G695" s="44" t="s">
        <v>68</v>
      </c>
      <c r="H695" s="45">
        <v>66680</v>
      </c>
      <c r="I695" s="38">
        <v>2</v>
      </c>
      <c r="J695" s="41">
        <f t="shared" si="21"/>
        <v>68500</v>
      </c>
    </row>
    <row r="696" spans="1:10">
      <c r="A696" s="37" t="s">
        <v>94</v>
      </c>
      <c r="B696" s="38" t="s">
        <v>61</v>
      </c>
      <c r="C696" s="37" t="s">
        <v>93</v>
      </c>
      <c r="D696" s="37" t="s">
        <v>65</v>
      </c>
      <c r="E696" s="113">
        <v>42505</v>
      </c>
      <c r="F696" s="43">
        <f t="shared" ca="1" si="20"/>
        <v>7</v>
      </c>
      <c r="G696" s="44" t="s">
        <v>70</v>
      </c>
      <c r="H696" s="45">
        <v>57388</v>
      </c>
      <c r="I696" s="38">
        <v>2</v>
      </c>
      <c r="J696" s="41">
        <f t="shared" si="21"/>
        <v>58955</v>
      </c>
    </row>
    <row r="697" spans="1:10">
      <c r="A697" s="37" t="s">
        <v>1148</v>
      </c>
      <c r="B697" s="38" t="s">
        <v>62</v>
      </c>
      <c r="C697" s="37" t="s">
        <v>91</v>
      </c>
      <c r="D697" s="37" t="s">
        <v>59</v>
      </c>
      <c r="E697" s="113">
        <v>40673</v>
      </c>
      <c r="F697" s="43">
        <f t="shared" ca="1" si="20"/>
        <v>12</v>
      </c>
      <c r="G697" s="44"/>
      <c r="H697" s="45">
        <v>64877</v>
      </c>
      <c r="I697" s="38">
        <v>2</v>
      </c>
      <c r="J697" s="41">
        <f t="shared" si="21"/>
        <v>66648</v>
      </c>
    </row>
    <row r="698" spans="1:10">
      <c r="A698" s="37" t="s">
        <v>744</v>
      </c>
      <c r="B698" s="38" t="s">
        <v>62</v>
      </c>
      <c r="C698" s="37" t="s">
        <v>77</v>
      </c>
      <c r="D698" s="37" t="s">
        <v>65</v>
      </c>
      <c r="E698" s="113">
        <v>44166</v>
      </c>
      <c r="F698" s="43">
        <f t="shared" ca="1" si="20"/>
        <v>2</v>
      </c>
      <c r="G698" s="44" t="s">
        <v>69</v>
      </c>
      <c r="H698" s="45">
        <v>103612</v>
      </c>
      <c r="I698" s="38">
        <v>2</v>
      </c>
      <c r="J698" s="41">
        <f t="shared" si="21"/>
        <v>106441</v>
      </c>
    </row>
    <row r="699" spans="1:10">
      <c r="A699" s="37" t="s">
        <v>961</v>
      </c>
      <c r="B699" s="38" t="s">
        <v>61</v>
      </c>
      <c r="C699" s="37" t="s">
        <v>83</v>
      </c>
      <c r="D699" s="37" t="s">
        <v>65</v>
      </c>
      <c r="E699" s="113">
        <v>42581</v>
      </c>
      <c r="F699" s="43">
        <f t="shared" ca="1" si="20"/>
        <v>7</v>
      </c>
      <c r="G699" s="44" t="s">
        <v>67</v>
      </c>
      <c r="H699" s="45">
        <v>92129</v>
      </c>
      <c r="I699" s="38">
        <v>2</v>
      </c>
      <c r="J699" s="41">
        <f t="shared" si="21"/>
        <v>94644</v>
      </c>
    </row>
    <row r="700" spans="1:10">
      <c r="A700" s="37" t="s">
        <v>1024</v>
      </c>
      <c r="B700" s="38" t="s">
        <v>61</v>
      </c>
      <c r="C700" s="37" t="s">
        <v>87</v>
      </c>
      <c r="D700" s="37" t="s">
        <v>71</v>
      </c>
      <c r="E700" s="113">
        <v>39685</v>
      </c>
      <c r="F700" s="43">
        <f t="shared" ca="1" si="20"/>
        <v>15</v>
      </c>
      <c r="G700" s="44" t="s">
        <v>68</v>
      </c>
      <c r="H700" s="45">
        <v>66410</v>
      </c>
      <c r="I700" s="38">
        <v>1</v>
      </c>
      <c r="J700" s="41">
        <f t="shared" si="21"/>
        <v>68223</v>
      </c>
    </row>
    <row r="701" spans="1:10">
      <c r="A701" s="37" t="s">
        <v>637</v>
      </c>
      <c r="B701" s="38" t="s">
        <v>57</v>
      </c>
      <c r="C701" s="37" t="s">
        <v>58</v>
      </c>
      <c r="D701" s="37" t="s">
        <v>65</v>
      </c>
      <c r="E701" s="113">
        <v>43110</v>
      </c>
      <c r="F701" s="43">
        <f t="shared" ca="1" si="20"/>
        <v>5</v>
      </c>
      <c r="G701" s="44" t="s">
        <v>69</v>
      </c>
      <c r="H701" s="45">
        <v>85056</v>
      </c>
      <c r="I701" s="38">
        <v>2</v>
      </c>
      <c r="J701" s="41">
        <f t="shared" si="21"/>
        <v>87378</v>
      </c>
    </row>
    <row r="702" spans="1:10">
      <c r="A702" s="37" t="s">
        <v>962</v>
      </c>
      <c r="B702" s="38" t="s">
        <v>60</v>
      </c>
      <c r="C702" s="37" t="s">
        <v>83</v>
      </c>
      <c r="D702" s="37" t="s">
        <v>65</v>
      </c>
      <c r="E702" s="113">
        <v>42994</v>
      </c>
      <c r="F702" s="43">
        <f t="shared" ca="1" si="20"/>
        <v>6</v>
      </c>
      <c r="G702" s="44" t="s">
        <v>67</v>
      </c>
      <c r="H702" s="45">
        <v>54004</v>
      </c>
      <c r="I702" s="38">
        <v>2</v>
      </c>
      <c r="J702" s="41">
        <f t="shared" si="21"/>
        <v>55478</v>
      </c>
    </row>
    <row r="703" spans="1:10">
      <c r="A703" s="37" t="s">
        <v>1076</v>
      </c>
      <c r="B703" s="38" t="s">
        <v>60</v>
      </c>
      <c r="C703" s="37" t="s">
        <v>90</v>
      </c>
      <c r="D703" s="37" t="s">
        <v>71</v>
      </c>
      <c r="E703" s="113">
        <v>43326</v>
      </c>
      <c r="F703" s="43">
        <f t="shared" ca="1" si="20"/>
        <v>5</v>
      </c>
      <c r="G703" s="44" t="s">
        <v>67</v>
      </c>
      <c r="H703" s="45">
        <v>54947</v>
      </c>
      <c r="I703" s="38">
        <v>5</v>
      </c>
      <c r="J703" s="41">
        <f t="shared" si="21"/>
        <v>56447</v>
      </c>
    </row>
    <row r="704" spans="1:10">
      <c r="A704" s="37" t="s">
        <v>963</v>
      </c>
      <c r="B704" s="38" t="s">
        <v>61</v>
      </c>
      <c r="C704" s="37" t="s">
        <v>83</v>
      </c>
      <c r="D704" s="37" t="s">
        <v>65</v>
      </c>
      <c r="E704" s="113">
        <v>41457</v>
      </c>
      <c r="F704" s="43">
        <f t="shared" ca="1" si="20"/>
        <v>10</v>
      </c>
      <c r="G704" s="44" t="s">
        <v>67</v>
      </c>
      <c r="H704" s="45">
        <v>75210</v>
      </c>
      <c r="I704" s="38">
        <v>5</v>
      </c>
      <c r="J704" s="41">
        <f t="shared" si="21"/>
        <v>77263</v>
      </c>
    </row>
    <row r="705" spans="1:10">
      <c r="A705" s="37" t="s">
        <v>1077</v>
      </c>
      <c r="B705" s="38" t="s">
        <v>63</v>
      </c>
      <c r="C705" s="37" t="s">
        <v>90</v>
      </c>
      <c r="D705" s="37" t="s">
        <v>65</v>
      </c>
      <c r="E705" s="113">
        <v>44356</v>
      </c>
      <c r="F705" s="43">
        <f t="shared" ca="1" si="20"/>
        <v>2</v>
      </c>
      <c r="G705" s="44" t="s">
        <v>70</v>
      </c>
      <c r="H705" s="45">
        <v>107786</v>
      </c>
      <c r="I705" s="38">
        <v>3</v>
      </c>
      <c r="J705" s="41">
        <f t="shared" si="21"/>
        <v>110729</v>
      </c>
    </row>
    <row r="706" spans="1:10">
      <c r="A706" s="37" t="s">
        <v>648</v>
      </c>
      <c r="B706" s="38" t="s">
        <v>57</v>
      </c>
      <c r="C706" s="37" t="s">
        <v>73</v>
      </c>
      <c r="D706" s="37" t="s">
        <v>65</v>
      </c>
      <c r="E706" s="113">
        <v>43038</v>
      </c>
      <c r="F706" s="43">
        <f t="shared" ref="F706:F742" ca="1" si="22">DATEDIF(E706,TODAY(),"Y")</f>
        <v>5</v>
      </c>
      <c r="G706" s="44" t="s">
        <v>66</v>
      </c>
      <c r="H706" s="45">
        <v>101005</v>
      </c>
      <c r="I706" s="38">
        <v>2</v>
      </c>
      <c r="J706" s="41">
        <f t="shared" ref="J706:J742" si="23">ROUND(H706*$L$1+H706,0)</f>
        <v>103762</v>
      </c>
    </row>
    <row r="707" spans="1:10">
      <c r="A707" s="37" t="s">
        <v>1239</v>
      </c>
      <c r="B707" s="38" t="s">
        <v>57</v>
      </c>
      <c r="C707" s="37" t="s">
        <v>93</v>
      </c>
      <c r="D707" s="37" t="s">
        <v>65</v>
      </c>
      <c r="E707" s="113">
        <v>44127</v>
      </c>
      <c r="F707" s="43">
        <f t="shared" ca="1" si="22"/>
        <v>2</v>
      </c>
      <c r="G707" s="44" t="s">
        <v>70</v>
      </c>
      <c r="H707" s="45">
        <v>98093</v>
      </c>
      <c r="I707" s="38">
        <v>1</v>
      </c>
      <c r="J707" s="41">
        <f t="shared" si="23"/>
        <v>100771</v>
      </c>
    </row>
    <row r="708" spans="1:10">
      <c r="A708" s="37" t="s">
        <v>1025</v>
      </c>
      <c r="B708" s="38" t="s">
        <v>63</v>
      </c>
      <c r="C708" s="37" t="s">
        <v>87</v>
      </c>
      <c r="D708" s="37" t="s">
        <v>71</v>
      </c>
      <c r="E708" s="113">
        <v>40757</v>
      </c>
      <c r="F708" s="43">
        <f t="shared" ca="1" si="22"/>
        <v>12</v>
      </c>
      <c r="G708" s="44" t="s">
        <v>67</v>
      </c>
      <c r="H708" s="45">
        <v>65591</v>
      </c>
      <c r="I708" s="38">
        <v>4</v>
      </c>
      <c r="J708" s="41">
        <f t="shared" si="23"/>
        <v>67382</v>
      </c>
    </row>
    <row r="709" spans="1:10">
      <c r="A709" s="37" t="s">
        <v>745</v>
      </c>
      <c r="B709" s="38" t="s">
        <v>60</v>
      </c>
      <c r="C709" s="37" t="s">
        <v>77</v>
      </c>
      <c r="D709" s="37" t="s">
        <v>59</v>
      </c>
      <c r="E709" s="113">
        <v>43864</v>
      </c>
      <c r="F709" s="43">
        <f t="shared" ca="1" si="22"/>
        <v>3</v>
      </c>
      <c r="G709" s="44"/>
      <c r="H709" s="45">
        <v>70106</v>
      </c>
      <c r="I709" s="38">
        <v>2</v>
      </c>
      <c r="J709" s="41">
        <f t="shared" si="23"/>
        <v>72020</v>
      </c>
    </row>
    <row r="710" spans="1:10">
      <c r="A710" s="37" t="s">
        <v>1240</v>
      </c>
      <c r="B710" s="38" t="s">
        <v>61</v>
      </c>
      <c r="C710" s="37" t="s">
        <v>93</v>
      </c>
      <c r="D710" s="37" t="s">
        <v>65</v>
      </c>
      <c r="E710" s="113">
        <v>40210</v>
      </c>
      <c r="F710" s="43">
        <f t="shared" ca="1" si="22"/>
        <v>13</v>
      </c>
      <c r="G710" s="44" t="s">
        <v>67</v>
      </c>
      <c r="H710" s="45">
        <v>99812</v>
      </c>
      <c r="I710" s="38">
        <v>4</v>
      </c>
      <c r="J710" s="41">
        <f t="shared" si="23"/>
        <v>102537</v>
      </c>
    </row>
    <row r="711" spans="1:10">
      <c r="A711" s="37" t="s">
        <v>638</v>
      </c>
      <c r="B711" s="38" t="s">
        <v>61</v>
      </c>
      <c r="C711" s="37" t="s">
        <v>58</v>
      </c>
      <c r="D711" s="37" t="s">
        <v>65</v>
      </c>
      <c r="E711" s="113">
        <v>43037</v>
      </c>
      <c r="F711" s="43">
        <f t="shared" ca="1" si="22"/>
        <v>5</v>
      </c>
      <c r="G711" s="44" t="s">
        <v>68</v>
      </c>
      <c r="H711" s="45">
        <v>61924</v>
      </c>
      <c r="I711" s="38">
        <v>1</v>
      </c>
      <c r="J711" s="41">
        <f t="shared" si="23"/>
        <v>63615</v>
      </c>
    </row>
    <row r="712" spans="1:10">
      <c r="A712" s="37" t="s">
        <v>639</v>
      </c>
      <c r="B712" s="38" t="s">
        <v>60</v>
      </c>
      <c r="C712" s="37" t="s">
        <v>58</v>
      </c>
      <c r="D712" s="37" t="s">
        <v>65</v>
      </c>
      <c r="E712" s="113">
        <v>43799</v>
      </c>
      <c r="F712" s="43">
        <f t="shared" ca="1" si="22"/>
        <v>3</v>
      </c>
      <c r="G712" s="44" t="s">
        <v>67</v>
      </c>
      <c r="H712" s="45">
        <v>84804</v>
      </c>
      <c r="I712" s="38">
        <v>2</v>
      </c>
      <c r="J712" s="41">
        <f t="shared" si="23"/>
        <v>87119</v>
      </c>
    </row>
    <row r="713" spans="1:10">
      <c r="A713" s="37" t="s">
        <v>746</v>
      </c>
      <c r="B713" s="38" t="s">
        <v>60</v>
      </c>
      <c r="C713" s="37" t="s">
        <v>77</v>
      </c>
      <c r="D713" s="37" t="s">
        <v>59</v>
      </c>
      <c r="E713" s="113">
        <v>42685</v>
      </c>
      <c r="F713" s="43">
        <f t="shared" ca="1" si="22"/>
        <v>6</v>
      </c>
      <c r="G713" s="44"/>
      <c r="H713" s="45">
        <v>115137</v>
      </c>
      <c r="I713" s="38">
        <v>4</v>
      </c>
      <c r="J713" s="41">
        <f t="shared" si="23"/>
        <v>118280</v>
      </c>
    </row>
    <row r="714" spans="1:10">
      <c r="A714" s="37" t="s">
        <v>964</v>
      </c>
      <c r="B714" s="38" t="s">
        <v>61</v>
      </c>
      <c r="C714" s="37" t="s">
        <v>83</v>
      </c>
      <c r="D714" s="37" t="s">
        <v>65</v>
      </c>
      <c r="E714" s="113">
        <v>40298</v>
      </c>
      <c r="F714" s="43">
        <f t="shared" ca="1" si="22"/>
        <v>13</v>
      </c>
      <c r="G714" s="44" t="s">
        <v>69</v>
      </c>
      <c r="H714" s="45">
        <v>53908</v>
      </c>
      <c r="I714" s="38">
        <v>2</v>
      </c>
      <c r="J714" s="41">
        <f t="shared" si="23"/>
        <v>55380</v>
      </c>
    </row>
    <row r="715" spans="1:10">
      <c r="A715" s="37" t="s">
        <v>1288</v>
      </c>
      <c r="B715" s="38" t="s">
        <v>57</v>
      </c>
      <c r="C715" s="37" t="s">
        <v>98</v>
      </c>
      <c r="D715" s="37" t="s">
        <v>65</v>
      </c>
      <c r="E715" s="113">
        <v>40355</v>
      </c>
      <c r="F715" s="43">
        <f t="shared" ca="1" si="22"/>
        <v>13</v>
      </c>
      <c r="G715" s="44" t="s">
        <v>69</v>
      </c>
      <c r="H715" s="45">
        <v>103792</v>
      </c>
      <c r="I715" s="38">
        <v>4</v>
      </c>
      <c r="J715" s="41">
        <f t="shared" si="23"/>
        <v>106626</v>
      </c>
    </row>
    <row r="716" spans="1:10">
      <c r="A716" s="37" t="s">
        <v>747</v>
      </c>
      <c r="B716" s="38" t="s">
        <v>61</v>
      </c>
      <c r="C716" s="37" t="s">
        <v>77</v>
      </c>
      <c r="D716" s="37" t="s">
        <v>65</v>
      </c>
      <c r="E716" s="113">
        <v>43179</v>
      </c>
      <c r="F716" s="43">
        <f t="shared" ca="1" si="22"/>
        <v>5</v>
      </c>
      <c r="G716" s="44" t="s">
        <v>67</v>
      </c>
      <c r="H716" s="45">
        <v>103557</v>
      </c>
      <c r="I716" s="38">
        <v>5</v>
      </c>
      <c r="J716" s="41">
        <f t="shared" si="23"/>
        <v>106384</v>
      </c>
    </row>
    <row r="717" spans="1:10">
      <c r="A717" s="37" t="s">
        <v>1289</v>
      </c>
      <c r="B717" s="38" t="s">
        <v>61</v>
      </c>
      <c r="C717" s="37" t="s">
        <v>98</v>
      </c>
      <c r="D717" s="37" t="s">
        <v>65</v>
      </c>
      <c r="E717" s="113">
        <v>39851</v>
      </c>
      <c r="F717" s="43">
        <f t="shared" ca="1" si="22"/>
        <v>14</v>
      </c>
      <c r="G717" s="44" t="s">
        <v>68</v>
      </c>
      <c r="H717" s="45">
        <v>104223</v>
      </c>
      <c r="I717" s="38">
        <v>1</v>
      </c>
      <c r="J717" s="41">
        <f t="shared" si="23"/>
        <v>107068</v>
      </c>
    </row>
    <row r="718" spans="1:10">
      <c r="A718" s="37" t="s">
        <v>1149</v>
      </c>
      <c r="B718" s="38" t="s">
        <v>63</v>
      </c>
      <c r="C718" s="37" t="s">
        <v>91</v>
      </c>
      <c r="D718" s="37" t="s">
        <v>59</v>
      </c>
      <c r="E718" s="113">
        <v>39397</v>
      </c>
      <c r="F718" s="43">
        <f t="shared" ca="1" si="22"/>
        <v>15</v>
      </c>
      <c r="G718" s="44"/>
      <c r="H718" s="45">
        <v>119408</v>
      </c>
      <c r="I718" s="38">
        <v>4</v>
      </c>
      <c r="J718" s="41">
        <f t="shared" si="23"/>
        <v>122668</v>
      </c>
    </row>
    <row r="719" spans="1:10">
      <c r="A719" s="37" t="s">
        <v>640</v>
      </c>
      <c r="B719" s="38" t="s">
        <v>63</v>
      </c>
      <c r="C719" s="37" t="s">
        <v>58</v>
      </c>
      <c r="D719" s="37" t="s">
        <v>59</v>
      </c>
      <c r="E719" s="113">
        <v>43995</v>
      </c>
      <c r="F719" s="43">
        <f t="shared" ca="1" si="22"/>
        <v>3</v>
      </c>
      <c r="G719" s="44"/>
      <c r="H719" s="45">
        <v>54851</v>
      </c>
      <c r="I719" s="38">
        <v>5</v>
      </c>
      <c r="J719" s="41">
        <f t="shared" si="23"/>
        <v>56348</v>
      </c>
    </row>
    <row r="720" spans="1:10">
      <c r="A720" s="37" t="s">
        <v>1241</v>
      </c>
      <c r="B720" s="38" t="s">
        <v>63</v>
      </c>
      <c r="C720" s="37" t="s">
        <v>93</v>
      </c>
      <c r="D720" s="37" t="s">
        <v>65</v>
      </c>
      <c r="E720" s="113">
        <v>43609</v>
      </c>
      <c r="F720" s="43">
        <f t="shared" ca="1" si="22"/>
        <v>4</v>
      </c>
      <c r="G720" s="44" t="s">
        <v>70</v>
      </c>
      <c r="H720" s="45">
        <v>48527</v>
      </c>
      <c r="I720" s="38">
        <v>3</v>
      </c>
      <c r="J720" s="41">
        <f t="shared" si="23"/>
        <v>49852</v>
      </c>
    </row>
    <row r="721" spans="1:10">
      <c r="A721" s="37" t="s">
        <v>1290</v>
      </c>
      <c r="B721" s="38" t="s">
        <v>61</v>
      </c>
      <c r="C721" s="37" t="s">
        <v>98</v>
      </c>
      <c r="D721" s="37" t="s">
        <v>65</v>
      </c>
      <c r="E721" s="113">
        <v>44727</v>
      </c>
      <c r="F721" s="43">
        <f t="shared" ca="1" si="22"/>
        <v>1</v>
      </c>
      <c r="G721" s="44" t="s">
        <v>68</v>
      </c>
      <c r="H721" s="45">
        <v>110616</v>
      </c>
      <c r="I721" s="38">
        <v>5</v>
      </c>
      <c r="J721" s="41">
        <f t="shared" si="23"/>
        <v>113636</v>
      </c>
    </row>
    <row r="722" spans="1:10">
      <c r="A722" s="37" t="s">
        <v>965</v>
      </c>
      <c r="B722" s="38" t="s">
        <v>61</v>
      </c>
      <c r="C722" s="37" t="s">
        <v>83</v>
      </c>
      <c r="D722" s="37" t="s">
        <v>59</v>
      </c>
      <c r="E722" s="113">
        <v>39588</v>
      </c>
      <c r="F722" s="43">
        <f t="shared" ca="1" si="22"/>
        <v>15</v>
      </c>
      <c r="G722" s="44"/>
      <c r="H722" s="45">
        <v>100575</v>
      </c>
      <c r="I722" s="38">
        <v>3</v>
      </c>
      <c r="J722" s="41">
        <f t="shared" si="23"/>
        <v>103321</v>
      </c>
    </row>
    <row r="723" spans="1:10">
      <c r="A723" s="37" t="s">
        <v>641</v>
      </c>
      <c r="B723" s="38" t="s">
        <v>63</v>
      </c>
      <c r="C723" s="37" t="s">
        <v>58</v>
      </c>
      <c r="D723" s="37" t="s">
        <v>65</v>
      </c>
      <c r="E723" s="113">
        <v>44356</v>
      </c>
      <c r="F723" s="43">
        <f t="shared" ca="1" si="22"/>
        <v>2</v>
      </c>
      <c r="G723" s="44" t="s">
        <v>66</v>
      </c>
      <c r="H723" s="45">
        <v>107814</v>
      </c>
      <c r="I723" s="38">
        <v>1</v>
      </c>
      <c r="J723" s="41">
        <f t="shared" si="23"/>
        <v>110757</v>
      </c>
    </row>
    <row r="724" spans="1:10">
      <c r="A724" s="37" t="s">
        <v>1078</v>
      </c>
      <c r="B724" s="38" t="s">
        <v>62</v>
      </c>
      <c r="C724" s="37" t="s">
        <v>90</v>
      </c>
      <c r="D724" s="37" t="s">
        <v>59</v>
      </c>
      <c r="E724" s="113">
        <v>44182</v>
      </c>
      <c r="F724" s="43">
        <f t="shared" ca="1" si="22"/>
        <v>2</v>
      </c>
      <c r="G724" s="44"/>
      <c r="H724" s="45">
        <v>68053</v>
      </c>
      <c r="I724" s="38">
        <v>3</v>
      </c>
      <c r="J724" s="41">
        <f t="shared" si="23"/>
        <v>69911</v>
      </c>
    </row>
    <row r="725" spans="1:10">
      <c r="A725" s="37" t="s">
        <v>966</v>
      </c>
      <c r="B725" s="38" t="s">
        <v>63</v>
      </c>
      <c r="C725" s="37" t="s">
        <v>83</v>
      </c>
      <c r="D725" s="37" t="s">
        <v>59</v>
      </c>
      <c r="E725" s="113">
        <v>44271</v>
      </c>
      <c r="F725" s="43">
        <f t="shared" ca="1" si="22"/>
        <v>2</v>
      </c>
      <c r="G725" s="44"/>
      <c r="H725" s="45">
        <v>79204</v>
      </c>
      <c r="I725" s="38">
        <v>3</v>
      </c>
      <c r="J725" s="41">
        <f t="shared" si="23"/>
        <v>81366</v>
      </c>
    </row>
    <row r="726" spans="1:10">
      <c r="A726" s="37" t="s">
        <v>1242</v>
      </c>
      <c r="B726" s="38" t="s">
        <v>62</v>
      </c>
      <c r="C726" s="37" t="s">
        <v>93</v>
      </c>
      <c r="D726" s="37" t="s">
        <v>65</v>
      </c>
      <c r="E726" s="113">
        <v>44011</v>
      </c>
      <c r="F726" s="43">
        <f t="shared" ca="1" si="22"/>
        <v>3</v>
      </c>
      <c r="G726" s="44" t="s">
        <v>68</v>
      </c>
      <c r="H726" s="45">
        <v>43950</v>
      </c>
      <c r="I726" s="38">
        <v>4</v>
      </c>
      <c r="J726" s="41">
        <f t="shared" si="23"/>
        <v>45150</v>
      </c>
    </row>
    <row r="727" spans="1:10">
      <c r="A727" s="37" t="s">
        <v>642</v>
      </c>
      <c r="B727" s="38" t="s">
        <v>63</v>
      </c>
      <c r="C727" s="37" t="s">
        <v>58</v>
      </c>
      <c r="D727" s="37" t="s">
        <v>65</v>
      </c>
      <c r="E727" s="113">
        <v>40729</v>
      </c>
      <c r="F727" s="43">
        <f t="shared" ca="1" si="22"/>
        <v>12</v>
      </c>
      <c r="G727" s="44" t="s">
        <v>68</v>
      </c>
      <c r="H727" s="45">
        <v>40400</v>
      </c>
      <c r="I727" s="38">
        <v>1</v>
      </c>
      <c r="J727" s="41">
        <f t="shared" si="23"/>
        <v>41503</v>
      </c>
    </row>
    <row r="728" spans="1:10">
      <c r="A728" s="37" t="s">
        <v>667</v>
      </c>
      <c r="B728" s="38" t="s">
        <v>61</v>
      </c>
      <c r="C728" s="37" t="s">
        <v>74</v>
      </c>
      <c r="D728" s="37" t="s">
        <v>65</v>
      </c>
      <c r="E728" s="113">
        <v>39860</v>
      </c>
      <c r="F728" s="43">
        <f t="shared" ca="1" si="22"/>
        <v>14</v>
      </c>
      <c r="G728" s="44" t="s">
        <v>70</v>
      </c>
      <c r="H728" s="45">
        <v>85056</v>
      </c>
      <c r="I728" s="38">
        <v>1</v>
      </c>
      <c r="J728" s="41">
        <f t="shared" si="23"/>
        <v>87378</v>
      </c>
    </row>
    <row r="729" spans="1:10">
      <c r="A729" s="37" t="s">
        <v>1060</v>
      </c>
      <c r="B729" s="38" t="s">
        <v>61</v>
      </c>
      <c r="C729" s="37" t="s">
        <v>88</v>
      </c>
      <c r="D729" s="37" t="s">
        <v>59</v>
      </c>
      <c r="E729" s="113">
        <v>42886</v>
      </c>
      <c r="F729" s="43">
        <f t="shared" ca="1" si="22"/>
        <v>6</v>
      </c>
      <c r="G729" s="44"/>
      <c r="H729" s="45">
        <v>56251</v>
      </c>
      <c r="I729" s="38">
        <v>5</v>
      </c>
      <c r="J729" s="41">
        <f t="shared" si="23"/>
        <v>57787</v>
      </c>
    </row>
    <row r="730" spans="1:10">
      <c r="A730" s="37" t="s">
        <v>1291</v>
      </c>
      <c r="B730" s="38" t="s">
        <v>62</v>
      </c>
      <c r="C730" s="37" t="s">
        <v>98</v>
      </c>
      <c r="D730" s="37" t="s">
        <v>65</v>
      </c>
      <c r="E730" s="113">
        <v>39734</v>
      </c>
      <c r="F730" s="43">
        <f t="shared" ca="1" si="22"/>
        <v>14</v>
      </c>
      <c r="G730" s="44" t="s">
        <v>70</v>
      </c>
      <c r="H730" s="45">
        <v>99979</v>
      </c>
      <c r="I730" s="38">
        <v>5</v>
      </c>
      <c r="J730" s="41">
        <f t="shared" si="23"/>
        <v>102708</v>
      </c>
    </row>
    <row r="731" spans="1:10">
      <c r="A731" s="37" t="s">
        <v>748</v>
      </c>
      <c r="B731" s="38" t="s">
        <v>60</v>
      </c>
      <c r="C731" s="37" t="s">
        <v>77</v>
      </c>
      <c r="D731" s="37" t="s">
        <v>65</v>
      </c>
      <c r="E731" s="113">
        <v>42545</v>
      </c>
      <c r="F731" s="43">
        <f t="shared" ca="1" si="22"/>
        <v>7</v>
      </c>
      <c r="G731" s="44" t="s">
        <v>68</v>
      </c>
      <c r="H731" s="45">
        <v>56750</v>
      </c>
      <c r="I731" s="38">
        <v>4</v>
      </c>
      <c r="J731" s="41">
        <f t="shared" si="23"/>
        <v>58299</v>
      </c>
    </row>
    <row r="732" spans="1:10">
      <c r="A732" s="37" t="s">
        <v>808</v>
      </c>
      <c r="B732" s="38" t="s">
        <v>63</v>
      </c>
      <c r="C732" s="37" t="s">
        <v>80</v>
      </c>
      <c r="D732" s="37" t="s">
        <v>65</v>
      </c>
      <c r="E732" s="113">
        <v>44474</v>
      </c>
      <c r="F732" s="43">
        <f t="shared" ca="1" si="22"/>
        <v>1</v>
      </c>
      <c r="G732" s="44" t="s">
        <v>68</v>
      </c>
      <c r="H732" s="45">
        <v>60439</v>
      </c>
      <c r="I732" s="38">
        <v>5</v>
      </c>
      <c r="J732" s="41">
        <f t="shared" si="23"/>
        <v>62089</v>
      </c>
    </row>
    <row r="733" spans="1:10">
      <c r="A733" s="37" t="s">
        <v>974</v>
      </c>
      <c r="B733" s="38" t="s">
        <v>62</v>
      </c>
      <c r="C733" s="37" t="s">
        <v>86</v>
      </c>
      <c r="D733" s="37" t="s">
        <v>65</v>
      </c>
      <c r="E733" s="113">
        <v>40998</v>
      </c>
      <c r="F733" s="43">
        <f t="shared" ca="1" si="22"/>
        <v>11</v>
      </c>
      <c r="G733" s="44" t="s">
        <v>68</v>
      </c>
      <c r="H733" s="45">
        <v>82019</v>
      </c>
      <c r="I733" s="38">
        <v>5</v>
      </c>
      <c r="J733" s="41">
        <f t="shared" si="23"/>
        <v>84258</v>
      </c>
    </row>
    <row r="734" spans="1:10">
      <c r="A734" s="37" t="s">
        <v>643</v>
      </c>
      <c r="B734" s="38" t="s">
        <v>61</v>
      </c>
      <c r="C734" s="37" t="s">
        <v>58</v>
      </c>
      <c r="D734" s="37" t="s">
        <v>65</v>
      </c>
      <c r="E734" s="113">
        <v>44469</v>
      </c>
      <c r="F734" s="43">
        <f t="shared" ca="1" si="22"/>
        <v>1</v>
      </c>
      <c r="G734" s="44" t="s">
        <v>69</v>
      </c>
      <c r="H734" s="45">
        <v>99410</v>
      </c>
      <c r="I734" s="38">
        <v>4</v>
      </c>
      <c r="J734" s="41">
        <f t="shared" si="23"/>
        <v>102124</v>
      </c>
    </row>
    <row r="735" spans="1:10">
      <c r="A735" s="37" t="s">
        <v>1150</v>
      </c>
      <c r="B735" s="38" t="s">
        <v>63</v>
      </c>
      <c r="C735" s="37" t="s">
        <v>91</v>
      </c>
      <c r="D735" s="37" t="s">
        <v>65</v>
      </c>
      <c r="E735" s="113">
        <v>42989</v>
      </c>
      <c r="F735" s="43">
        <f t="shared" ca="1" si="22"/>
        <v>6</v>
      </c>
      <c r="G735" s="44" t="s">
        <v>66</v>
      </c>
      <c r="H735" s="45">
        <v>67249</v>
      </c>
      <c r="I735" s="38">
        <v>2</v>
      </c>
      <c r="J735" s="41">
        <f t="shared" si="23"/>
        <v>69085</v>
      </c>
    </row>
    <row r="736" spans="1:10">
      <c r="A736" s="37" t="s">
        <v>1061</v>
      </c>
      <c r="B736" s="38" t="s">
        <v>63</v>
      </c>
      <c r="C736" s="37" t="s">
        <v>88</v>
      </c>
      <c r="D736" s="37" t="s">
        <v>59</v>
      </c>
      <c r="E736" s="113">
        <v>42745</v>
      </c>
      <c r="F736" s="43">
        <f t="shared" ca="1" si="22"/>
        <v>6</v>
      </c>
      <c r="G736" s="44"/>
      <c r="H736" s="45">
        <v>36557</v>
      </c>
      <c r="I736" s="38">
        <v>4</v>
      </c>
      <c r="J736" s="41">
        <f t="shared" si="23"/>
        <v>37555</v>
      </c>
    </row>
    <row r="737" spans="1:10">
      <c r="A737" s="37" t="s">
        <v>967</v>
      </c>
      <c r="B737" s="38" t="s">
        <v>63</v>
      </c>
      <c r="C737" s="37" t="s">
        <v>83</v>
      </c>
      <c r="D737" s="37" t="s">
        <v>65</v>
      </c>
      <c r="E737" s="113">
        <v>39864</v>
      </c>
      <c r="F737" s="43">
        <f t="shared" ca="1" si="22"/>
        <v>14</v>
      </c>
      <c r="G737" s="44" t="s">
        <v>70</v>
      </c>
      <c r="H737" s="45">
        <v>85056</v>
      </c>
      <c r="I737" s="38">
        <v>4</v>
      </c>
      <c r="J737" s="41">
        <f t="shared" si="23"/>
        <v>87378</v>
      </c>
    </row>
    <row r="738" spans="1:10">
      <c r="A738" s="37" t="s">
        <v>681</v>
      </c>
      <c r="B738" s="38" t="s">
        <v>60</v>
      </c>
      <c r="C738" s="37" t="s">
        <v>75</v>
      </c>
      <c r="D738" s="37" t="s">
        <v>65</v>
      </c>
      <c r="E738" s="113">
        <v>44447</v>
      </c>
      <c r="F738" s="43">
        <f t="shared" ca="1" si="22"/>
        <v>2</v>
      </c>
      <c r="G738" s="44" t="s">
        <v>67</v>
      </c>
      <c r="H738" s="45">
        <v>57347</v>
      </c>
      <c r="I738" s="38">
        <v>2</v>
      </c>
      <c r="J738" s="41">
        <f t="shared" si="23"/>
        <v>58913</v>
      </c>
    </row>
    <row r="739" spans="1:10">
      <c r="A739" s="37" t="s">
        <v>809</v>
      </c>
      <c r="B739" s="38" t="s">
        <v>61</v>
      </c>
      <c r="C739" s="37" t="s">
        <v>80</v>
      </c>
      <c r="D739" s="37" t="s">
        <v>65</v>
      </c>
      <c r="E739" s="113">
        <v>44083</v>
      </c>
      <c r="F739" s="43">
        <f t="shared" ca="1" si="22"/>
        <v>3</v>
      </c>
      <c r="G739" s="44" t="s">
        <v>69</v>
      </c>
      <c r="H739" s="45">
        <v>93239</v>
      </c>
      <c r="I739" s="38">
        <v>4</v>
      </c>
      <c r="J739" s="41">
        <f t="shared" si="23"/>
        <v>95784</v>
      </c>
    </row>
    <row r="740" spans="1:10">
      <c r="A740" s="37" t="s">
        <v>749</v>
      </c>
      <c r="B740" s="38" t="s">
        <v>61</v>
      </c>
      <c r="C740" s="37" t="s">
        <v>77</v>
      </c>
      <c r="D740" s="37" t="s">
        <v>59</v>
      </c>
      <c r="E740" s="113">
        <v>43356</v>
      </c>
      <c r="F740" s="43">
        <f t="shared" ca="1" si="22"/>
        <v>5</v>
      </c>
      <c r="G740" s="44"/>
      <c r="H740" s="45">
        <v>64725</v>
      </c>
      <c r="I740" s="38">
        <v>3</v>
      </c>
      <c r="J740" s="41">
        <f t="shared" si="23"/>
        <v>66492</v>
      </c>
    </row>
    <row r="741" spans="1:10">
      <c r="A741" s="37" t="s">
        <v>1062</v>
      </c>
      <c r="B741" s="38" t="s">
        <v>63</v>
      </c>
      <c r="C741" s="37" t="s">
        <v>88</v>
      </c>
      <c r="D741" s="37" t="s">
        <v>65</v>
      </c>
      <c r="E741" s="113">
        <v>40879</v>
      </c>
      <c r="F741" s="43">
        <f t="shared" ca="1" si="22"/>
        <v>11</v>
      </c>
      <c r="G741" s="44" t="s">
        <v>68</v>
      </c>
      <c r="H741" s="45">
        <v>58914</v>
      </c>
      <c r="I741" s="38">
        <v>3</v>
      </c>
      <c r="J741" s="41">
        <f t="shared" si="23"/>
        <v>60522</v>
      </c>
    </row>
    <row r="742" spans="1:10">
      <c r="A742" s="37" t="s">
        <v>1243</v>
      </c>
      <c r="B742" s="38" t="s">
        <v>64</v>
      </c>
      <c r="C742" s="37" t="s">
        <v>93</v>
      </c>
      <c r="D742" s="37" t="s">
        <v>71</v>
      </c>
      <c r="E742" s="113">
        <v>43126</v>
      </c>
      <c r="F742" s="43">
        <f t="shared" ca="1" si="22"/>
        <v>5</v>
      </c>
      <c r="G742" s="44" t="s">
        <v>69</v>
      </c>
      <c r="H742" s="45">
        <v>68067</v>
      </c>
      <c r="I742" s="38">
        <v>5</v>
      </c>
      <c r="J742" s="41">
        <f t="shared" si="23"/>
        <v>69925</v>
      </c>
    </row>
  </sheetData>
  <pageMargins left="0.75" right="0.75" top="1" bottom="1" header="0.5" footer="0.5"/>
  <pageSetup orientation="portrait"/>
  <headerFooter alignWithMargins="0">
    <oddHeader>&amp;L&amp;"Calibri,Regular"&amp;K000000&amp;G&amp;C&amp;"Calibri,Regular"&amp;K000000Employee Data and Sales Stats&amp;R&amp;"Calibri,Regular"&amp;K000000&amp;G</oddHeader>
  </headerFooter>
  <legacyDrawingHF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9FF99"/>
  </sheetPr>
  <dimension ref="A1:I16"/>
  <sheetViews>
    <sheetView topLeftCell="D1" zoomScale="115" zoomScaleNormal="115" workbookViewId="0">
      <selection activeCell="G13" sqref="G13"/>
    </sheetView>
  </sheetViews>
  <sheetFormatPr defaultColWidth="12.5703125" defaultRowHeight="15.75"/>
  <cols>
    <col min="1" max="1" width="11.85546875" style="28" bestFit="1" customWidth="1"/>
    <col min="2" max="2" width="11.140625" style="116" bestFit="1" customWidth="1"/>
    <col min="3" max="3" width="9.85546875" style="28" bestFit="1" customWidth="1"/>
    <col min="4" max="4" width="20.28515625" style="28" bestFit="1" customWidth="1"/>
    <col min="5" max="9" width="7.28515625" style="28" bestFit="1" customWidth="1"/>
    <col min="10" max="16384" width="12.5703125" style="28"/>
  </cols>
  <sheetData>
    <row r="1" spans="1:9">
      <c r="A1" s="153" t="s">
        <v>36</v>
      </c>
      <c r="B1" s="154"/>
      <c r="C1" s="29"/>
      <c r="D1" s="155" t="s">
        <v>37</v>
      </c>
      <c r="E1" s="155"/>
      <c r="F1" s="155"/>
      <c r="G1" s="155"/>
      <c r="H1" s="155"/>
      <c r="I1" s="155"/>
    </row>
    <row r="2" spans="1:9">
      <c r="A2" s="29" t="s">
        <v>38</v>
      </c>
      <c r="B2" s="114" t="s">
        <v>39</v>
      </c>
      <c r="C2" s="30"/>
      <c r="D2" s="29" t="s">
        <v>9</v>
      </c>
      <c r="E2" s="31" t="s">
        <v>18</v>
      </c>
      <c r="F2" s="31" t="s">
        <v>29</v>
      </c>
      <c r="G2" s="32" t="s">
        <v>27</v>
      </c>
      <c r="H2" s="32" t="s">
        <v>32</v>
      </c>
      <c r="I2" s="32" t="s">
        <v>5</v>
      </c>
    </row>
    <row r="3" spans="1:9">
      <c r="A3" s="33" t="s">
        <v>40</v>
      </c>
      <c r="B3" s="115">
        <v>1819525</v>
      </c>
      <c r="C3" s="120"/>
      <c r="D3" s="30" t="s">
        <v>0</v>
      </c>
      <c r="E3" s="34">
        <v>627</v>
      </c>
      <c r="F3" s="34">
        <v>307</v>
      </c>
      <c r="G3" s="35">
        <v>292</v>
      </c>
      <c r="H3" s="35">
        <v>416</v>
      </c>
      <c r="I3" s="36">
        <f t="shared" ref="I3:I8" si="0">SUM(E3:H3)</f>
        <v>1642</v>
      </c>
    </row>
    <row r="4" spans="1:9">
      <c r="A4" s="33" t="s">
        <v>41</v>
      </c>
      <c r="B4" s="115">
        <v>6562829</v>
      </c>
      <c r="C4" s="120"/>
      <c r="D4" s="30" t="s">
        <v>1</v>
      </c>
      <c r="E4" s="34">
        <v>580</v>
      </c>
      <c r="F4" s="34">
        <v>191</v>
      </c>
      <c r="G4" s="35">
        <v>222</v>
      </c>
      <c r="H4" s="35">
        <v>532</v>
      </c>
      <c r="I4" s="36">
        <f t="shared" si="0"/>
        <v>1525</v>
      </c>
    </row>
    <row r="5" spans="1:9">
      <c r="A5" s="33" t="s">
        <v>42</v>
      </c>
      <c r="B5" s="115">
        <v>5176877</v>
      </c>
      <c r="C5" s="120"/>
      <c r="D5" s="30" t="s">
        <v>2</v>
      </c>
      <c r="E5" s="34">
        <v>420</v>
      </c>
      <c r="F5" s="34">
        <v>371</v>
      </c>
      <c r="G5" s="35">
        <v>243</v>
      </c>
      <c r="H5" s="35">
        <v>404</v>
      </c>
      <c r="I5" s="36">
        <f t="shared" si="0"/>
        <v>1438</v>
      </c>
    </row>
    <row r="6" spans="1:9">
      <c r="A6" s="33" t="s">
        <v>43</v>
      </c>
      <c r="B6" s="115">
        <v>981128</v>
      </c>
      <c r="C6" s="120"/>
      <c r="D6" s="30" t="s">
        <v>3</v>
      </c>
      <c r="E6" s="34">
        <v>552</v>
      </c>
      <c r="F6" s="34">
        <v>214</v>
      </c>
      <c r="G6" s="35">
        <v>239</v>
      </c>
      <c r="H6" s="35">
        <v>710</v>
      </c>
      <c r="I6" s="36">
        <f t="shared" si="0"/>
        <v>1715</v>
      </c>
    </row>
    <row r="7" spans="1:9">
      <c r="A7" s="33" t="s">
        <v>44</v>
      </c>
      <c r="B7" s="115">
        <v>2728894</v>
      </c>
      <c r="C7" s="120"/>
      <c r="D7" s="30" t="s">
        <v>4</v>
      </c>
      <c r="E7" s="34">
        <v>671</v>
      </c>
      <c r="F7" s="34">
        <v>313</v>
      </c>
      <c r="G7" s="35">
        <v>287</v>
      </c>
      <c r="H7" s="35">
        <v>575</v>
      </c>
      <c r="I7" s="36">
        <f t="shared" si="0"/>
        <v>1846</v>
      </c>
    </row>
    <row r="8" spans="1:9">
      <c r="A8" s="33" t="s">
        <v>45</v>
      </c>
      <c r="B8" s="115">
        <v>2378585</v>
      </c>
      <c r="C8" s="120"/>
      <c r="D8" s="29" t="s">
        <v>24</v>
      </c>
      <c r="E8" s="36">
        <f>SUM(E3:E7)</f>
        <v>2850</v>
      </c>
      <c r="F8" s="36">
        <f>SUM(F3:F7)</f>
        <v>1396</v>
      </c>
      <c r="G8" s="36">
        <f>SUM(G3:G7)</f>
        <v>1283</v>
      </c>
      <c r="H8" s="36">
        <f>SUM(H3:H7)</f>
        <v>2637</v>
      </c>
      <c r="I8" s="36">
        <f t="shared" si="0"/>
        <v>8166</v>
      </c>
    </row>
    <row r="9" spans="1:9">
      <c r="A9" s="33" t="s">
        <v>46</v>
      </c>
      <c r="B9" s="115">
        <v>5522522</v>
      </c>
      <c r="C9" s="120"/>
      <c r="D9" s="30"/>
      <c r="E9" s="30"/>
      <c r="F9" s="30"/>
      <c r="G9" s="30"/>
      <c r="H9" s="30"/>
      <c r="I9" s="30"/>
    </row>
    <row r="10" spans="1:9" ht="16.5">
      <c r="D10" s="7"/>
      <c r="E10" s="7"/>
      <c r="F10" s="7"/>
      <c r="I10" s="7"/>
    </row>
    <row r="11" spans="1:9" ht="16.5">
      <c r="E11" s="119"/>
      <c r="F11" s="119"/>
      <c r="G11" s="119"/>
      <c r="H11" s="119"/>
      <c r="I11" s="7"/>
    </row>
    <row r="12" spans="1:9" ht="16.5">
      <c r="E12" s="119"/>
      <c r="F12" s="119"/>
      <c r="G12" s="119"/>
      <c r="H12" s="119"/>
      <c r="I12" s="7"/>
    </row>
    <row r="13" spans="1:9" ht="16.5">
      <c r="E13" s="119"/>
      <c r="F13" s="119"/>
      <c r="G13" s="119"/>
      <c r="H13" s="119"/>
      <c r="I13" s="7"/>
    </row>
    <row r="14" spans="1:9" ht="16.5">
      <c r="E14" s="119"/>
      <c r="F14" s="119"/>
      <c r="G14" s="119"/>
      <c r="H14" s="119"/>
      <c r="I14" s="7"/>
    </row>
    <row r="15" spans="1:9" ht="16.5">
      <c r="E15" s="119"/>
      <c r="F15" s="119"/>
      <c r="G15" s="119"/>
      <c r="H15" s="119"/>
      <c r="I15" s="7"/>
    </row>
    <row r="16" spans="1:9" ht="16.5">
      <c r="G16" s="7"/>
      <c r="H16" s="7"/>
    </row>
  </sheetData>
  <mergeCells count="2">
    <mergeCell ref="A1:B1"/>
    <mergeCell ref="D1:I1"/>
  </mergeCells>
  <pageMargins left="0.75" right="0.75" top="1" bottom="1" header="0.5" footer="0.5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66FFFF"/>
  </sheetPr>
  <dimension ref="A1:AD912"/>
  <sheetViews>
    <sheetView topLeftCell="B1" zoomScale="85" zoomScaleNormal="85" zoomScalePageLayoutView="130" workbookViewId="0">
      <selection activeCell="M6" sqref="M6"/>
    </sheetView>
  </sheetViews>
  <sheetFormatPr defaultColWidth="18" defaultRowHeight="16.5"/>
  <cols>
    <col min="1" max="1" width="16.42578125" style="7" bestFit="1" customWidth="1"/>
    <col min="2" max="2" width="19" style="7" bestFit="1" customWidth="1"/>
    <col min="3" max="3" width="6.85546875" style="7" bestFit="1" customWidth="1"/>
    <col min="4" max="4" width="15" style="7" bestFit="1" customWidth="1"/>
    <col min="5" max="5" width="11" style="26" bestFit="1" customWidth="1"/>
    <col min="6" max="6" width="10.42578125" style="24" bestFit="1" customWidth="1"/>
    <col min="7" max="7" width="10" style="27" bestFit="1" customWidth="1"/>
    <col min="8" max="8" width="12.140625" style="25" bestFit="1" customWidth="1"/>
    <col min="9" max="10" width="4.5703125" style="25" customWidth="1"/>
    <col min="11" max="12" width="16" style="25" customWidth="1"/>
    <col min="13" max="14" width="16.28515625" style="25" customWidth="1"/>
    <col min="15" max="15" width="18.28515625" style="25" customWidth="1"/>
    <col min="16" max="16" width="20.42578125" style="25" customWidth="1"/>
    <col min="17" max="18" width="20.42578125" style="25" bestFit="1" customWidth="1"/>
    <col min="19" max="20" width="20.42578125" style="25" customWidth="1"/>
    <col min="21" max="22" width="11.42578125" style="25" customWidth="1"/>
    <col min="23" max="23" width="69.5703125" style="7" customWidth="1"/>
    <col min="24" max="24" width="16.42578125" style="7" bestFit="1" customWidth="1"/>
    <col min="25" max="30" width="2" style="7" bestFit="1" customWidth="1"/>
    <col min="31" max="16384" width="18" style="7"/>
  </cols>
  <sheetData>
    <row r="1" spans="1:30" ht="33.75">
      <c r="A1" s="156" t="s">
        <v>354</v>
      </c>
      <c r="B1" s="156"/>
      <c r="C1" s="156"/>
      <c r="D1" s="156"/>
      <c r="E1" s="156"/>
      <c r="F1" s="156"/>
      <c r="G1" s="156"/>
      <c r="H1" s="156"/>
      <c r="I1" s="9"/>
      <c r="J1" s="9"/>
      <c r="K1" s="9"/>
      <c r="L1" s="9"/>
      <c r="M1" s="160" t="s">
        <v>1530</v>
      </c>
      <c r="N1" s="9"/>
      <c r="O1" s="9"/>
      <c r="P1" s="9"/>
      <c r="Q1" s="9"/>
      <c r="R1" s="9"/>
      <c r="S1" s="9"/>
      <c r="T1" s="9"/>
      <c r="U1" s="9"/>
      <c r="V1" s="9"/>
      <c r="W1"/>
      <c r="X1" s="10" t="s">
        <v>6</v>
      </c>
      <c r="Y1" s="8">
        <f>SUMIFS($G:$G,$A:$A,$X1,$B:$B,#REF!)</f>
        <v>0</v>
      </c>
      <c r="Z1" s="8">
        <f>SUMIFS($G:$G,$A:$A,$X1,$B:$B,#REF!)</f>
        <v>0</v>
      </c>
      <c r="AA1" s="8">
        <f>SUMIFS($G:$G,$A:$A,$X1,$B:$B,#REF!)</f>
        <v>0</v>
      </c>
      <c r="AB1" s="8">
        <f>SUMIFS($G:$G,$A:$A,$X1,$B:$B,#REF!)</f>
        <v>0</v>
      </c>
      <c r="AC1" s="8">
        <f>SUMIFS($G:$G,$A:$A,$X1,$B:$B,#REF!)</f>
        <v>0</v>
      </c>
      <c r="AD1" s="11">
        <f>SUM(Y1:AC1)</f>
        <v>0</v>
      </c>
    </row>
    <row r="2" spans="1:30" s="13" customFormat="1" ht="18">
      <c r="A2" s="132" t="s">
        <v>8</v>
      </c>
      <c r="B2" s="133" t="s">
        <v>9</v>
      </c>
      <c r="C2" s="132" t="s">
        <v>10</v>
      </c>
      <c r="D2" s="133" t="s">
        <v>11</v>
      </c>
      <c r="E2" s="134" t="s">
        <v>12</v>
      </c>
      <c r="F2" s="135" t="s">
        <v>13</v>
      </c>
      <c r="G2" s="136" t="s">
        <v>14</v>
      </c>
      <c r="H2" s="137" t="s">
        <v>1292</v>
      </c>
      <c r="I2" s="12"/>
      <c r="J2" s="12"/>
      <c r="K2" t="s">
        <v>1529</v>
      </c>
      <c r="L2"/>
      <c r="M2"/>
      <c r="N2"/>
      <c r="O2"/>
      <c r="P2"/>
      <c r="Q2"/>
      <c r="R2"/>
      <c r="S2" s="12"/>
      <c r="T2" s="12"/>
      <c r="U2" s="12"/>
      <c r="V2" s="12"/>
      <c r="W2"/>
      <c r="X2" s="10" t="s">
        <v>16</v>
      </c>
      <c r="Y2" s="8">
        <f>SUMIFS($G:$G,$A:$A,$X2,$B:$B,#REF!)</f>
        <v>0</v>
      </c>
      <c r="Z2" s="8">
        <f>SUMIFS($G:$G,$A:$A,$X2,$B:$B,#REF!)</f>
        <v>0</v>
      </c>
      <c r="AA2" s="8">
        <f>SUMIFS($G:$G,$A:$A,$X2,$B:$B,#REF!)</f>
        <v>0</v>
      </c>
      <c r="AB2" s="8">
        <f>SUMIFS($G:$G,$A:$A,$X2,$B:$B,#REF!)</f>
        <v>0</v>
      </c>
      <c r="AC2" s="8">
        <f>SUMIFS($G:$G,$A:$A,$X2,$B:$B,#REF!)</f>
        <v>0</v>
      </c>
      <c r="AD2" s="11">
        <f t="shared" ref="AD2:AD12" si="0">SUM(Y2:AC2)</f>
        <v>0</v>
      </c>
    </row>
    <row r="3" spans="1:30">
      <c r="A3" s="125" t="s">
        <v>16</v>
      </c>
      <c r="B3" s="14" t="s">
        <v>4</v>
      </c>
      <c r="C3" s="127" t="s">
        <v>29</v>
      </c>
      <c r="D3" s="14" t="s">
        <v>19</v>
      </c>
      <c r="E3" s="129">
        <f>41976+(7*364+7)</f>
        <v>44531</v>
      </c>
      <c r="F3" s="15">
        <v>340.95</v>
      </c>
      <c r="G3" s="130">
        <v>13</v>
      </c>
      <c r="H3" s="123">
        <f t="shared" ref="H3:H66" si="1">F3*G3</f>
        <v>4432.3499999999995</v>
      </c>
      <c r="I3" s="16"/>
      <c r="J3" s="16"/>
      <c r="K3" s="159">
        <v>7997</v>
      </c>
      <c r="L3"/>
      <c r="M3"/>
      <c r="N3"/>
      <c r="O3"/>
      <c r="P3"/>
      <c r="Q3"/>
      <c r="R3"/>
      <c r="S3" s="16"/>
      <c r="T3" s="16"/>
      <c r="U3" s="16"/>
      <c r="V3" s="16"/>
      <c r="W3" s="17"/>
      <c r="X3" s="10" t="s">
        <v>25</v>
      </c>
      <c r="Y3" s="8">
        <f>SUMIFS($G:$G,$A:$A,$X3,$B:$B,#REF!)</f>
        <v>0</v>
      </c>
      <c r="Z3" s="8">
        <f>SUMIFS($G:$G,$A:$A,$X3,$B:$B,#REF!)</f>
        <v>0</v>
      </c>
      <c r="AA3" s="8">
        <f>SUMIFS($G:$G,$A:$A,$X3,$B:$B,#REF!)</f>
        <v>0</v>
      </c>
      <c r="AB3" s="8">
        <f>SUMIFS($G:$G,$A:$A,$X3,$B:$B,#REF!)</f>
        <v>0</v>
      </c>
      <c r="AC3" s="8">
        <f>SUMIFS($G:$G,$A:$A,$X3,$B:$B,#REF!)</f>
        <v>0</v>
      </c>
      <c r="AD3" s="11">
        <f t="shared" si="0"/>
        <v>0</v>
      </c>
    </row>
    <row r="4" spans="1:30">
      <c r="A4" s="125" t="s">
        <v>30</v>
      </c>
      <c r="B4" s="14" t="s">
        <v>0</v>
      </c>
      <c r="C4" s="127" t="s">
        <v>18</v>
      </c>
      <c r="D4" s="14" t="s">
        <v>23</v>
      </c>
      <c r="E4" s="129">
        <f>41863+(7*364+7)</f>
        <v>44418</v>
      </c>
      <c r="F4" s="15">
        <v>168.95</v>
      </c>
      <c r="G4" s="130">
        <v>13</v>
      </c>
      <c r="H4" s="123">
        <f t="shared" si="1"/>
        <v>2196.35</v>
      </c>
      <c r="I4" s="16"/>
      <c r="J4" s="16"/>
      <c r="K4"/>
      <c r="L4"/>
      <c r="M4"/>
      <c r="N4"/>
      <c r="O4"/>
      <c r="P4"/>
      <c r="Q4"/>
      <c r="R4"/>
      <c r="S4" s="16"/>
      <c r="T4" s="16"/>
      <c r="U4" s="16"/>
      <c r="V4" s="16"/>
      <c r="W4" s="17"/>
      <c r="X4" s="10" t="s">
        <v>28</v>
      </c>
      <c r="Y4" s="8">
        <f>SUMIFS($G:$G,$A:$A,$X4,$B:$B,#REF!)</f>
        <v>0</v>
      </c>
      <c r="Z4" s="8">
        <f>SUMIFS($G:$G,$A:$A,$X4,$B:$B,#REF!)</f>
        <v>0</v>
      </c>
      <c r="AA4" s="8">
        <f>SUMIFS($G:$G,$A:$A,$X4,$B:$B,#REF!)</f>
        <v>0</v>
      </c>
      <c r="AB4" s="8">
        <f>SUMIFS($G:$G,$A:$A,$X4,$B:$B,#REF!)</f>
        <v>0</v>
      </c>
      <c r="AC4" s="8">
        <f>SUMIFS($G:$G,$A:$A,$X4,$B:$B,#REF!)</f>
        <v>0</v>
      </c>
      <c r="AD4" s="11">
        <f t="shared" si="0"/>
        <v>0</v>
      </c>
    </row>
    <row r="5" spans="1:30">
      <c r="A5" s="125" t="s">
        <v>28</v>
      </c>
      <c r="B5" s="14" t="s">
        <v>3</v>
      </c>
      <c r="C5" s="127" t="s">
        <v>32</v>
      </c>
      <c r="D5" s="14" t="s">
        <v>21</v>
      </c>
      <c r="E5" s="129">
        <f>41818+(7*364+7)</f>
        <v>44373</v>
      </c>
      <c r="F5" s="15">
        <v>799.95</v>
      </c>
      <c r="G5" s="130">
        <v>15</v>
      </c>
      <c r="H5" s="123">
        <f t="shared" si="1"/>
        <v>11999.25</v>
      </c>
      <c r="I5" s="16"/>
      <c r="J5" s="16"/>
      <c r="K5"/>
      <c r="L5"/>
      <c r="M5"/>
      <c r="N5"/>
      <c r="O5"/>
      <c r="P5"/>
      <c r="Q5"/>
      <c r="R5"/>
      <c r="S5" s="16"/>
      <c r="T5" s="16"/>
      <c r="U5" s="16"/>
      <c r="V5" s="16"/>
      <c r="W5" s="17"/>
      <c r="X5" s="10" t="s">
        <v>30</v>
      </c>
      <c r="Y5" s="8">
        <f>SUMIFS($G:$G,$A:$A,$X5,$B:$B,#REF!)</f>
        <v>0</v>
      </c>
      <c r="Z5" s="8">
        <f>SUMIFS($G:$G,$A:$A,$X5,$B:$B,#REF!)</f>
        <v>0</v>
      </c>
      <c r="AA5" s="8">
        <f>SUMIFS($G:$G,$A:$A,$X5,$B:$B,#REF!)</f>
        <v>0</v>
      </c>
      <c r="AB5" s="8">
        <f>SUMIFS($G:$G,$A:$A,$X5,$B:$B,#REF!)</f>
        <v>0</v>
      </c>
      <c r="AC5" s="8">
        <f>SUMIFS($G:$G,$A:$A,$X5,$B:$B,#REF!)</f>
        <v>0</v>
      </c>
      <c r="AD5" s="11">
        <f t="shared" si="0"/>
        <v>0</v>
      </c>
    </row>
    <row r="6" spans="1:30">
      <c r="A6" s="125" t="s">
        <v>17</v>
      </c>
      <c r="B6" s="14" t="s">
        <v>1</v>
      </c>
      <c r="C6" s="127" t="s">
        <v>18</v>
      </c>
      <c r="D6" s="14" t="s">
        <v>21</v>
      </c>
      <c r="E6" s="129">
        <f>42231+(7*364+7)</f>
        <v>44786</v>
      </c>
      <c r="F6" s="15">
        <v>79.989999999999995</v>
      </c>
      <c r="G6" s="130">
        <v>8</v>
      </c>
      <c r="H6" s="123">
        <f t="shared" si="1"/>
        <v>639.91999999999996</v>
      </c>
      <c r="I6" s="16"/>
      <c r="J6" s="16"/>
      <c r="K6"/>
      <c r="L6"/>
      <c r="M6"/>
      <c r="N6"/>
      <c r="O6"/>
      <c r="P6"/>
      <c r="Q6"/>
      <c r="R6"/>
      <c r="S6" s="16"/>
      <c r="T6" s="16"/>
      <c r="U6" s="16"/>
      <c r="V6" s="16"/>
      <c r="W6" s="17"/>
      <c r="X6" s="10" t="s">
        <v>31</v>
      </c>
      <c r="Y6" s="8">
        <f>SUMIFS($G:$G,$A:$A,$X6,$B:$B,#REF!)</f>
        <v>0</v>
      </c>
      <c r="Z6" s="8">
        <f>SUMIFS($G:$G,$A:$A,$X6,$B:$B,#REF!)</f>
        <v>0</v>
      </c>
      <c r="AA6" s="8">
        <f>SUMIFS($G:$G,$A:$A,$X6,$B:$B,#REF!)</f>
        <v>0</v>
      </c>
      <c r="AB6" s="8">
        <f>SUMIFS($G:$G,$A:$A,$X6,$B:$B,#REF!)</f>
        <v>0</v>
      </c>
      <c r="AC6" s="8">
        <f>SUMIFS($G:$G,$A:$A,$X6,$B:$B,#REF!)</f>
        <v>0</v>
      </c>
      <c r="AD6" s="11">
        <f t="shared" si="0"/>
        <v>0</v>
      </c>
    </row>
    <row r="7" spans="1:30">
      <c r="A7" s="125" t="s">
        <v>26</v>
      </c>
      <c r="B7" s="14" t="s">
        <v>0</v>
      </c>
      <c r="C7" s="127" t="s">
        <v>27</v>
      </c>
      <c r="D7" s="14" t="s">
        <v>20</v>
      </c>
      <c r="E7" s="129">
        <f>42034+(7*364+7)</f>
        <v>44589</v>
      </c>
      <c r="F7" s="15">
        <v>168.95</v>
      </c>
      <c r="G7" s="130">
        <v>9</v>
      </c>
      <c r="H7" s="123">
        <f t="shared" si="1"/>
        <v>1520.55</v>
      </c>
      <c r="I7" s="16"/>
      <c r="J7" s="16"/>
      <c r="K7"/>
      <c r="L7"/>
      <c r="M7"/>
      <c r="N7"/>
      <c r="O7"/>
      <c r="P7"/>
      <c r="Q7"/>
      <c r="R7"/>
      <c r="S7" s="16"/>
      <c r="T7" s="16"/>
      <c r="U7" s="16"/>
      <c r="V7" s="16"/>
      <c r="W7" s="17"/>
      <c r="X7" s="10" t="s">
        <v>33</v>
      </c>
      <c r="Y7" s="8">
        <f>SUMIFS($G:$G,$A:$A,$X7,$B:$B,#REF!)</f>
        <v>0</v>
      </c>
      <c r="Z7" s="8">
        <f>SUMIFS($G:$G,$A:$A,$X7,$B:$B,#REF!)</f>
        <v>0</v>
      </c>
      <c r="AA7" s="8">
        <f>SUMIFS($G:$G,$A:$A,$X7,$B:$B,#REF!)</f>
        <v>0</v>
      </c>
      <c r="AB7" s="8">
        <f>SUMIFS($G:$G,$A:$A,$X7,$B:$B,#REF!)</f>
        <v>0</v>
      </c>
      <c r="AC7" s="8">
        <f>SUMIFS($G:$G,$A:$A,$X7,$B:$B,#REF!)</f>
        <v>0</v>
      </c>
      <c r="AD7" s="11">
        <f t="shared" si="0"/>
        <v>0</v>
      </c>
    </row>
    <row r="8" spans="1:30">
      <c r="A8" s="125" t="s">
        <v>28</v>
      </c>
      <c r="B8" s="14" t="s">
        <v>1</v>
      </c>
      <c r="C8" s="127" t="s">
        <v>32</v>
      </c>
      <c r="D8" s="14" t="s">
        <v>21</v>
      </c>
      <c r="E8" s="129">
        <f>42003+(7*364+7)</f>
        <v>44558</v>
      </c>
      <c r="F8" s="15">
        <v>79.989999999999995</v>
      </c>
      <c r="G8" s="130">
        <v>5</v>
      </c>
      <c r="H8" s="123">
        <f t="shared" si="1"/>
        <v>399.95</v>
      </c>
      <c r="I8" s="16"/>
      <c r="J8" s="16"/>
      <c r="K8"/>
      <c r="L8"/>
      <c r="M8"/>
      <c r="N8"/>
      <c r="O8"/>
      <c r="P8"/>
      <c r="Q8"/>
      <c r="R8"/>
      <c r="S8" s="16"/>
      <c r="T8" s="16"/>
      <c r="U8" s="16"/>
      <c r="V8" s="16"/>
      <c r="W8" s="17"/>
      <c r="X8" s="10" t="s">
        <v>35</v>
      </c>
      <c r="Y8" s="8">
        <f>SUMIFS($G:$G,$A:$A,$X8,$B:$B,#REF!)</f>
        <v>0</v>
      </c>
      <c r="Z8" s="8">
        <f>SUMIFS($G:$G,$A:$A,$X8,$B:$B,#REF!)</f>
        <v>0</v>
      </c>
      <c r="AA8" s="8">
        <f>SUMIFS($G:$G,$A:$A,$X8,$B:$B,#REF!)</f>
        <v>0</v>
      </c>
      <c r="AB8" s="8">
        <f>SUMIFS($G:$G,$A:$A,$X8,$B:$B,#REF!)</f>
        <v>0</v>
      </c>
      <c r="AC8" s="8">
        <f>SUMIFS($G:$G,$A:$A,$X8,$B:$B,#REF!)</f>
        <v>0</v>
      </c>
      <c r="AD8" s="11">
        <f t="shared" si="0"/>
        <v>0</v>
      </c>
    </row>
    <row r="9" spans="1:30">
      <c r="A9" s="125" t="s">
        <v>34</v>
      </c>
      <c r="B9" s="14" t="s">
        <v>2</v>
      </c>
      <c r="C9" s="127" t="s">
        <v>32</v>
      </c>
      <c r="D9" s="14" t="s">
        <v>23</v>
      </c>
      <c r="E9" s="129">
        <f>41825+(7*364+7)</f>
        <v>44380</v>
      </c>
      <c r="F9" s="15">
        <v>340.95</v>
      </c>
      <c r="G9" s="130">
        <v>13</v>
      </c>
      <c r="H9" s="123">
        <f t="shared" si="1"/>
        <v>4432.3499999999995</v>
      </c>
      <c r="I9" s="16"/>
      <c r="J9" s="16"/>
      <c r="K9"/>
      <c r="L9"/>
      <c r="M9"/>
      <c r="N9"/>
      <c r="O9"/>
      <c r="P9"/>
      <c r="Q9"/>
      <c r="R9"/>
      <c r="S9" s="16"/>
      <c r="T9" s="16"/>
      <c r="U9" s="16"/>
      <c r="V9" s="16"/>
      <c r="W9" s="17"/>
      <c r="X9" s="10" t="s">
        <v>26</v>
      </c>
      <c r="Y9" s="8">
        <f>SUMIFS($G:$G,$A:$A,$X9,$B:$B,#REF!)</f>
        <v>0</v>
      </c>
      <c r="Z9" s="8">
        <f>SUMIFS($G:$G,$A:$A,$X9,$B:$B,#REF!)</f>
        <v>0</v>
      </c>
      <c r="AA9" s="8">
        <f>SUMIFS($G:$G,$A:$A,$X9,$B:$B,#REF!)</f>
        <v>0</v>
      </c>
      <c r="AB9" s="8">
        <f>SUMIFS($G:$G,$A:$A,$X9,$B:$B,#REF!)</f>
        <v>0</v>
      </c>
      <c r="AC9" s="8">
        <f>SUMIFS($G:$G,$A:$A,$X9,$B:$B,#REF!)</f>
        <v>0</v>
      </c>
      <c r="AD9" s="11">
        <f t="shared" si="0"/>
        <v>0</v>
      </c>
    </row>
    <row r="10" spans="1:30">
      <c r="A10" s="125" t="s">
        <v>28</v>
      </c>
      <c r="B10" s="14" t="s">
        <v>2</v>
      </c>
      <c r="C10" s="127" t="s">
        <v>32</v>
      </c>
      <c r="D10" s="14" t="s">
        <v>19</v>
      </c>
      <c r="E10" s="129">
        <f>41776+(7*364+7)</f>
        <v>44331</v>
      </c>
      <c r="F10" s="15">
        <v>340.95</v>
      </c>
      <c r="G10" s="130">
        <v>6</v>
      </c>
      <c r="H10" s="123">
        <f t="shared" si="1"/>
        <v>2045.6999999999998</v>
      </c>
      <c r="I10" s="16"/>
      <c r="J10" s="16"/>
      <c r="K10"/>
      <c r="L10"/>
      <c r="M10"/>
      <c r="N10"/>
      <c r="O10"/>
      <c r="P10"/>
      <c r="Q10"/>
      <c r="R10"/>
      <c r="S10" s="16"/>
      <c r="T10" s="16"/>
      <c r="U10" s="16"/>
      <c r="V10" s="16"/>
      <c r="W10" s="17"/>
      <c r="X10" s="10" t="s">
        <v>34</v>
      </c>
      <c r="Y10" s="8">
        <f>SUMIFS($G:$G,$A:$A,$X10,$B:$B,#REF!)</f>
        <v>0</v>
      </c>
      <c r="Z10" s="8">
        <f>SUMIFS($G:$G,$A:$A,$X10,$B:$B,#REF!)</f>
        <v>0</v>
      </c>
      <c r="AA10" s="8">
        <f>SUMIFS($G:$G,$A:$A,$X10,$B:$B,#REF!)</f>
        <v>0</v>
      </c>
      <c r="AB10" s="8">
        <f>SUMIFS($G:$G,$A:$A,$X10,$B:$B,#REF!)</f>
        <v>0</v>
      </c>
      <c r="AC10" s="8">
        <f>SUMIFS($G:$G,$A:$A,$X10,$B:$B,#REF!)</f>
        <v>0</v>
      </c>
      <c r="AD10" s="11">
        <f t="shared" si="0"/>
        <v>0</v>
      </c>
    </row>
    <row r="11" spans="1:30">
      <c r="A11" s="125" t="s">
        <v>28</v>
      </c>
      <c r="B11" s="14" t="s">
        <v>2</v>
      </c>
      <c r="C11" s="127" t="s">
        <v>32</v>
      </c>
      <c r="D11" s="14" t="s">
        <v>22</v>
      </c>
      <c r="E11" s="129">
        <f>41711+(7*364+7)</f>
        <v>44266</v>
      </c>
      <c r="F11" s="15">
        <v>340.95</v>
      </c>
      <c r="G11" s="130">
        <v>9</v>
      </c>
      <c r="H11" s="123">
        <f t="shared" si="1"/>
        <v>3068.5499999999997</v>
      </c>
      <c r="I11" s="16"/>
      <c r="J11" s="16"/>
      <c r="K11"/>
      <c r="L11"/>
      <c r="M11"/>
      <c r="R11"/>
      <c r="S11" s="16"/>
      <c r="T11" s="16"/>
      <c r="U11" s="16"/>
      <c r="V11" s="16"/>
      <c r="W11" s="17"/>
      <c r="X11" s="10" t="s">
        <v>17</v>
      </c>
      <c r="Y11" s="8">
        <f>SUMIFS($G:$G,$A:$A,$X11,$B:$B,#REF!)</f>
        <v>0</v>
      </c>
      <c r="Z11" s="8">
        <f>SUMIFS($G:$G,$A:$A,$X11,$B:$B,#REF!)</f>
        <v>0</v>
      </c>
      <c r="AA11" s="8">
        <f>SUMIFS($G:$G,$A:$A,$X11,$B:$B,#REF!)</f>
        <v>0</v>
      </c>
      <c r="AB11" s="8">
        <f>SUMIFS($G:$G,$A:$A,$X11,$B:$B,#REF!)</f>
        <v>0</v>
      </c>
      <c r="AC11" s="8">
        <f>SUMIFS($G:$G,$A:$A,$X11,$B:$B,#REF!)</f>
        <v>0</v>
      </c>
      <c r="AD11" s="11">
        <f t="shared" si="0"/>
        <v>0</v>
      </c>
    </row>
    <row r="12" spans="1:30">
      <c r="A12" s="125" t="s">
        <v>31</v>
      </c>
      <c r="B12" s="14" t="s">
        <v>3</v>
      </c>
      <c r="C12" s="127" t="s">
        <v>32</v>
      </c>
      <c r="D12" s="14" t="s">
        <v>22</v>
      </c>
      <c r="E12" s="129">
        <f>42242+(7*364+7)</f>
        <v>44797</v>
      </c>
      <c r="F12" s="15">
        <v>799.95</v>
      </c>
      <c r="G12" s="130">
        <v>10</v>
      </c>
      <c r="H12" s="123">
        <f t="shared" si="1"/>
        <v>7999.5</v>
      </c>
      <c r="I12" s="16"/>
      <c r="J12" s="16"/>
      <c r="K12"/>
      <c r="L12"/>
      <c r="M12"/>
      <c r="V12"/>
      <c r="W12" s="17"/>
      <c r="X12" s="19" t="s">
        <v>5</v>
      </c>
      <c r="Y12" s="20">
        <f>SUM(Y1:Y11)</f>
        <v>0</v>
      </c>
      <c r="Z12" s="20">
        <f>SUM(Z1:Z11)</f>
        <v>0</v>
      </c>
      <c r="AA12" s="20">
        <f>SUM(AA1:AA11)</f>
        <v>0</v>
      </c>
      <c r="AB12" s="20">
        <f>SUM(AB1:AB11)</f>
        <v>0</v>
      </c>
      <c r="AC12" s="20">
        <f>SUM(AC1:AC11)</f>
        <v>0</v>
      </c>
      <c r="AD12" s="20">
        <f t="shared" si="0"/>
        <v>0</v>
      </c>
    </row>
    <row r="13" spans="1:30">
      <c r="A13" s="125" t="s">
        <v>35</v>
      </c>
      <c r="B13" s="14" t="s">
        <v>1</v>
      </c>
      <c r="C13" s="127" t="s">
        <v>29</v>
      </c>
      <c r="D13" s="14" t="s">
        <v>23</v>
      </c>
      <c r="E13" s="129">
        <f>42235+(7*364+7)</f>
        <v>44790</v>
      </c>
      <c r="F13" s="15">
        <v>79.989999999999995</v>
      </c>
      <c r="G13" s="130">
        <v>7</v>
      </c>
      <c r="H13" s="123">
        <f t="shared" si="1"/>
        <v>559.92999999999995</v>
      </c>
      <c r="I13" s="16"/>
      <c r="J13" s="16"/>
      <c r="K13"/>
      <c r="L13"/>
      <c r="M13"/>
      <c r="V13"/>
      <c r="W13" s="17"/>
    </row>
    <row r="14" spans="1:30">
      <c r="A14" s="125" t="s">
        <v>6</v>
      </c>
      <c r="B14" s="14" t="s">
        <v>0</v>
      </c>
      <c r="C14" s="127" t="s">
        <v>18</v>
      </c>
      <c r="D14" s="14" t="s">
        <v>20</v>
      </c>
      <c r="E14" s="129">
        <f>42150+(7*364+7)</f>
        <v>44705</v>
      </c>
      <c r="F14" s="15">
        <v>168.95</v>
      </c>
      <c r="G14" s="130">
        <v>14</v>
      </c>
      <c r="H14" s="123">
        <f t="shared" si="1"/>
        <v>2365.2999999999997</v>
      </c>
      <c r="I14" s="16"/>
      <c r="J14" s="16"/>
      <c r="K14"/>
      <c r="L14"/>
      <c r="M14"/>
      <c r="V14"/>
      <c r="W14" s="17"/>
    </row>
    <row r="15" spans="1:30">
      <c r="A15" s="125" t="s">
        <v>6</v>
      </c>
      <c r="B15" s="14" t="s">
        <v>0</v>
      </c>
      <c r="C15" s="127" t="s">
        <v>18</v>
      </c>
      <c r="D15" s="14" t="s">
        <v>22</v>
      </c>
      <c r="E15" s="129">
        <f>41998+(7*364+7)</f>
        <v>44553</v>
      </c>
      <c r="F15" s="15">
        <v>168.95</v>
      </c>
      <c r="G15" s="130">
        <v>12</v>
      </c>
      <c r="H15" s="123">
        <f t="shared" si="1"/>
        <v>2027.3999999999999</v>
      </c>
      <c r="I15" s="16"/>
      <c r="J15" s="16"/>
      <c r="K15"/>
      <c r="L15"/>
      <c r="M15"/>
      <c r="V15"/>
      <c r="W15" s="17"/>
    </row>
    <row r="16" spans="1:30">
      <c r="A16" s="125" t="s">
        <v>34</v>
      </c>
      <c r="B16" s="14" t="s">
        <v>3</v>
      </c>
      <c r="C16" s="127" t="s">
        <v>32</v>
      </c>
      <c r="D16" s="14" t="s">
        <v>20</v>
      </c>
      <c r="E16" s="129">
        <f>41649+(7*364+7)</f>
        <v>44204</v>
      </c>
      <c r="F16" s="15">
        <v>799.95</v>
      </c>
      <c r="G16" s="130">
        <v>13</v>
      </c>
      <c r="H16" s="123">
        <f t="shared" si="1"/>
        <v>10399.35</v>
      </c>
      <c r="I16" s="16"/>
      <c r="J16" s="16"/>
      <c r="K16"/>
      <c r="L16"/>
      <c r="M16"/>
      <c r="V16"/>
      <c r="W16" s="17"/>
    </row>
    <row r="17" spans="1:23">
      <c r="A17" s="125" t="s">
        <v>26</v>
      </c>
      <c r="B17" s="14" t="s">
        <v>4</v>
      </c>
      <c r="C17" s="127" t="s">
        <v>27</v>
      </c>
      <c r="D17" s="14" t="s">
        <v>22</v>
      </c>
      <c r="E17" s="129">
        <f>41833+(7*364+7)</f>
        <v>44388</v>
      </c>
      <c r="F17" s="15">
        <v>340.95</v>
      </c>
      <c r="G17" s="130">
        <v>14</v>
      </c>
      <c r="H17" s="123">
        <f t="shared" si="1"/>
        <v>4773.3</v>
      </c>
      <c r="I17" s="16"/>
      <c r="J17" s="16"/>
      <c r="K17"/>
      <c r="L17"/>
      <c r="M17"/>
      <c r="V17"/>
      <c r="W17" s="17"/>
    </row>
    <row r="18" spans="1:23">
      <c r="A18" s="125" t="s">
        <v>33</v>
      </c>
      <c r="B18" s="14" t="s">
        <v>3</v>
      </c>
      <c r="C18" s="127" t="s">
        <v>18</v>
      </c>
      <c r="D18" s="14" t="s">
        <v>23</v>
      </c>
      <c r="E18" s="129">
        <f>42165+(7*364+7)</f>
        <v>44720</v>
      </c>
      <c r="F18" s="15">
        <v>799.95</v>
      </c>
      <c r="G18" s="130">
        <v>3</v>
      </c>
      <c r="H18" s="123">
        <f t="shared" si="1"/>
        <v>2399.8500000000004</v>
      </c>
      <c r="I18" s="16"/>
      <c r="J18" s="16"/>
      <c r="K18"/>
      <c r="L18"/>
      <c r="M18"/>
      <c r="V18"/>
      <c r="W18" s="17"/>
    </row>
    <row r="19" spans="1:23">
      <c r="A19" s="125" t="s">
        <v>30</v>
      </c>
      <c r="B19" s="14" t="s">
        <v>3</v>
      </c>
      <c r="C19" s="127" t="s">
        <v>18</v>
      </c>
      <c r="D19" s="14" t="s">
        <v>23</v>
      </c>
      <c r="E19" s="129">
        <f>41896+(7*364+7)</f>
        <v>44451</v>
      </c>
      <c r="F19" s="15">
        <v>799.95</v>
      </c>
      <c r="G19" s="130">
        <v>10</v>
      </c>
      <c r="H19" s="123">
        <f t="shared" si="1"/>
        <v>7999.5</v>
      </c>
      <c r="I19" s="16"/>
      <c r="J19" s="16"/>
      <c r="K19"/>
      <c r="L19"/>
      <c r="M19"/>
      <c r="V19"/>
      <c r="W19" s="17"/>
    </row>
    <row r="20" spans="1:23">
      <c r="A20" s="125" t="s">
        <v>28</v>
      </c>
      <c r="B20" s="14" t="s">
        <v>1</v>
      </c>
      <c r="C20" s="127" t="s">
        <v>32</v>
      </c>
      <c r="D20" s="14" t="s">
        <v>23</v>
      </c>
      <c r="E20" s="129">
        <f>41738+(7*364+7)</f>
        <v>44293</v>
      </c>
      <c r="F20" s="15">
        <v>79.989999999999995</v>
      </c>
      <c r="G20" s="130">
        <v>13</v>
      </c>
      <c r="H20" s="123">
        <f t="shared" si="1"/>
        <v>1039.8699999999999</v>
      </c>
      <c r="I20" s="16"/>
      <c r="J20" s="16"/>
      <c r="K20"/>
      <c r="L20"/>
      <c r="V20"/>
      <c r="W20" s="17"/>
    </row>
    <row r="21" spans="1:23">
      <c r="A21" s="125" t="s">
        <v>6</v>
      </c>
      <c r="B21" s="14" t="s">
        <v>3</v>
      </c>
      <c r="C21" s="127" t="s">
        <v>18</v>
      </c>
      <c r="D21" s="14" t="s">
        <v>23</v>
      </c>
      <c r="E21" s="129">
        <f>42151+(7*364+7)</f>
        <v>44706</v>
      </c>
      <c r="F21" s="15">
        <v>799.95</v>
      </c>
      <c r="G21" s="130">
        <v>4</v>
      </c>
      <c r="H21" s="123">
        <f t="shared" si="1"/>
        <v>3199.8</v>
      </c>
      <c r="I21" s="16"/>
      <c r="J21" s="16"/>
      <c r="K21"/>
      <c r="L21"/>
      <c r="V21"/>
      <c r="W21" s="17"/>
    </row>
    <row r="22" spans="1:23">
      <c r="A22" s="125" t="s">
        <v>25</v>
      </c>
      <c r="B22" s="14" t="s">
        <v>4</v>
      </c>
      <c r="C22" s="127" t="s">
        <v>32</v>
      </c>
      <c r="D22" s="14" t="s">
        <v>23</v>
      </c>
      <c r="E22" s="129">
        <f>41945+(7*364+7)</f>
        <v>44500</v>
      </c>
      <c r="F22" s="15">
        <v>340.95</v>
      </c>
      <c r="G22" s="130">
        <v>2</v>
      </c>
      <c r="H22" s="123">
        <f t="shared" si="1"/>
        <v>681.9</v>
      </c>
      <c r="I22" s="16"/>
      <c r="J22" s="16"/>
      <c r="K22"/>
      <c r="L22"/>
      <c r="V22"/>
      <c r="W22" s="17"/>
    </row>
    <row r="23" spans="1:23">
      <c r="A23" s="125" t="s">
        <v>6</v>
      </c>
      <c r="B23" s="14" t="s">
        <v>1</v>
      </c>
      <c r="C23" s="127" t="s">
        <v>18</v>
      </c>
      <c r="D23" s="14" t="s">
        <v>23</v>
      </c>
      <c r="E23" s="129">
        <f>42192+(7*364+7)</f>
        <v>44747</v>
      </c>
      <c r="F23" s="15">
        <v>79.989999999999995</v>
      </c>
      <c r="G23" s="130">
        <v>10</v>
      </c>
      <c r="H23" s="123">
        <f t="shared" si="1"/>
        <v>799.9</v>
      </c>
      <c r="I23" s="16"/>
      <c r="J23" s="16"/>
      <c r="K23"/>
      <c r="L23"/>
      <c r="V23"/>
      <c r="W23" s="17"/>
    </row>
    <row r="24" spans="1:23">
      <c r="A24" s="125" t="s">
        <v>7</v>
      </c>
      <c r="B24" s="14" t="s">
        <v>0</v>
      </c>
      <c r="C24" s="127" t="s">
        <v>27</v>
      </c>
      <c r="D24" s="14" t="s">
        <v>19</v>
      </c>
      <c r="E24" s="129">
        <f>41654+(7*364+7)</f>
        <v>44209</v>
      </c>
      <c r="F24" s="15">
        <v>168.95</v>
      </c>
      <c r="G24" s="130">
        <v>11</v>
      </c>
      <c r="H24" s="123">
        <f t="shared" si="1"/>
        <v>1858.4499999999998</v>
      </c>
      <c r="I24" s="16"/>
      <c r="J24" s="16"/>
      <c r="K24"/>
      <c r="L24"/>
      <c r="V24"/>
      <c r="W24" s="17"/>
    </row>
    <row r="25" spans="1:23">
      <c r="A25" s="125" t="s">
        <v>28</v>
      </c>
      <c r="B25" s="14" t="s">
        <v>0</v>
      </c>
      <c r="C25" s="127" t="s">
        <v>32</v>
      </c>
      <c r="D25" s="14" t="s">
        <v>19</v>
      </c>
      <c r="E25" s="129">
        <f>41800+(7*364+7)</f>
        <v>44355</v>
      </c>
      <c r="F25" s="15">
        <v>168.95</v>
      </c>
      <c r="G25" s="130">
        <v>18</v>
      </c>
      <c r="H25" s="123">
        <f t="shared" si="1"/>
        <v>3041.1</v>
      </c>
      <c r="I25" s="16"/>
      <c r="J25" s="16"/>
      <c r="K25" s="117" t="s">
        <v>15</v>
      </c>
      <c r="L25" s="117" t="s">
        <v>9</v>
      </c>
      <c r="M25"/>
      <c r="N25"/>
      <c r="O25"/>
      <c r="P25"/>
      <c r="Q25"/>
      <c r="V25"/>
      <c r="W25" s="17"/>
    </row>
    <row r="26" spans="1:23">
      <c r="A26" s="125" t="s">
        <v>34</v>
      </c>
      <c r="B26" s="14" t="s">
        <v>0</v>
      </c>
      <c r="C26" s="127" t="s">
        <v>32</v>
      </c>
      <c r="D26" s="14" t="s">
        <v>21</v>
      </c>
      <c r="E26" s="129">
        <f>42139+(7*364+7)</f>
        <v>44694</v>
      </c>
      <c r="F26" s="15">
        <v>168.95</v>
      </c>
      <c r="G26" s="130">
        <v>2</v>
      </c>
      <c r="H26" s="123">
        <f t="shared" si="1"/>
        <v>337.9</v>
      </c>
      <c r="I26" s="16"/>
      <c r="J26" s="16"/>
      <c r="K26" s="117" t="s">
        <v>8</v>
      </c>
      <c r="L26" t="s">
        <v>0</v>
      </c>
      <c r="M26" t="s">
        <v>1</v>
      </c>
      <c r="N26" t="s">
        <v>2</v>
      </c>
      <c r="O26" t="s">
        <v>3</v>
      </c>
      <c r="P26" t="s">
        <v>4</v>
      </c>
      <c r="Q26" t="s">
        <v>24</v>
      </c>
      <c r="V26"/>
      <c r="W26" s="17"/>
    </row>
    <row r="27" spans="1:23">
      <c r="A27" s="125" t="s">
        <v>33</v>
      </c>
      <c r="B27" s="14" t="s">
        <v>0</v>
      </c>
      <c r="C27" s="127" t="s">
        <v>18</v>
      </c>
      <c r="D27" s="14" t="s">
        <v>22</v>
      </c>
      <c r="E27" s="129">
        <f>42158+(7*364+7)</f>
        <v>44713</v>
      </c>
      <c r="F27" s="15">
        <v>168.95</v>
      </c>
      <c r="G27" s="130">
        <v>4</v>
      </c>
      <c r="H27" s="123">
        <f t="shared" si="1"/>
        <v>675.8</v>
      </c>
      <c r="I27" s="16"/>
      <c r="J27" s="16"/>
      <c r="K27" t="s">
        <v>6</v>
      </c>
      <c r="L27" s="18">
        <v>26018.299999999996</v>
      </c>
      <c r="M27" s="18">
        <v>8318.9599999999991</v>
      </c>
      <c r="N27" s="18">
        <v>47051.100000000006</v>
      </c>
      <c r="O27" s="18">
        <v>96793.950000000012</v>
      </c>
      <c r="P27" s="18">
        <v>31026.45</v>
      </c>
      <c r="Q27" s="18">
        <v>209208.76</v>
      </c>
      <c r="R27"/>
      <c r="S27"/>
      <c r="T27"/>
      <c r="U27"/>
      <c r="V27"/>
      <c r="W27" s="17"/>
    </row>
    <row r="28" spans="1:23">
      <c r="A28" s="125" t="s">
        <v>35</v>
      </c>
      <c r="B28" s="14" t="s">
        <v>3</v>
      </c>
      <c r="C28" s="127" t="s">
        <v>29</v>
      </c>
      <c r="D28" s="14" t="s">
        <v>21</v>
      </c>
      <c r="E28" s="129">
        <f>41992+(7*364+7)</f>
        <v>44547</v>
      </c>
      <c r="F28" s="15">
        <v>799.95</v>
      </c>
      <c r="G28" s="130">
        <v>14</v>
      </c>
      <c r="H28" s="123">
        <f t="shared" si="1"/>
        <v>11199.300000000001</v>
      </c>
      <c r="I28" s="16"/>
      <c r="J28" s="16"/>
      <c r="K28" t="s">
        <v>7</v>
      </c>
      <c r="L28" s="18">
        <v>25342.499999999996</v>
      </c>
      <c r="M28" s="18">
        <v>5519.3099999999995</v>
      </c>
      <c r="N28" s="18">
        <v>52847.25</v>
      </c>
      <c r="O28" s="18">
        <v>80794.950000000012</v>
      </c>
      <c r="P28" s="18">
        <v>37504.5</v>
      </c>
      <c r="Q28" s="18">
        <v>202008.51</v>
      </c>
      <c r="R28"/>
      <c r="S28"/>
      <c r="T28"/>
      <c r="U28"/>
      <c r="V28"/>
      <c r="W28" s="17"/>
    </row>
    <row r="29" spans="1:23">
      <c r="A29" s="125" t="s">
        <v>7</v>
      </c>
      <c r="B29" s="14" t="s">
        <v>2</v>
      </c>
      <c r="C29" s="127" t="s">
        <v>27</v>
      </c>
      <c r="D29" s="14" t="s">
        <v>23</v>
      </c>
      <c r="E29" s="129">
        <f>42041+(7*364+7)</f>
        <v>44596</v>
      </c>
      <c r="F29" s="15">
        <v>340.95</v>
      </c>
      <c r="G29" s="130">
        <v>14</v>
      </c>
      <c r="H29" s="123">
        <f t="shared" si="1"/>
        <v>4773.3</v>
      </c>
      <c r="I29" s="16"/>
      <c r="J29" s="16"/>
      <c r="K29" t="s">
        <v>16</v>
      </c>
      <c r="L29" s="18">
        <v>35310.550000000003</v>
      </c>
      <c r="M29" s="18">
        <v>9438.82</v>
      </c>
      <c r="N29" s="18">
        <v>51483.450000000004</v>
      </c>
      <c r="O29" s="18">
        <v>93594.15</v>
      </c>
      <c r="P29" s="18">
        <v>62393.85</v>
      </c>
      <c r="Q29" s="18">
        <v>252220.82</v>
      </c>
      <c r="R29"/>
      <c r="S29"/>
      <c r="T29"/>
      <c r="U29"/>
      <c r="V29"/>
      <c r="W29" s="17"/>
    </row>
    <row r="30" spans="1:23">
      <c r="A30" s="125" t="s">
        <v>35</v>
      </c>
      <c r="B30" s="14" t="s">
        <v>3</v>
      </c>
      <c r="C30" s="127" t="s">
        <v>29</v>
      </c>
      <c r="D30" s="14" t="s">
        <v>19</v>
      </c>
      <c r="E30" s="129">
        <f>42127+(7*364+7)</f>
        <v>44682</v>
      </c>
      <c r="F30" s="15">
        <v>799.95</v>
      </c>
      <c r="G30" s="130">
        <v>20</v>
      </c>
      <c r="H30" s="123">
        <f t="shared" si="1"/>
        <v>15999</v>
      </c>
      <c r="I30" s="16"/>
      <c r="J30" s="16"/>
      <c r="K30" t="s">
        <v>25</v>
      </c>
      <c r="L30" s="18">
        <v>3210.05</v>
      </c>
      <c r="M30" s="18">
        <v>11998.499999999996</v>
      </c>
      <c r="N30" s="18">
        <v>30685.5</v>
      </c>
      <c r="O30" s="18">
        <v>139191.30000000002</v>
      </c>
      <c r="P30" s="18">
        <v>56597.69999999999</v>
      </c>
      <c r="Q30" s="18">
        <v>241683.05</v>
      </c>
      <c r="R30"/>
      <c r="S30"/>
      <c r="T30"/>
      <c r="U30"/>
      <c r="V30"/>
      <c r="W30" s="17"/>
    </row>
    <row r="31" spans="1:23">
      <c r="A31" s="125" t="s">
        <v>30</v>
      </c>
      <c r="B31" s="14" t="s">
        <v>3</v>
      </c>
      <c r="C31" s="127" t="s">
        <v>18</v>
      </c>
      <c r="D31" s="14" t="s">
        <v>20</v>
      </c>
      <c r="E31" s="129">
        <f>41843+(7*364+7)</f>
        <v>44398</v>
      </c>
      <c r="F31" s="15">
        <v>799.95</v>
      </c>
      <c r="G31" s="130">
        <v>2</v>
      </c>
      <c r="H31" s="123">
        <f t="shared" si="1"/>
        <v>1599.9</v>
      </c>
      <c r="I31" s="16"/>
      <c r="J31" s="16"/>
      <c r="K31" t="s">
        <v>28</v>
      </c>
      <c r="L31" s="18">
        <v>26018.300000000003</v>
      </c>
      <c r="M31" s="18">
        <v>9918.7599999999984</v>
      </c>
      <c r="N31" s="18">
        <v>27275.999999999996</v>
      </c>
      <c r="O31" s="18">
        <v>83994.75</v>
      </c>
      <c r="P31" s="18">
        <v>57620.549999999988</v>
      </c>
      <c r="Q31" s="18">
        <v>204828.36</v>
      </c>
      <c r="R31"/>
      <c r="S31"/>
      <c r="T31"/>
      <c r="U31"/>
      <c r="V31"/>
      <c r="W31" s="17"/>
    </row>
    <row r="32" spans="1:23">
      <c r="A32" s="125" t="s">
        <v>34</v>
      </c>
      <c r="B32" s="14" t="s">
        <v>3</v>
      </c>
      <c r="C32" s="127" t="s">
        <v>32</v>
      </c>
      <c r="D32" s="14" t="s">
        <v>21</v>
      </c>
      <c r="E32" s="129">
        <f>41758+(7*364+7)</f>
        <v>44313</v>
      </c>
      <c r="F32" s="15">
        <v>799.95</v>
      </c>
      <c r="G32" s="130">
        <v>8</v>
      </c>
      <c r="H32" s="123">
        <f t="shared" si="1"/>
        <v>6399.6</v>
      </c>
      <c r="I32" s="16"/>
      <c r="J32" s="16"/>
      <c r="K32" t="s">
        <v>30</v>
      </c>
      <c r="L32" s="18">
        <v>13347.050000000001</v>
      </c>
      <c r="M32" s="18">
        <v>9758.7800000000007</v>
      </c>
      <c r="N32" s="18">
        <v>25230.3</v>
      </c>
      <c r="O32" s="18">
        <v>85594.650000000009</v>
      </c>
      <c r="P32" s="18">
        <v>48414.9</v>
      </c>
      <c r="Q32" s="18">
        <v>182345.68000000002</v>
      </c>
      <c r="R32"/>
      <c r="S32"/>
      <c r="T32"/>
      <c r="U32"/>
      <c r="V32"/>
      <c r="W32" s="17"/>
    </row>
    <row r="33" spans="1:23">
      <c r="A33" s="125" t="s">
        <v>30</v>
      </c>
      <c r="B33" s="14" t="s">
        <v>0</v>
      </c>
      <c r="C33" s="127" t="s">
        <v>18</v>
      </c>
      <c r="D33" s="14" t="s">
        <v>20</v>
      </c>
      <c r="E33" s="129">
        <f>41808+(7*364+7)</f>
        <v>44363</v>
      </c>
      <c r="F33" s="15">
        <v>168.95</v>
      </c>
      <c r="G33" s="130">
        <v>9</v>
      </c>
      <c r="H33" s="123">
        <f t="shared" si="1"/>
        <v>1520.55</v>
      </c>
      <c r="I33" s="16"/>
      <c r="J33" s="16"/>
      <c r="K33" t="s">
        <v>31</v>
      </c>
      <c r="L33" s="18">
        <v>13009.15</v>
      </c>
      <c r="M33" s="18">
        <v>10398.699999999999</v>
      </c>
      <c r="N33" s="18">
        <v>25571.249999999996</v>
      </c>
      <c r="O33" s="18">
        <v>137591.4</v>
      </c>
      <c r="P33" s="18">
        <v>21138.899999999998</v>
      </c>
      <c r="Q33" s="18">
        <v>207709.4</v>
      </c>
      <c r="R33"/>
      <c r="S33"/>
      <c r="T33"/>
      <c r="U33"/>
      <c r="V33"/>
      <c r="W33" s="17"/>
    </row>
    <row r="34" spans="1:23">
      <c r="A34" s="125" t="s">
        <v>25</v>
      </c>
      <c r="B34" s="14" t="s">
        <v>3</v>
      </c>
      <c r="C34" s="127" t="s">
        <v>32</v>
      </c>
      <c r="D34" s="14" t="s">
        <v>20</v>
      </c>
      <c r="E34" s="129">
        <f>41710+(7*364+7)</f>
        <v>44265</v>
      </c>
      <c r="F34" s="15">
        <v>799.95</v>
      </c>
      <c r="G34" s="130">
        <v>8</v>
      </c>
      <c r="H34" s="123">
        <f t="shared" si="1"/>
        <v>6399.6</v>
      </c>
      <c r="I34" s="16"/>
      <c r="J34" s="16"/>
      <c r="K34" t="s">
        <v>33</v>
      </c>
      <c r="L34" s="18">
        <v>24835.649999999994</v>
      </c>
      <c r="M34" s="18">
        <v>11598.55</v>
      </c>
      <c r="N34" s="18">
        <v>42618.75</v>
      </c>
      <c r="O34" s="18">
        <v>92794.200000000026</v>
      </c>
      <c r="P34" s="18">
        <v>72281.399999999994</v>
      </c>
      <c r="Q34" s="18">
        <v>244128.55000000002</v>
      </c>
      <c r="R34"/>
      <c r="S34"/>
      <c r="T34"/>
      <c r="U34"/>
      <c r="V34"/>
      <c r="W34" s="17"/>
    </row>
    <row r="35" spans="1:23">
      <c r="A35" s="125" t="s">
        <v>28</v>
      </c>
      <c r="B35" s="14" t="s">
        <v>2</v>
      </c>
      <c r="C35" s="127" t="s">
        <v>32</v>
      </c>
      <c r="D35" s="14" t="s">
        <v>19</v>
      </c>
      <c r="E35" s="129">
        <f>42351+(7*364+7)</f>
        <v>44906</v>
      </c>
      <c r="F35" s="15">
        <v>340.95</v>
      </c>
      <c r="G35" s="130">
        <v>11</v>
      </c>
      <c r="H35" s="123">
        <f t="shared" si="1"/>
        <v>3750.45</v>
      </c>
      <c r="I35" s="16"/>
      <c r="J35" s="16"/>
      <c r="K35" t="s">
        <v>35</v>
      </c>
      <c r="L35" s="18">
        <v>15712.35</v>
      </c>
      <c r="M35" s="18">
        <v>4959.3799999999992</v>
      </c>
      <c r="N35" s="18">
        <v>24548.400000000001</v>
      </c>
      <c r="O35" s="18">
        <v>71995.5</v>
      </c>
      <c r="P35" s="18">
        <v>41254.949999999997</v>
      </c>
      <c r="Q35" s="18">
        <v>158470.58000000002</v>
      </c>
      <c r="R35"/>
      <c r="S35"/>
      <c r="T35"/>
      <c r="U35"/>
      <c r="V35"/>
      <c r="W35" s="17"/>
    </row>
    <row r="36" spans="1:23">
      <c r="A36" s="125" t="s">
        <v>25</v>
      </c>
      <c r="B36" s="14" t="s">
        <v>4</v>
      </c>
      <c r="C36" s="127" t="s">
        <v>32</v>
      </c>
      <c r="D36" s="14" t="s">
        <v>22</v>
      </c>
      <c r="E36" s="129">
        <f>42134+(7*364+7)</f>
        <v>44689</v>
      </c>
      <c r="F36" s="15">
        <v>340.95</v>
      </c>
      <c r="G36" s="130">
        <v>8</v>
      </c>
      <c r="H36" s="123">
        <f t="shared" si="1"/>
        <v>2727.6</v>
      </c>
      <c r="I36" s="16"/>
      <c r="J36" s="16"/>
      <c r="K36" t="s">
        <v>26</v>
      </c>
      <c r="L36" s="18">
        <v>22639.299999999996</v>
      </c>
      <c r="M36" s="18">
        <v>11598.549999999997</v>
      </c>
      <c r="N36" s="18">
        <v>26935.05</v>
      </c>
      <c r="O36" s="18">
        <v>102393.60000000001</v>
      </c>
      <c r="P36" s="18">
        <v>58643.4</v>
      </c>
      <c r="Q36" s="18">
        <v>222209.9</v>
      </c>
      <c r="R36"/>
      <c r="S36"/>
      <c r="T36"/>
      <c r="U36"/>
      <c r="V36"/>
      <c r="W36" s="17"/>
    </row>
    <row r="37" spans="1:23">
      <c r="A37" s="125" t="s">
        <v>7</v>
      </c>
      <c r="B37" s="14" t="s">
        <v>0</v>
      </c>
      <c r="C37" s="127" t="s">
        <v>27</v>
      </c>
      <c r="D37" s="14" t="s">
        <v>20</v>
      </c>
      <c r="E37" s="129">
        <f>41734+(7*364+7)</f>
        <v>44289</v>
      </c>
      <c r="F37" s="15">
        <v>168.95</v>
      </c>
      <c r="G37" s="130">
        <v>14</v>
      </c>
      <c r="H37" s="123">
        <f t="shared" si="1"/>
        <v>2365.2999999999997</v>
      </c>
      <c r="I37" s="16"/>
      <c r="J37" s="16"/>
      <c r="K37" t="s">
        <v>34</v>
      </c>
      <c r="L37" s="18">
        <v>26525.150000000005</v>
      </c>
      <c r="M37" s="18">
        <v>9598.7999999999993</v>
      </c>
      <c r="N37" s="18">
        <v>51142.499999999993</v>
      </c>
      <c r="O37" s="18">
        <v>199187.55</v>
      </c>
      <c r="P37" s="18">
        <v>57961.499999999985</v>
      </c>
      <c r="Q37" s="18">
        <v>344415.5</v>
      </c>
      <c r="R37"/>
      <c r="S37"/>
      <c r="T37"/>
      <c r="U37"/>
      <c r="V37"/>
      <c r="W37" s="17"/>
    </row>
    <row r="38" spans="1:23">
      <c r="A38" s="125" t="s">
        <v>17</v>
      </c>
      <c r="B38" s="14" t="s">
        <v>2</v>
      </c>
      <c r="C38" s="127" t="s">
        <v>18</v>
      </c>
      <c r="D38" s="14" t="s">
        <v>23</v>
      </c>
      <c r="E38" s="129">
        <f>42368+(7*364+7)</f>
        <v>44923</v>
      </c>
      <c r="F38" s="15">
        <v>340.95</v>
      </c>
      <c r="G38" s="130">
        <v>14</v>
      </c>
      <c r="H38" s="123">
        <f t="shared" si="1"/>
        <v>4773.3</v>
      </c>
      <c r="I38" s="16"/>
      <c r="J38" s="16"/>
      <c r="K38" t="s">
        <v>17</v>
      </c>
      <c r="L38" s="18">
        <v>40379.049999999988</v>
      </c>
      <c r="M38" s="18">
        <v>15918.009999999997</v>
      </c>
      <c r="N38" s="18">
        <v>72963.3</v>
      </c>
      <c r="O38" s="18">
        <v>159190.04999999996</v>
      </c>
      <c r="P38" s="18">
        <v>73986.149999999994</v>
      </c>
      <c r="Q38" s="18">
        <v>362436.55999999994</v>
      </c>
      <c r="R38"/>
      <c r="S38"/>
      <c r="T38"/>
      <c r="U38"/>
      <c r="V38"/>
      <c r="W38" s="17"/>
    </row>
    <row r="39" spans="1:23">
      <c r="A39" s="125" t="s">
        <v>30</v>
      </c>
      <c r="B39" s="14" t="s">
        <v>1</v>
      </c>
      <c r="C39" s="127" t="s">
        <v>18</v>
      </c>
      <c r="D39" s="14" t="s">
        <v>23</v>
      </c>
      <c r="E39" s="129">
        <f>41965+(7*364+7)</f>
        <v>44520</v>
      </c>
      <c r="F39" s="15">
        <v>79.989999999999995</v>
      </c>
      <c r="G39" s="130">
        <v>11</v>
      </c>
      <c r="H39" s="123">
        <f t="shared" si="1"/>
        <v>879.89</v>
      </c>
      <c r="I39" s="16"/>
      <c r="J39" s="16"/>
      <c r="K39" t="s">
        <v>24</v>
      </c>
      <c r="L39" s="18">
        <v>272347.39999999997</v>
      </c>
      <c r="M39" s="18">
        <v>119025.12</v>
      </c>
      <c r="N39" s="18">
        <v>478352.85</v>
      </c>
      <c r="O39" s="18">
        <v>1343116.0500000003</v>
      </c>
      <c r="P39" s="18">
        <v>618824.25</v>
      </c>
      <c r="Q39" s="18">
        <v>2831665.67</v>
      </c>
      <c r="R39"/>
      <c r="S39"/>
      <c r="T39"/>
      <c r="U39"/>
      <c r="V39"/>
      <c r="W39" s="17"/>
    </row>
    <row r="40" spans="1:23">
      <c r="A40" s="125" t="s">
        <v>7</v>
      </c>
      <c r="B40" s="14" t="s">
        <v>4</v>
      </c>
      <c r="C40" s="127" t="s">
        <v>27</v>
      </c>
      <c r="D40" s="14" t="s">
        <v>22</v>
      </c>
      <c r="E40" s="129">
        <f>42342+(7*364+7)</f>
        <v>44897</v>
      </c>
      <c r="F40" s="15">
        <v>340.95</v>
      </c>
      <c r="G40" s="130">
        <v>13</v>
      </c>
      <c r="H40" s="123">
        <f t="shared" si="1"/>
        <v>4432.3499999999995</v>
      </c>
      <c r="I40" s="16"/>
      <c r="J40" s="16"/>
      <c r="K40"/>
      <c r="L40"/>
      <c r="M40"/>
      <c r="N40"/>
      <c r="O40"/>
      <c r="P40"/>
      <c r="Q40"/>
      <c r="R40"/>
      <c r="S40"/>
      <c r="T40"/>
      <c r="U40"/>
      <c r="V40"/>
      <c r="W40" s="17"/>
    </row>
    <row r="41" spans="1:23">
      <c r="A41" s="125" t="s">
        <v>17</v>
      </c>
      <c r="B41" s="14" t="s">
        <v>4</v>
      </c>
      <c r="C41" s="127" t="s">
        <v>18</v>
      </c>
      <c r="D41" s="14" t="s">
        <v>20</v>
      </c>
      <c r="E41" s="129">
        <f>41712+(7*364+7)</f>
        <v>44267</v>
      </c>
      <c r="F41" s="15">
        <v>340.95</v>
      </c>
      <c r="G41" s="130">
        <v>5</v>
      </c>
      <c r="H41" s="123">
        <f t="shared" si="1"/>
        <v>1704.75</v>
      </c>
      <c r="I41" s="16"/>
      <c r="J41" s="16"/>
      <c r="K41"/>
      <c r="L41"/>
      <c r="M41"/>
      <c r="N41"/>
      <c r="O41"/>
      <c r="P41"/>
      <c r="Q41"/>
      <c r="R41"/>
      <c r="S41"/>
      <c r="T41"/>
      <c r="U41"/>
      <c r="V41"/>
      <c r="W41" s="17"/>
    </row>
    <row r="42" spans="1:23">
      <c r="A42" s="125" t="s">
        <v>6</v>
      </c>
      <c r="B42" s="14" t="s">
        <v>0</v>
      </c>
      <c r="C42" s="127" t="s">
        <v>18</v>
      </c>
      <c r="D42" s="14" t="s">
        <v>20</v>
      </c>
      <c r="E42" s="129">
        <f>41997+(7*364+7)</f>
        <v>44552</v>
      </c>
      <c r="F42" s="15">
        <v>168.95</v>
      </c>
      <c r="G42" s="130">
        <v>9</v>
      </c>
      <c r="H42" s="123">
        <f t="shared" si="1"/>
        <v>1520.55</v>
      </c>
      <c r="I42" s="16"/>
      <c r="J42" s="16"/>
      <c r="K42"/>
      <c r="L42"/>
      <c r="M42"/>
      <c r="N42"/>
      <c r="O42"/>
      <c r="P42"/>
      <c r="Q42"/>
      <c r="R42"/>
      <c r="S42"/>
      <c r="T42"/>
      <c r="U42"/>
      <c r="V42"/>
      <c r="W42" s="17"/>
    </row>
    <row r="43" spans="1:23">
      <c r="A43" s="125" t="s">
        <v>33</v>
      </c>
      <c r="B43" s="14" t="s">
        <v>0</v>
      </c>
      <c r="C43" s="127" t="s">
        <v>18</v>
      </c>
      <c r="D43" s="14" t="s">
        <v>23</v>
      </c>
      <c r="E43" s="129">
        <f>41934+(7*364+7)</f>
        <v>44489</v>
      </c>
      <c r="F43" s="15">
        <v>168.95</v>
      </c>
      <c r="G43" s="130">
        <v>2</v>
      </c>
      <c r="H43" s="123">
        <f t="shared" si="1"/>
        <v>337.9</v>
      </c>
      <c r="I43" s="16"/>
      <c r="J43" s="16"/>
      <c r="K43"/>
      <c r="L43"/>
      <c r="M43"/>
      <c r="N43"/>
      <c r="O43"/>
      <c r="P43"/>
      <c r="Q43"/>
      <c r="R43"/>
      <c r="S43"/>
      <c r="T43"/>
      <c r="U43"/>
      <c r="V43"/>
      <c r="W43" s="17"/>
    </row>
    <row r="44" spans="1:23">
      <c r="A44" s="125" t="s">
        <v>28</v>
      </c>
      <c r="B44" s="14" t="s">
        <v>4</v>
      </c>
      <c r="C44" s="127" t="s">
        <v>32</v>
      </c>
      <c r="D44" s="14" t="s">
        <v>21</v>
      </c>
      <c r="E44" s="129">
        <f>41738+(7*364+7)</f>
        <v>44293</v>
      </c>
      <c r="F44" s="15">
        <v>340.95</v>
      </c>
      <c r="G44" s="130">
        <v>2</v>
      </c>
      <c r="H44" s="123">
        <f t="shared" si="1"/>
        <v>681.9</v>
      </c>
      <c r="I44" s="16"/>
      <c r="J44" s="16"/>
      <c r="K44"/>
      <c r="L44"/>
      <c r="M44"/>
      <c r="N44"/>
      <c r="O44"/>
      <c r="P44"/>
      <c r="Q44"/>
      <c r="R44"/>
      <c r="S44"/>
      <c r="T44"/>
      <c r="U44"/>
      <c r="V44"/>
      <c r="W44" s="17"/>
    </row>
    <row r="45" spans="1:23">
      <c r="A45" s="125" t="s">
        <v>35</v>
      </c>
      <c r="B45" s="14" t="s">
        <v>1</v>
      </c>
      <c r="C45" s="127" t="s">
        <v>29</v>
      </c>
      <c r="D45" s="14" t="s">
        <v>23</v>
      </c>
      <c r="E45" s="129">
        <f>42034+(7*364+7)</f>
        <v>44589</v>
      </c>
      <c r="F45" s="15">
        <v>79.989999999999995</v>
      </c>
      <c r="G45" s="130">
        <v>2</v>
      </c>
      <c r="H45" s="123">
        <f t="shared" si="1"/>
        <v>159.97999999999999</v>
      </c>
      <c r="I45" s="16"/>
      <c r="J45" s="16"/>
      <c r="K45"/>
      <c r="L45"/>
      <c r="M45"/>
      <c r="N45"/>
      <c r="O45"/>
      <c r="P45"/>
      <c r="Q45"/>
      <c r="R45"/>
      <c r="S45"/>
      <c r="T45"/>
      <c r="U45"/>
      <c r="V45"/>
      <c r="W45" s="17"/>
    </row>
    <row r="46" spans="1:23">
      <c r="A46" s="125" t="s">
        <v>17</v>
      </c>
      <c r="B46" s="14" t="s">
        <v>0</v>
      </c>
      <c r="C46" s="127" t="s">
        <v>18</v>
      </c>
      <c r="D46" s="14" t="s">
        <v>19</v>
      </c>
      <c r="E46" s="129">
        <f>42001+(7*364+7)</f>
        <v>44556</v>
      </c>
      <c r="F46" s="15">
        <v>168.95</v>
      </c>
      <c r="G46" s="130">
        <v>20</v>
      </c>
      <c r="H46" s="123">
        <f t="shared" si="1"/>
        <v>3379</v>
      </c>
      <c r="I46" s="16"/>
      <c r="J46" s="16"/>
      <c r="K46"/>
      <c r="L46"/>
      <c r="M46"/>
      <c r="N46"/>
      <c r="O46"/>
      <c r="P46"/>
      <c r="Q46"/>
      <c r="R46"/>
      <c r="S46"/>
      <c r="T46"/>
      <c r="U46"/>
      <c r="V46"/>
      <c r="W46" s="17"/>
    </row>
    <row r="47" spans="1:23">
      <c r="A47" s="125" t="s">
        <v>35</v>
      </c>
      <c r="B47" s="14" t="s">
        <v>1</v>
      </c>
      <c r="C47" s="127" t="s">
        <v>29</v>
      </c>
      <c r="D47" s="14" t="s">
        <v>21</v>
      </c>
      <c r="E47" s="129">
        <f>41971+(7*364+7)</f>
        <v>44526</v>
      </c>
      <c r="F47" s="15">
        <v>79.989999999999995</v>
      </c>
      <c r="G47" s="130">
        <v>5</v>
      </c>
      <c r="H47" s="123">
        <f t="shared" si="1"/>
        <v>399.95</v>
      </c>
      <c r="I47" s="16"/>
      <c r="J47" s="16"/>
      <c r="K47"/>
      <c r="L47"/>
      <c r="M47"/>
      <c r="N47"/>
      <c r="O47"/>
      <c r="P47"/>
      <c r="Q47"/>
      <c r="R47"/>
      <c r="S47"/>
      <c r="T47"/>
      <c r="U47"/>
      <c r="V47"/>
      <c r="W47" s="17"/>
    </row>
    <row r="48" spans="1:23">
      <c r="A48" s="125" t="s">
        <v>16</v>
      </c>
      <c r="B48" s="14" t="s">
        <v>0</v>
      </c>
      <c r="C48" s="127" t="s">
        <v>29</v>
      </c>
      <c r="D48" s="14" t="s">
        <v>21</v>
      </c>
      <c r="E48" s="129">
        <f>42221+(7*364+7)</f>
        <v>44776</v>
      </c>
      <c r="F48" s="15">
        <v>168.95</v>
      </c>
      <c r="G48" s="130">
        <v>5</v>
      </c>
      <c r="H48" s="123">
        <f t="shared" si="1"/>
        <v>844.75</v>
      </c>
      <c r="I48" s="16"/>
      <c r="J48" s="16"/>
      <c r="K48"/>
      <c r="L48"/>
      <c r="M48"/>
      <c r="N48"/>
      <c r="O48"/>
      <c r="P48"/>
      <c r="Q48"/>
      <c r="R48"/>
      <c r="S48"/>
      <c r="T48"/>
      <c r="U48"/>
      <c r="V48"/>
      <c r="W48" s="17"/>
    </row>
    <row r="49" spans="1:23">
      <c r="A49" s="125" t="s">
        <v>6</v>
      </c>
      <c r="B49" s="14" t="s">
        <v>0</v>
      </c>
      <c r="C49" s="127" t="s">
        <v>18</v>
      </c>
      <c r="D49" s="14" t="s">
        <v>23</v>
      </c>
      <c r="E49" s="129">
        <f>42309+(7*364+7)</f>
        <v>44864</v>
      </c>
      <c r="F49" s="15">
        <v>168.95</v>
      </c>
      <c r="G49" s="130">
        <v>13</v>
      </c>
      <c r="H49" s="123">
        <f t="shared" si="1"/>
        <v>2196.35</v>
      </c>
      <c r="I49" s="16"/>
      <c r="J49" s="16"/>
      <c r="K49"/>
      <c r="L49"/>
      <c r="M49"/>
      <c r="N49"/>
      <c r="O49"/>
      <c r="P49"/>
      <c r="Q49"/>
      <c r="R49"/>
      <c r="S49"/>
      <c r="T49"/>
      <c r="U49"/>
      <c r="V49"/>
      <c r="W49" s="17"/>
    </row>
    <row r="50" spans="1:23">
      <c r="A50" s="125" t="s">
        <v>30</v>
      </c>
      <c r="B50" s="14" t="s">
        <v>4</v>
      </c>
      <c r="C50" s="127" t="s">
        <v>18</v>
      </c>
      <c r="D50" s="14" t="s">
        <v>19</v>
      </c>
      <c r="E50" s="129">
        <f>41857+(7*364+7)</f>
        <v>44412</v>
      </c>
      <c r="F50" s="15">
        <v>340.95</v>
      </c>
      <c r="G50" s="130">
        <v>7</v>
      </c>
      <c r="H50" s="123">
        <f t="shared" si="1"/>
        <v>2386.65</v>
      </c>
      <c r="I50" s="16"/>
      <c r="J50" s="16"/>
      <c r="K50"/>
      <c r="L50"/>
      <c r="M50"/>
      <c r="N50"/>
      <c r="O50"/>
      <c r="P50"/>
      <c r="Q50"/>
      <c r="R50"/>
      <c r="S50"/>
      <c r="T50"/>
      <c r="U50"/>
      <c r="V50"/>
      <c r="W50" s="17"/>
    </row>
    <row r="51" spans="1:23">
      <c r="A51" s="125" t="s">
        <v>33</v>
      </c>
      <c r="B51" s="14" t="s">
        <v>4</v>
      </c>
      <c r="C51" s="127" t="s">
        <v>18</v>
      </c>
      <c r="D51" s="14" t="s">
        <v>20</v>
      </c>
      <c r="E51" s="129">
        <f>41849+(7*364+7)</f>
        <v>44404</v>
      </c>
      <c r="F51" s="15">
        <v>340.95</v>
      </c>
      <c r="G51" s="130">
        <v>3</v>
      </c>
      <c r="H51" s="123">
        <f t="shared" si="1"/>
        <v>1022.8499999999999</v>
      </c>
      <c r="I51" s="16"/>
      <c r="J51" s="16"/>
      <c r="K51"/>
      <c r="L51"/>
      <c r="M51"/>
      <c r="N51"/>
      <c r="O51"/>
      <c r="P51"/>
      <c r="Q51"/>
      <c r="R51"/>
      <c r="S51"/>
      <c r="T51"/>
      <c r="U51"/>
      <c r="V51"/>
      <c r="W51" s="17"/>
    </row>
    <row r="52" spans="1:23">
      <c r="A52" s="125" t="s">
        <v>17</v>
      </c>
      <c r="B52" s="14" t="s">
        <v>4</v>
      </c>
      <c r="C52" s="127" t="s">
        <v>18</v>
      </c>
      <c r="D52" s="14" t="s">
        <v>23</v>
      </c>
      <c r="E52" s="129">
        <f>42104+(7*364+7)</f>
        <v>44659</v>
      </c>
      <c r="F52" s="15">
        <v>340.95</v>
      </c>
      <c r="G52" s="130">
        <v>6</v>
      </c>
      <c r="H52" s="123">
        <f t="shared" si="1"/>
        <v>2045.6999999999998</v>
      </c>
      <c r="I52" s="16"/>
      <c r="J52" s="16"/>
      <c r="K52"/>
      <c r="L52"/>
      <c r="M52"/>
      <c r="N52"/>
      <c r="O52"/>
      <c r="P52"/>
      <c r="Q52"/>
      <c r="R52"/>
      <c r="S52"/>
      <c r="T52"/>
      <c r="U52"/>
      <c r="V52"/>
      <c r="W52" s="17"/>
    </row>
    <row r="53" spans="1:23">
      <c r="A53" s="125" t="s">
        <v>30</v>
      </c>
      <c r="B53" s="14" t="s">
        <v>0</v>
      </c>
      <c r="C53" s="127" t="s">
        <v>18</v>
      </c>
      <c r="D53" s="14" t="s">
        <v>22</v>
      </c>
      <c r="E53" s="129">
        <f>41742+(7*364+7)</f>
        <v>44297</v>
      </c>
      <c r="F53" s="15">
        <v>168.95</v>
      </c>
      <c r="G53" s="130">
        <v>10</v>
      </c>
      <c r="H53" s="123">
        <f t="shared" si="1"/>
        <v>1689.5</v>
      </c>
      <c r="I53" s="16"/>
      <c r="J53" s="16"/>
      <c r="K53"/>
      <c r="L53"/>
      <c r="M53"/>
      <c r="N53"/>
      <c r="O53"/>
      <c r="P53"/>
      <c r="Q53"/>
      <c r="R53"/>
      <c r="S53"/>
      <c r="T53"/>
      <c r="U53"/>
      <c r="V53"/>
      <c r="W53" s="17"/>
    </row>
    <row r="54" spans="1:23">
      <c r="A54" s="125" t="s">
        <v>25</v>
      </c>
      <c r="B54" s="14" t="s">
        <v>4</v>
      </c>
      <c r="C54" s="127" t="s">
        <v>32</v>
      </c>
      <c r="D54" s="14" t="s">
        <v>23</v>
      </c>
      <c r="E54" s="129">
        <f>42221+(7*364+7)</f>
        <v>44776</v>
      </c>
      <c r="F54" s="15">
        <v>340.95</v>
      </c>
      <c r="G54" s="130">
        <v>10</v>
      </c>
      <c r="H54" s="123">
        <f t="shared" si="1"/>
        <v>3409.5</v>
      </c>
      <c r="I54" s="16"/>
      <c r="J54" s="16"/>
      <c r="K54"/>
      <c r="L54"/>
      <c r="M54"/>
      <c r="N54"/>
      <c r="O54"/>
      <c r="P54"/>
      <c r="Q54"/>
      <c r="R54"/>
      <c r="S54"/>
      <c r="T54"/>
      <c r="U54"/>
      <c r="V54"/>
      <c r="W54" s="17"/>
    </row>
    <row r="55" spans="1:23">
      <c r="A55" s="125" t="s">
        <v>34</v>
      </c>
      <c r="B55" s="14" t="s">
        <v>1</v>
      </c>
      <c r="C55" s="127" t="s">
        <v>32</v>
      </c>
      <c r="D55" s="14" t="s">
        <v>20</v>
      </c>
      <c r="E55" s="129">
        <f>41705+(7*364+7)</f>
        <v>44260</v>
      </c>
      <c r="F55" s="15">
        <v>79.989999999999995</v>
      </c>
      <c r="G55" s="130">
        <v>12</v>
      </c>
      <c r="H55" s="123">
        <f t="shared" si="1"/>
        <v>959.87999999999988</v>
      </c>
      <c r="I55" s="16"/>
      <c r="J55" s="16"/>
      <c r="K55"/>
      <c r="L55"/>
      <c r="M55"/>
      <c r="N55"/>
      <c r="O55"/>
      <c r="P55"/>
      <c r="Q55"/>
      <c r="R55"/>
      <c r="S55"/>
      <c r="T55"/>
      <c r="U55"/>
      <c r="V55"/>
      <c r="W55" s="17"/>
    </row>
    <row r="56" spans="1:23">
      <c r="A56" s="125" t="s">
        <v>28</v>
      </c>
      <c r="B56" s="14" t="s">
        <v>3</v>
      </c>
      <c r="C56" s="127" t="s">
        <v>32</v>
      </c>
      <c r="D56" s="14" t="s">
        <v>23</v>
      </c>
      <c r="E56" s="129">
        <f>42332+(7*364+7)</f>
        <v>44887</v>
      </c>
      <c r="F56" s="15">
        <v>799.95</v>
      </c>
      <c r="G56" s="130">
        <v>1</v>
      </c>
      <c r="H56" s="123">
        <f t="shared" si="1"/>
        <v>799.95</v>
      </c>
      <c r="I56" s="16"/>
      <c r="J56" s="16"/>
      <c r="K56"/>
      <c r="L56"/>
      <c r="M56"/>
      <c r="N56"/>
      <c r="O56"/>
      <c r="P56"/>
      <c r="Q56"/>
      <c r="R56"/>
      <c r="S56"/>
      <c r="T56"/>
      <c r="U56"/>
      <c r="V56"/>
      <c r="W56" s="17"/>
    </row>
    <row r="57" spans="1:23">
      <c r="A57" s="125" t="s">
        <v>17</v>
      </c>
      <c r="B57" s="14" t="s">
        <v>4</v>
      </c>
      <c r="C57" s="127" t="s">
        <v>18</v>
      </c>
      <c r="D57" s="14" t="s">
        <v>21</v>
      </c>
      <c r="E57" s="129">
        <f>42339+(7*364+7)</f>
        <v>44894</v>
      </c>
      <c r="F57" s="15">
        <v>340.95</v>
      </c>
      <c r="G57" s="130">
        <v>2</v>
      </c>
      <c r="H57" s="123">
        <f t="shared" si="1"/>
        <v>681.9</v>
      </c>
      <c r="I57" s="16"/>
      <c r="J57" s="16"/>
      <c r="K57"/>
      <c r="L57"/>
      <c r="M57"/>
      <c r="N57"/>
      <c r="O57"/>
      <c r="P57"/>
      <c r="Q57"/>
      <c r="R57"/>
      <c r="S57"/>
      <c r="T57"/>
      <c r="U57"/>
      <c r="V57"/>
      <c r="W57" s="17"/>
    </row>
    <row r="58" spans="1:23">
      <c r="A58" s="125" t="s">
        <v>17</v>
      </c>
      <c r="B58" s="14" t="s">
        <v>3</v>
      </c>
      <c r="C58" s="127" t="s">
        <v>18</v>
      </c>
      <c r="D58" s="14" t="s">
        <v>22</v>
      </c>
      <c r="E58" s="129">
        <f>41786+(7*364+7)</f>
        <v>44341</v>
      </c>
      <c r="F58" s="15">
        <v>799.95</v>
      </c>
      <c r="G58" s="130">
        <v>10</v>
      </c>
      <c r="H58" s="123">
        <f t="shared" si="1"/>
        <v>7999.5</v>
      </c>
      <c r="I58" s="16"/>
      <c r="J58" s="16"/>
      <c r="K58"/>
      <c r="L58"/>
      <c r="M58"/>
      <c r="N58"/>
      <c r="O58"/>
      <c r="P58"/>
      <c r="Q58"/>
      <c r="R58"/>
      <c r="S58"/>
      <c r="T58"/>
      <c r="U58"/>
      <c r="V58"/>
      <c r="W58" s="17"/>
    </row>
    <row r="59" spans="1:23">
      <c r="A59" s="125" t="s">
        <v>6</v>
      </c>
      <c r="B59" s="14" t="s">
        <v>1</v>
      </c>
      <c r="C59" s="127" t="s">
        <v>18</v>
      </c>
      <c r="D59" s="14" t="s">
        <v>22</v>
      </c>
      <c r="E59" s="129">
        <f>41874+(7*364+7)</f>
        <v>44429</v>
      </c>
      <c r="F59" s="15">
        <v>79.989999999999995</v>
      </c>
      <c r="G59" s="130">
        <v>9</v>
      </c>
      <c r="H59" s="123">
        <f t="shared" si="1"/>
        <v>719.91</v>
      </c>
      <c r="I59" s="16"/>
      <c r="J59" s="16"/>
      <c r="K59"/>
      <c r="L59"/>
      <c r="M59"/>
      <c r="N59"/>
      <c r="O59"/>
      <c r="P59"/>
      <c r="Q59"/>
      <c r="R59"/>
      <c r="S59"/>
      <c r="T59"/>
      <c r="U59"/>
      <c r="V59"/>
      <c r="W59" s="17"/>
    </row>
    <row r="60" spans="1:23">
      <c r="A60" s="125" t="s">
        <v>34</v>
      </c>
      <c r="B60" s="14" t="s">
        <v>1</v>
      </c>
      <c r="C60" s="127" t="s">
        <v>32</v>
      </c>
      <c r="D60" s="14" t="s">
        <v>20</v>
      </c>
      <c r="E60" s="129">
        <f>42361+(7*364+7)</f>
        <v>44916</v>
      </c>
      <c r="F60" s="15">
        <v>79.989999999999995</v>
      </c>
      <c r="G60" s="130">
        <v>7</v>
      </c>
      <c r="H60" s="123">
        <f t="shared" si="1"/>
        <v>559.92999999999995</v>
      </c>
      <c r="I60" s="16"/>
      <c r="J60" s="16"/>
      <c r="K60"/>
      <c r="L60"/>
      <c r="M60"/>
      <c r="N60"/>
      <c r="O60"/>
      <c r="P60"/>
      <c r="Q60"/>
      <c r="R60"/>
      <c r="S60"/>
      <c r="T60"/>
      <c r="U60"/>
      <c r="V60"/>
      <c r="W60" s="17"/>
    </row>
    <row r="61" spans="1:23">
      <c r="A61" s="125" t="s">
        <v>26</v>
      </c>
      <c r="B61" s="14" t="s">
        <v>4</v>
      </c>
      <c r="C61" s="127" t="s">
        <v>27</v>
      </c>
      <c r="D61" s="14" t="s">
        <v>22</v>
      </c>
      <c r="E61" s="129">
        <f>42022+(7*364+7)</f>
        <v>44577</v>
      </c>
      <c r="F61" s="15">
        <v>340.95</v>
      </c>
      <c r="G61" s="130">
        <v>10</v>
      </c>
      <c r="H61" s="123">
        <f t="shared" si="1"/>
        <v>3409.5</v>
      </c>
      <c r="I61" s="16"/>
      <c r="J61" s="16"/>
      <c r="K61"/>
      <c r="L61"/>
      <c r="M61"/>
      <c r="N61"/>
      <c r="O61"/>
      <c r="P61"/>
      <c r="Q61"/>
      <c r="R61"/>
      <c r="S61"/>
      <c r="T61"/>
      <c r="U61"/>
      <c r="V61"/>
      <c r="W61" s="17"/>
    </row>
    <row r="62" spans="1:23">
      <c r="A62" s="125" t="s">
        <v>17</v>
      </c>
      <c r="B62" s="14" t="s">
        <v>4</v>
      </c>
      <c r="C62" s="127" t="s">
        <v>18</v>
      </c>
      <c r="D62" s="14" t="s">
        <v>21</v>
      </c>
      <c r="E62" s="129">
        <f>41965+(7*364+7)</f>
        <v>44520</v>
      </c>
      <c r="F62" s="15">
        <v>340.95</v>
      </c>
      <c r="G62" s="130">
        <v>8</v>
      </c>
      <c r="H62" s="123">
        <f t="shared" si="1"/>
        <v>2727.6</v>
      </c>
      <c r="I62" s="16"/>
      <c r="J62" s="16"/>
      <c r="K62"/>
      <c r="L62"/>
      <c r="M62"/>
      <c r="N62"/>
      <c r="O62"/>
      <c r="P62"/>
      <c r="Q62"/>
      <c r="R62"/>
      <c r="S62"/>
      <c r="T62"/>
      <c r="U62"/>
      <c r="V62"/>
      <c r="W62" s="17"/>
    </row>
    <row r="63" spans="1:23">
      <c r="A63" s="125" t="s">
        <v>33</v>
      </c>
      <c r="B63" s="14" t="s">
        <v>1</v>
      </c>
      <c r="C63" s="127" t="s">
        <v>18</v>
      </c>
      <c r="D63" s="14" t="s">
        <v>20</v>
      </c>
      <c r="E63" s="129">
        <f>41920+(7*364+7)</f>
        <v>44475</v>
      </c>
      <c r="F63" s="15">
        <v>79.989999999999995</v>
      </c>
      <c r="G63" s="130">
        <v>4</v>
      </c>
      <c r="H63" s="123">
        <f t="shared" si="1"/>
        <v>319.95999999999998</v>
      </c>
      <c r="I63" s="16"/>
      <c r="J63" s="16"/>
      <c r="K63"/>
      <c r="L63"/>
      <c r="M63"/>
      <c r="N63"/>
      <c r="O63"/>
      <c r="P63"/>
      <c r="Q63"/>
      <c r="R63"/>
      <c r="S63"/>
      <c r="T63"/>
      <c r="U63"/>
      <c r="V63"/>
      <c r="W63" s="17"/>
    </row>
    <row r="64" spans="1:23">
      <c r="A64" s="125" t="s">
        <v>17</v>
      </c>
      <c r="B64" s="14" t="s">
        <v>0</v>
      </c>
      <c r="C64" s="127" t="s">
        <v>18</v>
      </c>
      <c r="D64" s="14" t="s">
        <v>19</v>
      </c>
      <c r="E64" s="129">
        <f>41682+(7*364+7)</f>
        <v>44237</v>
      </c>
      <c r="F64" s="15">
        <v>168.95</v>
      </c>
      <c r="G64" s="130">
        <v>8</v>
      </c>
      <c r="H64" s="123">
        <f t="shared" si="1"/>
        <v>1351.6</v>
      </c>
      <c r="I64" s="16"/>
      <c r="J64" s="16"/>
      <c r="K64"/>
      <c r="L64"/>
      <c r="M64"/>
      <c r="N64"/>
      <c r="O64"/>
      <c r="P64"/>
      <c r="Q64"/>
      <c r="R64"/>
      <c r="S64"/>
      <c r="T64"/>
      <c r="U64"/>
      <c r="V64"/>
      <c r="W64" s="17"/>
    </row>
    <row r="65" spans="1:23">
      <c r="A65" s="125" t="s">
        <v>28</v>
      </c>
      <c r="B65" s="14" t="s">
        <v>3</v>
      </c>
      <c r="C65" s="127" t="s">
        <v>32</v>
      </c>
      <c r="D65" s="14" t="s">
        <v>23</v>
      </c>
      <c r="E65" s="129">
        <f>42032+(7*364+7)</f>
        <v>44587</v>
      </c>
      <c r="F65" s="15">
        <v>799.95</v>
      </c>
      <c r="G65" s="130">
        <v>11</v>
      </c>
      <c r="H65" s="123">
        <f t="shared" si="1"/>
        <v>8799.4500000000007</v>
      </c>
      <c r="I65" s="16"/>
      <c r="J65" s="16"/>
      <c r="K65"/>
      <c r="L65"/>
      <c r="M65"/>
      <c r="N65"/>
      <c r="O65"/>
      <c r="P65"/>
      <c r="Q65"/>
      <c r="R65"/>
      <c r="S65"/>
      <c r="T65"/>
      <c r="U65"/>
      <c r="V65"/>
      <c r="W65" s="17"/>
    </row>
    <row r="66" spans="1:23">
      <c r="A66" s="125" t="s">
        <v>30</v>
      </c>
      <c r="B66" s="14" t="s">
        <v>2</v>
      </c>
      <c r="C66" s="127" t="s">
        <v>18</v>
      </c>
      <c r="D66" s="14" t="s">
        <v>23</v>
      </c>
      <c r="E66" s="129">
        <f>41888+(7*364+7)</f>
        <v>44443</v>
      </c>
      <c r="F66" s="15">
        <v>340.95</v>
      </c>
      <c r="G66" s="130">
        <v>1</v>
      </c>
      <c r="H66" s="123">
        <f t="shared" si="1"/>
        <v>340.95</v>
      </c>
      <c r="I66" s="16"/>
      <c r="J66" s="16"/>
      <c r="K66"/>
      <c r="L66"/>
      <c r="M66"/>
      <c r="N66"/>
      <c r="O66"/>
      <c r="P66"/>
      <c r="Q66"/>
      <c r="R66"/>
      <c r="S66"/>
      <c r="T66"/>
      <c r="U66"/>
      <c r="V66"/>
      <c r="W66" s="17"/>
    </row>
    <row r="67" spans="1:23">
      <c r="A67" s="125" t="s">
        <v>34</v>
      </c>
      <c r="B67" s="14" t="s">
        <v>1</v>
      </c>
      <c r="C67" s="127" t="s">
        <v>32</v>
      </c>
      <c r="D67" s="14" t="s">
        <v>20</v>
      </c>
      <c r="E67" s="129">
        <f>42313+(7*364+7)</f>
        <v>44868</v>
      </c>
      <c r="F67" s="15">
        <v>79.989999999999995</v>
      </c>
      <c r="G67" s="130">
        <v>1</v>
      </c>
      <c r="H67" s="123">
        <f t="shared" ref="H67:H130" si="2">F67*G67</f>
        <v>79.989999999999995</v>
      </c>
      <c r="I67" s="16"/>
      <c r="J67" s="16"/>
      <c r="K67"/>
      <c r="L67"/>
      <c r="M67"/>
      <c r="N67"/>
      <c r="O67"/>
      <c r="P67"/>
      <c r="Q67"/>
      <c r="R67"/>
      <c r="S67"/>
      <c r="T67"/>
      <c r="U67"/>
      <c r="V67"/>
      <c r="W67" s="17"/>
    </row>
    <row r="68" spans="1:23">
      <c r="A68" s="125" t="s">
        <v>17</v>
      </c>
      <c r="B68" s="14" t="s">
        <v>4</v>
      </c>
      <c r="C68" s="127" t="s">
        <v>18</v>
      </c>
      <c r="D68" s="14" t="s">
        <v>22</v>
      </c>
      <c r="E68" s="129">
        <f>41971+(7*364+7)</f>
        <v>44526</v>
      </c>
      <c r="F68" s="15">
        <v>340.95</v>
      </c>
      <c r="G68" s="130">
        <v>9</v>
      </c>
      <c r="H68" s="123">
        <f t="shared" si="2"/>
        <v>3068.5499999999997</v>
      </c>
      <c r="I68" s="16"/>
      <c r="J68" s="16"/>
      <c r="K68"/>
      <c r="L68"/>
      <c r="M68"/>
      <c r="N68"/>
      <c r="O68"/>
      <c r="P68"/>
      <c r="Q68"/>
      <c r="R68"/>
      <c r="S68"/>
      <c r="T68"/>
      <c r="U68"/>
      <c r="V68"/>
      <c r="W68" s="17"/>
    </row>
    <row r="69" spans="1:23">
      <c r="A69" s="125" t="s">
        <v>17</v>
      </c>
      <c r="B69" s="14" t="s">
        <v>4</v>
      </c>
      <c r="C69" s="127" t="s">
        <v>18</v>
      </c>
      <c r="D69" s="14" t="s">
        <v>23</v>
      </c>
      <c r="E69" s="129">
        <f>41744+(7*364+7)</f>
        <v>44299</v>
      </c>
      <c r="F69" s="15">
        <v>340.95</v>
      </c>
      <c r="G69" s="130">
        <v>4</v>
      </c>
      <c r="H69" s="123">
        <f t="shared" si="2"/>
        <v>1363.8</v>
      </c>
      <c r="I69" s="16"/>
      <c r="J69" s="16"/>
      <c r="K69"/>
      <c r="L69"/>
      <c r="M69"/>
      <c r="N69"/>
      <c r="O69"/>
      <c r="P69"/>
      <c r="Q69"/>
      <c r="R69"/>
      <c r="S69"/>
      <c r="T69"/>
      <c r="U69"/>
      <c r="V69"/>
      <c r="W69" s="17"/>
    </row>
    <row r="70" spans="1:23">
      <c r="A70" s="125" t="s">
        <v>6</v>
      </c>
      <c r="B70" s="14" t="s">
        <v>2</v>
      </c>
      <c r="C70" s="127" t="s">
        <v>29</v>
      </c>
      <c r="D70" s="14" t="s">
        <v>21</v>
      </c>
      <c r="E70" s="129">
        <f>41742+(7*364+7)</f>
        <v>44297</v>
      </c>
      <c r="F70" s="15">
        <v>340.95</v>
      </c>
      <c r="G70" s="130">
        <v>8</v>
      </c>
      <c r="H70" s="123">
        <f t="shared" si="2"/>
        <v>2727.6</v>
      </c>
      <c r="I70" s="16"/>
      <c r="J70" s="16"/>
      <c r="K70"/>
      <c r="L70"/>
      <c r="M70"/>
      <c r="N70"/>
      <c r="O70"/>
      <c r="P70"/>
      <c r="Q70"/>
      <c r="R70"/>
      <c r="S70"/>
      <c r="T70"/>
      <c r="U70"/>
      <c r="V70"/>
      <c r="W70" s="17"/>
    </row>
    <row r="71" spans="1:23">
      <c r="A71" s="125" t="s">
        <v>31</v>
      </c>
      <c r="B71" s="14" t="s">
        <v>0</v>
      </c>
      <c r="C71" s="127" t="s">
        <v>32</v>
      </c>
      <c r="D71" s="14" t="s">
        <v>21</v>
      </c>
      <c r="E71" s="129">
        <f>42101+(7*364+7)</f>
        <v>44656</v>
      </c>
      <c r="F71" s="15">
        <v>168.95</v>
      </c>
      <c r="G71" s="130">
        <v>9</v>
      </c>
      <c r="H71" s="123">
        <f t="shared" si="2"/>
        <v>1520.55</v>
      </c>
      <c r="I71" s="16"/>
      <c r="J71" s="16"/>
      <c r="K71"/>
      <c r="L71"/>
      <c r="M71"/>
      <c r="N71"/>
      <c r="O71"/>
      <c r="P71"/>
      <c r="Q71"/>
      <c r="R71"/>
      <c r="S71"/>
      <c r="T71"/>
      <c r="U71"/>
      <c r="V71"/>
      <c r="W71" s="17"/>
    </row>
    <row r="72" spans="1:23">
      <c r="A72" s="125" t="s">
        <v>25</v>
      </c>
      <c r="B72" s="14" t="s">
        <v>1</v>
      </c>
      <c r="C72" s="127" t="s">
        <v>32</v>
      </c>
      <c r="D72" s="14" t="s">
        <v>23</v>
      </c>
      <c r="E72" s="129">
        <f>41733+(7*364+7)</f>
        <v>44288</v>
      </c>
      <c r="F72" s="15">
        <v>79.989999999999995</v>
      </c>
      <c r="G72" s="130">
        <v>6</v>
      </c>
      <c r="H72" s="123">
        <f t="shared" si="2"/>
        <v>479.93999999999994</v>
      </c>
      <c r="I72" s="16"/>
      <c r="J72" s="16"/>
      <c r="K72"/>
      <c r="L72"/>
      <c r="M72"/>
      <c r="N72"/>
      <c r="O72"/>
      <c r="P72"/>
      <c r="Q72"/>
      <c r="R72"/>
      <c r="S72"/>
      <c r="T72"/>
      <c r="U72"/>
      <c r="V72"/>
      <c r="W72" s="17"/>
    </row>
    <row r="73" spans="1:23">
      <c r="A73" s="125" t="s">
        <v>30</v>
      </c>
      <c r="B73" s="14" t="s">
        <v>0</v>
      </c>
      <c r="C73" s="127" t="s">
        <v>18</v>
      </c>
      <c r="D73" s="14" t="s">
        <v>23</v>
      </c>
      <c r="E73" s="129">
        <f>42005+(7*364+7)</f>
        <v>44560</v>
      </c>
      <c r="F73" s="15">
        <v>168.95</v>
      </c>
      <c r="G73" s="130">
        <v>4</v>
      </c>
      <c r="H73" s="123">
        <f t="shared" si="2"/>
        <v>675.8</v>
      </c>
      <c r="I73" s="16"/>
      <c r="J73" s="16"/>
      <c r="K73"/>
      <c r="L73"/>
      <c r="M73"/>
      <c r="N73"/>
      <c r="O73"/>
      <c r="P73"/>
      <c r="Q73"/>
      <c r="R73"/>
      <c r="S73"/>
      <c r="T73"/>
      <c r="U73"/>
      <c r="V73"/>
      <c r="W73" s="17"/>
    </row>
    <row r="74" spans="1:23">
      <c r="A74" s="125" t="s">
        <v>33</v>
      </c>
      <c r="B74" s="14" t="s">
        <v>4</v>
      </c>
      <c r="C74" s="127" t="s">
        <v>18</v>
      </c>
      <c r="D74" s="14" t="s">
        <v>22</v>
      </c>
      <c r="E74" s="129">
        <f>42077+(7*364+7)</f>
        <v>44632</v>
      </c>
      <c r="F74" s="15">
        <v>340.95</v>
      </c>
      <c r="G74" s="130">
        <v>11</v>
      </c>
      <c r="H74" s="123">
        <f t="shared" si="2"/>
        <v>3750.45</v>
      </c>
      <c r="I74" s="16"/>
      <c r="J74" s="16"/>
      <c r="K74"/>
      <c r="L74"/>
      <c r="M74"/>
      <c r="N74"/>
      <c r="O74"/>
      <c r="P74"/>
      <c r="Q74"/>
      <c r="R74"/>
      <c r="S74"/>
      <c r="T74"/>
      <c r="U74"/>
      <c r="V74"/>
      <c r="W74" s="17"/>
    </row>
    <row r="75" spans="1:23">
      <c r="A75" s="125" t="s">
        <v>16</v>
      </c>
      <c r="B75" s="14" t="s">
        <v>1</v>
      </c>
      <c r="C75" s="127" t="s">
        <v>29</v>
      </c>
      <c r="D75" s="14" t="s">
        <v>21</v>
      </c>
      <c r="E75" s="129">
        <f>41716+(7*364+7)</f>
        <v>44271</v>
      </c>
      <c r="F75" s="15">
        <v>79.989999999999995</v>
      </c>
      <c r="G75" s="130">
        <v>1</v>
      </c>
      <c r="H75" s="123">
        <f t="shared" si="2"/>
        <v>79.989999999999995</v>
      </c>
      <c r="I75" s="16"/>
      <c r="J75" s="16"/>
      <c r="K75"/>
      <c r="L75"/>
      <c r="M75" s="16"/>
      <c r="N75" s="16"/>
      <c r="O75"/>
      <c r="P75"/>
      <c r="Q75"/>
      <c r="R75"/>
      <c r="S75"/>
      <c r="T75"/>
      <c r="U75"/>
      <c r="V75"/>
      <c r="W75" s="17"/>
    </row>
    <row r="76" spans="1:23">
      <c r="A76" s="125" t="s">
        <v>17</v>
      </c>
      <c r="B76" s="14" t="s">
        <v>1</v>
      </c>
      <c r="C76" s="127" t="s">
        <v>18</v>
      </c>
      <c r="D76" s="14" t="s">
        <v>19</v>
      </c>
      <c r="E76" s="129">
        <f>41915+(7*364+7)</f>
        <v>44470</v>
      </c>
      <c r="F76" s="15">
        <v>79.989999999999995</v>
      </c>
      <c r="G76" s="130">
        <v>20</v>
      </c>
      <c r="H76" s="123">
        <f t="shared" si="2"/>
        <v>1599.8</v>
      </c>
      <c r="I76" s="16"/>
      <c r="J76" s="16"/>
      <c r="K76"/>
      <c r="L76"/>
      <c r="M76" s="16"/>
      <c r="N76" s="16"/>
      <c r="O76"/>
      <c r="P76"/>
      <c r="Q76"/>
      <c r="R76"/>
      <c r="S76"/>
      <c r="T76"/>
      <c r="U76"/>
      <c r="V76"/>
      <c r="W76" s="17"/>
    </row>
    <row r="77" spans="1:23">
      <c r="A77" s="125" t="s">
        <v>26</v>
      </c>
      <c r="B77" s="14" t="s">
        <v>0</v>
      </c>
      <c r="C77" s="127" t="s">
        <v>27</v>
      </c>
      <c r="D77" s="14" t="s">
        <v>23</v>
      </c>
      <c r="E77" s="129">
        <f>41916+(7*364+7)</f>
        <v>44471</v>
      </c>
      <c r="F77" s="15">
        <v>168.95</v>
      </c>
      <c r="G77" s="130">
        <v>6</v>
      </c>
      <c r="H77" s="123">
        <f t="shared" si="2"/>
        <v>1013.6999999999999</v>
      </c>
      <c r="I77" s="16"/>
      <c r="J77" s="16"/>
      <c r="K77"/>
      <c r="L77"/>
      <c r="M77" s="16"/>
      <c r="N77" s="16"/>
      <c r="O77"/>
      <c r="P77"/>
      <c r="Q77"/>
      <c r="R77"/>
      <c r="S77"/>
      <c r="T77"/>
      <c r="U77"/>
      <c r="V77"/>
      <c r="W77" s="17"/>
    </row>
    <row r="78" spans="1:23">
      <c r="A78" s="125" t="s">
        <v>25</v>
      </c>
      <c r="B78" s="14" t="s">
        <v>4</v>
      </c>
      <c r="C78" s="127" t="s">
        <v>32</v>
      </c>
      <c r="D78" s="14" t="s">
        <v>21</v>
      </c>
      <c r="E78" s="129">
        <f>42270+(7*364+7)</f>
        <v>44825</v>
      </c>
      <c r="F78" s="15">
        <v>340.95</v>
      </c>
      <c r="G78" s="130">
        <v>6</v>
      </c>
      <c r="H78" s="123">
        <f t="shared" si="2"/>
        <v>2045.6999999999998</v>
      </c>
      <c r="I78" s="16"/>
      <c r="J78" s="16"/>
      <c r="K78"/>
      <c r="L78"/>
      <c r="M78" s="16"/>
      <c r="N78" s="16"/>
      <c r="O78"/>
      <c r="P78"/>
      <c r="Q78"/>
      <c r="R78"/>
      <c r="S78"/>
      <c r="T78"/>
      <c r="U78"/>
      <c r="V78"/>
      <c r="W78" s="17"/>
    </row>
    <row r="79" spans="1:23">
      <c r="A79" s="125" t="s">
        <v>17</v>
      </c>
      <c r="B79" s="14" t="s">
        <v>4</v>
      </c>
      <c r="C79" s="127" t="s">
        <v>18</v>
      </c>
      <c r="D79" s="14" t="s">
        <v>20</v>
      </c>
      <c r="E79" s="129">
        <f>42164+(7*364+7)</f>
        <v>44719</v>
      </c>
      <c r="F79" s="15">
        <v>340.95</v>
      </c>
      <c r="G79" s="130">
        <v>7</v>
      </c>
      <c r="H79" s="123">
        <f t="shared" si="2"/>
        <v>2386.65</v>
      </c>
      <c r="I79" s="16"/>
      <c r="J79" s="16"/>
      <c r="K79"/>
      <c r="L79"/>
      <c r="M79" s="16"/>
      <c r="N79" s="16"/>
      <c r="O79"/>
      <c r="P79"/>
      <c r="Q79"/>
      <c r="R79"/>
      <c r="S79"/>
      <c r="T79"/>
      <c r="U79"/>
      <c r="V79"/>
      <c r="W79" s="17"/>
    </row>
    <row r="80" spans="1:23">
      <c r="A80" s="125" t="s">
        <v>30</v>
      </c>
      <c r="B80" s="14" t="s">
        <v>3</v>
      </c>
      <c r="C80" s="127" t="s">
        <v>18</v>
      </c>
      <c r="D80" s="14" t="s">
        <v>23</v>
      </c>
      <c r="E80" s="129">
        <f>41902+(7*364+7)</f>
        <v>44457</v>
      </c>
      <c r="F80" s="15">
        <v>799.95</v>
      </c>
      <c r="G80" s="130">
        <v>11</v>
      </c>
      <c r="H80" s="123">
        <f t="shared" si="2"/>
        <v>8799.4500000000007</v>
      </c>
      <c r="I80" s="16"/>
      <c r="J80" s="16"/>
      <c r="K80"/>
      <c r="L80"/>
      <c r="M80" s="16"/>
      <c r="N80" s="16"/>
      <c r="O80"/>
      <c r="P80"/>
      <c r="Q80"/>
      <c r="R80"/>
      <c r="S80"/>
      <c r="T80"/>
      <c r="U80"/>
      <c r="V80"/>
      <c r="W80" s="17"/>
    </row>
    <row r="81" spans="1:23">
      <c r="A81" s="125" t="s">
        <v>7</v>
      </c>
      <c r="B81" s="14" t="s">
        <v>2</v>
      </c>
      <c r="C81" s="127" t="s">
        <v>27</v>
      </c>
      <c r="D81" s="14" t="s">
        <v>23</v>
      </c>
      <c r="E81" s="129">
        <f>42301+(7*364+7)</f>
        <v>44856</v>
      </c>
      <c r="F81" s="15">
        <v>340.95</v>
      </c>
      <c r="G81" s="130">
        <v>1</v>
      </c>
      <c r="H81" s="123">
        <f t="shared" si="2"/>
        <v>340.95</v>
      </c>
      <c r="I81" s="16"/>
      <c r="J81" s="16"/>
      <c r="K81"/>
      <c r="L81"/>
      <c r="M81" s="16"/>
      <c r="N81" s="16"/>
      <c r="O81"/>
      <c r="P81"/>
      <c r="Q81"/>
      <c r="R81"/>
      <c r="S81"/>
      <c r="T81"/>
      <c r="U81"/>
      <c r="V81"/>
      <c r="W81" s="17"/>
    </row>
    <row r="82" spans="1:23">
      <c r="A82" s="125" t="s">
        <v>33</v>
      </c>
      <c r="B82" s="14" t="s">
        <v>0</v>
      </c>
      <c r="C82" s="127" t="s">
        <v>18</v>
      </c>
      <c r="D82" s="14" t="s">
        <v>21</v>
      </c>
      <c r="E82" s="129">
        <f>41857+(7*364+7)</f>
        <v>44412</v>
      </c>
      <c r="F82" s="15">
        <v>168.95</v>
      </c>
      <c r="G82" s="130">
        <v>15</v>
      </c>
      <c r="H82" s="123">
        <f t="shared" si="2"/>
        <v>2534.25</v>
      </c>
      <c r="I82" s="16"/>
      <c r="J82" s="16"/>
      <c r="K82"/>
      <c r="L82"/>
      <c r="M82" s="16"/>
      <c r="N82" s="16"/>
      <c r="O82"/>
      <c r="P82"/>
      <c r="Q82"/>
      <c r="R82"/>
      <c r="S82"/>
      <c r="T82"/>
      <c r="U82"/>
      <c r="V82"/>
      <c r="W82" s="17"/>
    </row>
    <row r="83" spans="1:23">
      <c r="A83" s="125" t="s">
        <v>26</v>
      </c>
      <c r="B83" s="14" t="s">
        <v>1</v>
      </c>
      <c r="C83" s="127" t="s">
        <v>27</v>
      </c>
      <c r="D83" s="14" t="s">
        <v>21</v>
      </c>
      <c r="E83" s="129">
        <f>42130+(7*364+7)</f>
        <v>44685</v>
      </c>
      <c r="F83" s="15">
        <v>79.989999999999995</v>
      </c>
      <c r="G83" s="130">
        <v>7</v>
      </c>
      <c r="H83" s="123">
        <f t="shared" si="2"/>
        <v>559.92999999999995</v>
      </c>
      <c r="I83" s="16"/>
      <c r="J83" s="16"/>
      <c r="K83"/>
      <c r="L83"/>
      <c r="M83" s="16"/>
      <c r="N83" s="16"/>
      <c r="O83"/>
      <c r="P83"/>
      <c r="Q83"/>
      <c r="R83"/>
      <c r="S83"/>
      <c r="T83"/>
      <c r="U83"/>
      <c r="V83"/>
      <c r="W83" s="17"/>
    </row>
    <row r="84" spans="1:23">
      <c r="A84" s="125" t="s">
        <v>26</v>
      </c>
      <c r="B84" s="14" t="s">
        <v>0</v>
      </c>
      <c r="C84" s="127" t="s">
        <v>27</v>
      </c>
      <c r="D84" s="14" t="s">
        <v>22</v>
      </c>
      <c r="E84" s="129">
        <f>42256+(7*364+7)</f>
        <v>44811</v>
      </c>
      <c r="F84" s="15">
        <v>168.95</v>
      </c>
      <c r="G84" s="130">
        <v>15</v>
      </c>
      <c r="H84" s="123">
        <f t="shared" si="2"/>
        <v>2534.25</v>
      </c>
      <c r="I84" s="16"/>
      <c r="J84" s="16"/>
      <c r="K84"/>
      <c r="L84"/>
      <c r="M84" s="16"/>
      <c r="N84" s="16"/>
      <c r="O84"/>
      <c r="P84"/>
      <c r="Q84"/>
      <c r="R84"/>
      <c r="S84"/>
      <c r="T84"/>
      <c r="U84"/>
      <c r="V84"/>
      <c r="W84" s="17"/>
    </row>
    <row r="85" spans="1:23">
      <c r="A85" s="125" t="s">
        <v>34</v>
      </c>
      <c r="B85" s="14" t="s">
        <v>4</v>
      </c>
      <c r="C85" s="127" t="s">
        <v>32</v>
      </c>
      <c r="D85" s="14" t="s">
        <v>23</v>
      </c>
      <c r="E85" s="129">
        <f>41697+(7*364+7)</f>
        <v>44252</v>
      </c>
      <c r="F85" s="15">
        <v>340.95</v>
      </c>
      <c r="G85" s="130">
        <v>14</v>
      </c>
      <c r="H85" s="123">
        <f t="shared" si="2"/>
        <v>4773.3</v>
      </c>
      <c r="I85" s="16"/>
      <c r="J85" s="16"/>
      <c r="K85"/>
      <c r="L85"/>
      <c r="M85" s="16"/>
      <c r="N85" s="16"/>
      <c r="O85"/>
      <c r="P85"/>
      <c r="Q85"/>
      <c r="R85"/>
      <c r="S85"/>
      <c r="T85"/>
      <c r="U85"/>
      <c r="V85"/>
      <c r="W85" s="17"/>
    </row>
    <row r="86" spans="1:23">
      <c r="A86" s="125" t="s">
        <v>25</v>
      </c>
      <c r="B86" s="14" t="s">
        <v>1</v>
      </c>
      <c r="C86" s="127" t="s">
        <v>32</v>
      </c>
      <c r="D86" s="14" t="s">
        <v>22</v>
      </c>
      <c r="E86" s="129">
        <f>42038+(7*364+7)</f>
        <v>44593</v>
      </c>
      <c r="F86" s="15">
        <v>79.989999999999995</v>
      </c>
      <c r="G86" s="130">
        <v>8</v>
      </c>
      <c r="H86" s="123">
        <f t="shared" si="2"/>
        <v>639.91999999999996</v>
      </c>
      <c r="I86" s="16"/>
      <c r="J86" s="16"/>
      <c r="K86"/>
      <c r="L86"/>
      <c r="M86" s="16"/>
      <c r="N86" s="16"/>
      <c r="O86"/>
      <c r="P86"/>
      <c r="Q86"/>
      <c r="R86"/>
      <c r="S86"/>
      <c r="T86"/>
      <c r="U86"/>
      <c r="V86"/>
      <c r="W86" s="17"/>
    </row>
    <row r="87" spans="1:23">
      <c r="A87" s="125" t="s">
        <v>33</v>
      </c>
      <c r="B87" s="14" t="s">
        <v>3</v>
      </c>
      <c r="C87" s="127" t="s">
        <v>18</v>
      </c>
      <c r="D87" s="14" t="s">
        <v>20</v>
      </c>
      <c r="E87" s="129">
        <f>41714+(7*364+7)</f>
        <v>44269</v>
      </c>
      <c r="F87" s="15">
        <v>799.95</v>
      </c>
      <c r="G87" s="130">
        <v>11</v>
      </c>
      <c r="H87" s="123">
        <f t="shared" si="2"/>
        <v>8799.4500000000007</v>
      </c>
      <c r="I87" s="16"/>
      <c r="J87" s="16"/>
      <c r="K87"/>
      <c r="L87"/>
      <c r="M87" s="16"/>
      <c r="N87" s="16"/>
      <c r="O87"/>
      <c r="P87"/>
      <c r="Q87"/>
      <c r="R87"/>
      <c r="S87"/>
      <c r="T87"/>
      <c r="U87"/>
      <c r="V87"/>
      <c r="W87" s="17"/>
    </row>
    <row r="88" spans="1:23">
      <c r="A88" s="125" t="s">
        <v>30</v>
      </c>
      <c r="B88" s="14" t="s">
        <v>4</v>
      </c>
      <c r="C88" s="127" t="s">
        <v>18</v>
      </c>
      <c r="D88" s="14" t="s">
        <v>19</v>
      </c>
      <c r="E88" s="129">
        <f>41668+(7*364+7)</f>
        <v>44223</v>
      </c>
      <c r="F88" s="15">
        <v>340.95</v>
      </c>
      <c r="G88" s="130">
        <v>8</v>
      </c>
      <c r="H88" s="123">
        <f t="shared" si="2"/>
        <v>2727.6</v>
      </c>
      <c r="I88" s="16"/>
      <c r="J88" s="16"/>
      <c r="K88"/>
      <c r="L88"/>
      <c r="M88" s="16"/>
      <c r="N88" s="16"/>
      <c r="O88"/>
      <c r="P88"/>
      <c r="Q88"/>
      <c r="R88"/>
      <c r="S88"/>
      <c r="T88"/>
      <c r="U88"/>
      <c r="V88"/>
      <c r="W88" s="17"/>
    </row>
    <row r="89" spans="1:23">
      <c r="A89" s="125" t="s">
        <v>16</v>
      </c>
      <c r="B89" s="14" t="s">
        <v>3</v>
      </c>
      <c r="C89" s="127" t="s">
        <v>29</v>
      </c>
      <c r="D89" s="14" t="s">
        <v>22</v>
      </c>
      <c r="E89" s="129">
        <f>41963+(7*364+7)</f>
        <v>44518</v>
      </c>
      <c r="F89" s="15">
        <v>799.95</v>
      </c>
      <c r="G89" s="130">
        <v>5</v>
      </c>
      <c r="H89" s="123">
        <f t="shared" si="2"/>
        <v>3999.75</v>
      </c>
      <c r="I89" s="16"/>
      <c r="J89" s="16"/>
      <c r="K89"/>
      <c r="L89"/>
      <c r="M89" s="16"/>
      <c r="N89" s="16"/>
      <c r="O89"/>
      <c r="P89"/>
      <c r="Q89"/>
      <c r="R89"/>
      <c r="S89"/>
      <c r="T89"/>
      <c r="U89"/>
      <c r="V89"/>
      <c r="W89" s="17"/>
    </row>
    <row r="90" spans="1:23">
      <c r="A90" s="125" t="s">
        <v>6</v>
      </c>
      <c r="B90" s="14" t="s">
        <v>0</v>
      </c>
      <c r="C90" s="127" t="s">
        <v>18</v>
      </c>
      <c r="D90" s="14" t="s">
        <v>20</v>
      </c>
      <c r="E90" s="129">
        <f>42021+(7*364+7)</f>
        <v>44576</v>
      </c>
      <c r="F90" s="15">
        <v>168.95</v>
      </c>
      <c r="G90" s="130">
        <v>15</v>
      </c>
      <c r="H90" s="123">
        <f t="shared" si="2"/>
        <v>2534.25</v>
      </c>
      <c r="I90" s="16"/>
      <c r="J90" s="16"/>
      <c r="K90"/>
      <c r="L90"/>
      <c r="M90" s="16"/>
      <c r="N90" s="16"/>
      <c r="O90"/>
      <c r="P90"/>
      <c r="Q90"/>
      <c r="R90"/>
      <c r="S90"/>
      <c r="T90"/>
      <c r="U90"/>
      <c r="V90"/>
      <c r="W90" s="17"/>
    </row>
    <row r="91" spans="1:23">
      <c r="A91" s="125" t="s">
        <v>17</v>
      </c>
      <c r="B91" s="14" t="s">
        <v>2</v>
      </c>
      <c r="C91" s="127" t="s">
        <v>18</v>
      </c>
      <c r="D91" s="14" t="s">
        <v>22</v>
      </c>
      <c r="E91" s="129">
        <f>41843+(7*364+7)</f>
        <v>44398</v>
      </c>
      <c r="F91" s="15">
        <v>340.95</v>
      </c>
      <c r="G91" s="130">
        <v>13</v>
      </c>
      <c r="H91" s="123">
        <f t="shared" si="2"/>
        <v>4432.3499999999995</v>
      </c>
      <c r="I91" s="16"/>
      <c r="J91" s="16"/>
      <c r="K91"/>
      <c r="L91"/>
      <c r="M91" s="16"/>
      <c r="N91" s="16"/>
      <c r="O91"/>
      <c r="P91"/>
      <c r="Q91"/>
      <c r="R91"/>
      <c r="S91"/>
      <c r="T91"/>
      <c r="U91"/>
      <c r="V91"/>
      <c r="W91" s="17"/>
    </row>
    <row r="92" spans="1:23">
      <c r="A92" s="125" t="s">
        <v>34</v>
      </c>
      <c r="B92" s="14" t="s">
        <v>1</v>
      </c>
      <c r="C92" s="127" t="s">
        <v>32</v>
      </c>
      <c r="D92" s="14" t="s">
        <v>22</v>
      </c>
      <c r="E92" s="129">
        <f>41864+(7*364+7)</f>
        <v>44419</v>
      </c>
      <c r="F92" s="15">
        <v>79.989999999999995</v>
      </c>
      <c r="G92" s="130">
        <v>3</v>
      </c>
      <c r="H92" s="123">
        <f t="shared" si="2"/>
        <v>239.96999999999997</v>
      </c>
      <c r="I92" s="16"/>
      <c r="J92" s="16"/>
      <c r="K92"/>
      <c r="L92"/>
      <c r="M92" s="16"/>
      <c r="N92" s="16"/>
      <c r="O92"/>
      <c r="P92"/>
      <c r="Q92"/>
      <c r="R92"/>
      <c r="S92"/>
      <c r="T92"/>
      <c r="U92"/>
      <c r="V92"/>
      <c r="W92" s="17"/>
    </row>
    <row r="93" spans="1:23">
      <c r="A93" s="125" t="s">
        <v>33</v>
      </c>
      <c r="B93" s="14" t="s">
        <v>3</v>
      </c>
      <c r="C93" s="127" t="s">
        <v>18</v>
      </c>
      <c r="D93" s="14" t="s">
        <v>22</v>
      </c>
      <c r="E93" s="129">
        <f>41802+(7*364+7)</f>
        <v>44357</v>
      </c>
      <c r="F93" s="15">
        <v>799.95</v>
      </c>
      <c r="G93" s="130">
        <v>3</v>
      </c>
      <c r="H93" s="123">
        <f t="shared" si="2"/>
        <v>2399.8500000000004</v>
      </c>
      <c r="I93" s="16"/>
      <c r="J93" s="16"/>
      <c r="K93"/>
      <c r="L93"/>
      <c r="M93" s="16"/>
      <c r="N93" s="16"/>
      <c r="O93"/>
      <c r="P93"/>
      <c r="Q93"/>
      <c r="R93"/>
      <c r="S93"/>
      <c r="T93"/>
      <c r="U93"/>
      <c r="V93"/>
      <c r="W93" s="17"/>
    </row>
    <row r="94" spans="1:23">
      <c r="A94" s="125" t="s">
        <v>16</v>
      </c>
      <c r="B94" s="14" t="s">
        <v>4</v>
      </c>
      <c r="C94" s="127" t="s">
        <v>29</v>
      </c>
      <c r="D94" s="14" t="s">
        <v>21</v>
      </c>
      <c r="E94" s="129">
        <f>41738+(7*364+7)</f>
        <v>44293</v>
      </c>
      <c r="F94" s="15">
        <v>340.95</v>
      </c>
      <c r="G94" s="130">
        <v>6</v>
      </c>
      <c r="H94" s="123">
        <f t="shared" si="2"/>
        <v>2045.6999999999998</v>
      </c>
      <c r="I94" s="16"/>
      <c r="J94" s="16"/>
      <c r="K94"/>
      <c r="L94"/>
      <c r="M94" s="16"/>
      <c r="N94" s="16"/>
      <c r="O94"/>
      <c r="P94"/>
      <c r="Q94"/>
      <c r="R94"/>
      <c r="S94"/>
      <c r="T94"/>
      <c r="U94"/>
      <c r="V94"/>
      <c r="W94" s="17"/>
    </row>
    <row r="95" spans="1:23">
      <c r="A95" s="125" t="s">
        <v>33</v>
      </c>
      <c r="B95" s="14" t="s">
        <v>1</v>
      </c>
      <c r="C95" s="127" t="s">
        <v>18</v>
      </c>
      <c r="D95" s="14" t="s">
        <v>22</v>
      </c>
      <c r="E95" s="129">
        <f>41927+(7*364+7)</f>
        <v>44482</v>
      </c>
      <c r="F95" s="15">
        <v>79.989999999999995</v>
      </c>
      <c r="G95" s="130">
        <v>2</v>
      </c>
      <c r="H95" s="123">
        <f t="shared" si="2"/>
        <v>159.97999999999999</v>
      </c>
      <c r="I95" s="16"/>
      <c r="J95" s="16"/>
      <c r="K95"/>
      <c r="L95"/>
      <c r="M95" s="16"/>
      <c r="N95" s="16"/>
      <c r="O95"/>
      <c r="P95"/>
      <c r="Q95"/>
      <c r="R95"/>
      <c r="S95"/>
      <c r="T95"/>
      <c r="U95"/>
      <c r="V95"/>
      <c r="W95" s="17"/>
    </row>
    <row r="96" spans="1:23">
      <c r="A96" s="125" t="s">
        <v>34</v>
      </c>
      <c r="B96" s="14" t="s">
        <v>3</v>
      </c>
      <c r="C96" s="127" t="s">
        <v>32</v>
      </c>
      <c r="D96" s="14" t="s">
        <v>22</v>
      </c>
      <c r="E96" s="129">
        <f>41681+(7*364+7)</f>
        <v>44236</v>
      </c>
      <c r="F96" s="15">
        <v>799.95</v>
      </c>
      <c r="G96" s="130">
        <v>11</v>
      </c>
      <c r="H96" s="123">
        <f t="shared" si="2"/>
        <v>8799.4500000000007</v>
      </c>
      <c r="I96" s="16"/>
      <c r="J96" s="16"/>
      <c r="K96"/>
      <c r="L96"/>
      <c r="M96" s="16"/>
      <c r="N96" s="16"/>
      <c r="O96"/>
      <c r="P96"/>
      <c r="Q96"/>
      <c r="R96"/>
      <c r="S96"/>
      <c r="T96"/>
      <c r="U96"/>
      <c r="V96"/>
      <c r="W96" s="17"/>
    </row>
    <row r="97" spans="1:23">
      <c r="A97" s="125" t="s">
        <v>17</v>
      </c>
      <c r="B97" s="14" t="s">
        <v>2</v>
      </c>
      <c r="C97" s="127" t="s">
        <v>18</v>
      </c>
      <c r="D97" s="14" t="s">
        <v>23</v>
      </c>
      <c r="E97" s="129">
        <f>41671+(7*364+7)</f>
        <v>44226</v>
      </c>
      <c r="F97" s="15">
        <v>340.95</v>
      </c>
      <c r="G97" s="130">
        <v>6</v>
      </c>
      <c r="H97" s="123">
        <f t="shared" si="2"/>
        <v>2045.6999999999998</v>
      </c>
      <c r="I97" s="16"/>
      <c r="J97" s="16"/>
      <c r="K97"/>
      <c r="L97"/>
      <c r="M97" s="16"/>
      <c r="N97" s="16"/>
      <c r="O97"/>
      <c r="P97"/>
      <c r="Q97"/>
      <c r="R97"/>
      <c r="S97"/>
      <c r="T97"/>
      <c r="U97"/>
      <c r="V97"/>
      <c r="W97" s="17"/>
    </row>
    <row r="98" spans="1:23">
      <c r="A98" s="125" t="s">
        <v>31</v>
      </c>
      <c r="B98" s="14" t="s">
        <v>4</v>
      </c>
      <c r="C98" s="127" t="s">
        <v>32</v>
      </c>
      <c r="D98" s="14" t="s">
        <v>22</v>
      </c>
      <c r="E98" s="129">
        <f>42349+(7*364+7)</f>
        <v>44904</v>
      </c>
      <c r="F98" s="15">
        <v>340.95</v>
      </c>
      <c r="G98" s="130">
        <v>11</v>
      </c>
      <c r="H98" s="123">
        <f t="shared" si="2"/>
        <v>3750.45</v>
      </c>
      <c r="I98" s="16"/>
      <c r="J98" s="16"/>
      <c r="K98"/>
      <c r="L98"/>
      <c r="M98" s="16"/>
      <c r="N98" s="16"/>
      <c r="O98"/>
      <c r="P98"/>
      <c r="Q98"/>
      <c r="R98"/>
      <c r="S98"/>
      <c r="T98"/>
      <c r="U98"/>
      <c r="V98"/>
      <c r="W98" s="17"/>
    </row>
    <row r="99" spans="1:23">
      <c r="A99" s="125" t="s">
        <v>6</v>
      </c>
      <c r="B99" s="14" t="s">
        <v>1</v>
      </c>
      <c r="C99" s="127" t="s">
        <v>18</v>
      </c>
      <c r="D99" s="14" t="s">
        <v>23</v>
      </c>
      <c r="E99" s="129">
        <f>41928+(7*364+7)</f>
        <v>44483</v>
      </c>
      <c r="F99" s="15">
        <v>79.989999999999995</v>
      </c>
      <c r="G99" s="130">
        <v>1</v>
      </c>
      <c r="H99" s="123">
        <f t="shared" si="2"/>
        <v>79.989999999999995</v>
      </c>
      <c r="I99" s="16"/>
      <c r="J99" s="16"/>
      <c r="K99"/>
      <c r="L99"/>
      <c r="M99" s="16"/>
      <c r="N99" s="16"/>
      <c r="O99"/>
      <c r="P99"/>
      <c r="Q99"/>
      <c r="R99"/>
      <c r="S99"/>
      <c r="T99"/>
      <c r="U99"/>
      <c r="V99"/>
      <c r="W99" s="17"/>
    </row>
    <row r="100" spans="1:23">
      <c r="A100" s="125" t="s">
        <v>16</v>
      </c>
      <c r="B100" s="14" t="s">
        <v>0</v>
      </c>
      <c r="C100" s="127" t="s">
        <v>29</v>
      </c>
      <c r="D100" s="14" t="s">
        <v>21</v>
      </c>
      <c r="E100" s="129">
        <f>41984+(7*364+7)</f>
        <v>44539</v>
      </c>
      <c r="F100" s="15">
        <v>168.95</v>
      </c>
      <c r="G100" s="130">
        <v>5</v>
      </c>
      <c r="H100" s="123">
        <f t="shared" si="2"/>
        <v>844.75</v>
      </c>
      <c r="I100" s="16"/>
      <c r="J100" s="16"/>
      <c r="K100"/>
      <c r="L100"/>
      <c r="M100" s="16"/>
      <c r="N100" s="16"/>
      <c r="O100"/>
      <c r="P100"/>
      <c r="Q100"/>
      <c r="R100"/>
      <c r="S100"/>
      <c r="T100"/>
      <c r="U100"/>
      <c r="V100"/>
      <c r="W100" s="17"/>
    </row>
    <row r="101" spans="1:23">
      <c r="A101" s="125" t="s">
        <v>33</v>
      </c>
      <c r="B101" s="14" t="s">
        <v>1</v>
      </c>
      <c r="C101" s="127" t="s">
        <v>18</v>
      </c>
      <c r="D101" s="14" t="s">
        <v>21</v>
      </c>
      <c r="E101" s="129">
        <f>41891+(7*364+7)</f>
        <v>44446</v>
      </c>
      <c r="F101" s="15">
        <v>79.989999999999995</v>
      </c>
      <c r="G101" s="130">
        <v>1</v>
      </c>
      <c r="H101" s="123">
        <f t="shared" si="2"/>
        <v>79.989999999999995</v>
      </c>
      <c r="I101" s="16"/>
      <c r="J101" s="16"/>
      <c r="K101"/>
      <c r="L101"/>
      <c r="M101" s="16"/>
      <c r="N101" s="16"/>
      <c r="O101"/>
      <c r="P101"/>
      <c r="Q101"/>
      <c r="R101"/>
      <c r="S101"/>
      <c r="T101"/>
      <c r="U101"/>
      <c r="V101"/>
      <c r="W101" s="17"/>
    </row>
    <row r="102" spans="1:23">
      <c r="A102" s="125" t="s">
        <v>16</v>
      </c>
      <c r="B102" s="14" t="s">
        <v>1</v>
      </c>
      <c r="C102" s="127" t="s">
        <v>29</v>
      </c>
      <c r="D102" s="14" t="s">
        <v>22</v>
      </c>
      <c r="E102" s="129">
        <f>41908+(7*364+7)</f>
        <v>44463</v>
      </c>
      <c r="F102" s="15">
        <v>79.989999999999995</v>
      </c>
      <c r="G102" s="130">
        <v>3</v>
      </c>
      <c r="H102" s="123">
        <f t="shared" si="2"/>
        <v>239.96999999999997</v>
      </c>
      <c r="I102" s="16"/>
      <c r="J102" s="16"/>
      <c r="K102"/>
      <c r="L102"/>
      <c r="M102" s="16"/>
      <c r="N102" s="16"/>
      <c r="O102"/>
      <c r="P102"/>
      <c r="Q102"/>
      <c r="R102"/>
      <c r="S102"/>
      <c r="T102"/>
      <c r="U102"/>
      <c r="V102"/>
      <c r="W102" s="17"/>
    </row>
    <row r="103" spans="1:23">
      <c r="A103" s="125" t="s">
        <v>34</v>
      </c>
      <c r="B103" s="14" t="s">
        <v>3</v>
      </c>
      <c r="C103" s="127" t="s">
        <v>32</v>
      </c>
      <c r="D103" s="14" t="s">
        <v>21</v>
      </c>
      <c r="E103" s="129">
        <f>42110+(7*364+7)</f>
        <v>44665</v>
      </c>
      <c r="F103" s="15">
        <v>799.95</v>
      </c>
      <c r="G103" s="130">
        <v>9</v>
      </c>
      <c r="H103" s="123">
        <f t="shared" si="2"/>
        <v>7199.55</v>
      </c>
      <c r="I103" s="16"/>
      <c r="J103" s="16"/>
      <c r="K103"/>
      <c r="L103"/>
      <c r="M103" s="16"/>
      <c r="N103" s="16"/>
      <c r="O103"/>
      <c r="P103"/>
      <c r="Q103"/>
      <c r="R103"/>
      <c r="S103"/>
      <c r="T103"/>
      <c r="U103"/>
      <c r="V103"/>
      <c r="W103" s="17"/>
    </row>
    <row r="104" spans="1:23">
      <c r="A104" s="125" t="s">
        <v>31</v>
      </c>
      <c r="B104" s="14" t="s">
        <v>3</v>
      </c>
      <c r="C104" s="127" t="s">
        <v>32</v>
      </c>
      <c r="D104" s="14" t="s">
        <v>20</v>
      </c>
      <c r="E104" s="129">
        <f>42348+(7*364+7)</f>
        <v>44903</v>
      </c>
      <c r="F104" s="15">
        <v>799.95</v>
      </c>
      <c r="G104" s="130">
        <v>5</v>
      </c>
      <c r="H104" s="123">
        <f t="shared" si="2"/>
        <v>3999.75</v>
      </c>
      <c r="I104" s="16"/>
      <c r="J104" s="16"/>
      <c r="K104"/>
      <c r="L104"/>
      <c r="M104" s="16"/>
      <c r="N104" s="16"/>
      <c r="O104"/>
      <c r="P104"/>
      <c r="Q104"/>
      <c r="R104"/>
      <c r="S104"/>
      <c r="T104"/>
      <c r="U104"/>
      <c r="V104"/>
      <c r="W104" s="17"/>
    </row>
    <row r="105" spans="1:23">
      <c r="A105" s="125" t="s">
        <v>7</v>
      </c>
      <c r="B105" s="14" t="s">
        <v>0</v>
      </c>
      <c r="C105" s="127" t="s">
        <v>27</v>
      </c>
      <c r="D105" s="14" t="s">
        <v>22</v>
      </c>
      <c r="E105" s="129">
        <f>42253+(7*364+7)</f>
        <v>44808</v>
      </c>
      <c r="F105" s="15">
        <v>168.95</v>
      </c>
      <c r="G105" s="130">
        <v>3</v>
      </c>
      <c r="H105" s="123">
        <f t="shared" si="2"/>
        <v>506.84999999999997</v>
      </c>
      <c r="I105" s="16"/>
      <c r="J105" s="16"/>
      <c r="K105"/>
      <c r="L105"/>
      <c r="M105" s="16"/>
      <c r="N105" s="16"/>
      <c r="O105"/>
      <c r="P105"/>
      <c r="Q105"/>
      <c r="R105"/>
      <c r="S105"/>
      <c r="T105"/>
      <c r="U105"/>
      <c r="V105"/>
      <c r="W105" s="17"/>
    </row>
    <row r="106" spans="1:23">
      <c r="A106" s="125" t="s">
        <v>16</v>
      </c>
      <c r="B106" s="14" t="s">
        <v>2</v>
      </c>
      <c r="C106" s="127" t="s">
        <v>29</v>
      </c>
      <c r="D106" s="14" t="s">
        <v>23</v>
      </c>
      <c r="E106" s="129">
        <f>41670+(7*364+7)</f>
        <v>44225</v>
      </c>
      <c r="F106" s="15">
        <v>340.95</v>
      </c>
      <c r="G106" s="130">
        <v>8</v>
      </c>
      <c r="H106" s="123">
        <f t="shared" si="2"/>
        <v>2727.6</v>
      </c>
      <c r="I106" s="16"/>
      <c r="J106" s="16"/>
      <c r="K106"/>
      <c r="L106"/>
      <c r="M106" s="16"/>
      <c r="N106" s="16"/>
      <c r="O106"/>
      <c r="P106"/>
      <c r="Q106"/>
      <c r="R106"/>
      <c r="S106"/>
      <c r="T106"/>
      <c r="U106"/>
      <c r="V106"/>
      <c r="W106" s="17"/>
    </row>
    <row r="107" spans="1:23">
      <c r="A107" s="125" t="s">
        <v>30</v>
      </c>
      <c r="B107" s="14" t="s">
        <v>0</v>
      </c>
      <c r="C107" s="127" t="s">
        <v>18</v>
      </c>
      <c r="D107" s="14" t="s">
        <v>23</v>
      </c>
      <c r="E107" s="129">
        <f>41787+(7*364+7)</f>
        <v>44342</v>
      </c>
      <c r="F107" s="15">
        <v>168.95</v>
      </c>
      <c r="G107" s="130">
        <v>9</v>
      </c>
      <c r="H107" s="123">
        <f t="shared" si="2"/>
        <v>1520.55</v>
      </c>
      <c r="I107" s="16"/>
      <c r="J107" s="16"/>
      <c r="K107"/>
      <c r="L107"/>
      <c r="M107" s="16"/>
      <c r="N107" s="16"/>
      <c r="O107"/>
      <c r="P107"/>
      <c r="Q107"/>
      <c r="R107"/>
      <c r="S107"/>
      <c r="T107"/>
      <c r="U107"/>
      <c r="V107"/>
      <c r="W107" s="17"/>
    </row>
    <row r="108" spans="1:23">
      <c r="A108" s="125" t="s">
        <v>7</v>
      </c>
      <c r="B108" s="14" t="s">
        <v>4</v>
      </c>
      <c r="C108" s="127" t="s">
        <v>27</v>
      </c>
      <c r="D108" s="14" t="s">
        <v>21</v>
      </c>
      <c r="E108" s="129">
        <f>42262+(7*364+7)</f>
        <v>44817</v>
      </c>
      <c r="F108" s="15">
        <v>340.95</v>
      </c>
      <c r="G108" s="130">
        <v>13</v>
      </c>
      <c r="H108" s="123">
        <f t="shared" si="2"/>
        <v>4432.3499999999995</v>
      </c>
      <c r="I108" s="16"/>
      <c r="J108" s="16"/>
      <c r="K108"/>
      <c r="L108"/>
      <c r="M108" s="16"/>
      <c r="N108" s="16"/>
      <c r="O108"/>
      <c r="P108"/>
      <c r="Q108"/>
      <c r="R108"/>
      <c r="S108"/>
      <c r="T108"/>
      <c r="U108"/>
      <c r="V108"/>
      <c r="W108" s="17"/>
    </row>
    <row r="109" spans="1:23">
      <c r="A109" s="125" t="s">
        <v>6</v>
      </c>
      <c r="B109" s="14" t="s">
        <v>4</v>
      </c>
      <c r="C109" s="127" t="s">
        <v>18</v>
      </c>
      <c r="D109" s="14" t="s">
        <v>19</v>
      </c>
      <c r="E109" s="129">
        <f>42284+(7*364+7)</f>
        <v>44839</v>
      </c>
      <c r="F109" s="15">
        <v>340.95</v>
      </c>
      <c r="G109" s="130">
        <v>12</v>
      </c>
      <c r="H109" s="123">
        <f t="shared" si="2"/>
        <v>4091.3999999999996</v>
      </c>
      <c r="I109" s="16"/>
      <c r="J109" s="16"/>
      <c r="K109"/>
      <c r="L109"/>
      <c r="M109" s="16"/>
      <c r="N109" s="16"/>
      <c r="O109"/>
      <c r="P109"/>
      <c r="Q109"/>
      <c r="R109"/>
      <c r="S109"/>
      <c r="T109"/>
      <c r="U109"/>
      <c r="V109"/>
      <c r="W109" s="17"/>
    </row>
    <row r="110" spans="1:23">
      <c r="A110" s="125" t="s">
        <v>17</v>
      </c>
      <c r="B110" s="14" t="s">
        <v>3</v>
      </c>
      <c r="C110" s="127" t="s">
        <v>18</v>
      </c>
      <c r="D110" s="14" t="s">
        <v>19</v>
      </c>
      <c r="E110" s="129">
        <f>41809+(7*364+7)</f>
        <v>44364</v>
      </c>
      <c r="F110" s="15">
        <v>799.95</v>
      </c>
      <c r="G110" s="130">
        <v>19</v>
      </c>
      <c r="H110" s="123">
        <f t="shared" si="2"/>
        <v>15199.050000000001</v>
      </c>
      <c r="I110" s="16"/>
      <c r="J110" s="16"/>
      <c r="K110"/>
      <c r="L110"/>
      <c r="M110" s="16"/>
      <c r="N110" s="16"/>
      <c r="O110"/>
      <c r="P110"/>
      <c r="Q110"/>
      <c r="R110"/>
      <c r="S110"/>
      <c r="T110"/>
      <c r="U110"/>
      <c r="V110"/>
      <c r="W110" s="17"/>
    </row>
    <row r="111" spans="1:23">
      <c r="A111" s="125" t="s">
        <v>28</v>
      </c>
      <c r="B111" s="14" t="s">
        <v>3</v>
      </c>
      <c r="C111" s="127" t="s">
        <v>32</v>
      </c>
      <c r="D111" s="14" t="s">
        <v>21</v>
      </c>
      <c r="E111" s="129">
        <f>42067+(7*364+7)</f>
        <v>44622</v>
      </c>
      <c r="F111" s="15">
        <v>799.95</v>
      </c>
      <c r="G111" s="130">
        <v>13</v>
      </c>
      <c r="H111" s="123">
        <f t="shared" si="2"/>
        <v>10399.35</v>
      </c>
      <c r="I111" s="16"/>
      <c r="J111" s="16"/>
      <c r="K111"/>
      <c r="L111"/>
      <c r="M111" s="16"/>
      <c r="N111" s="16"/>
      <c r="O111"/>
      <c r="P111"/>
      <c r="Q111"/>
      <c r="R111"/>
      <c r="S111"/>
      <c r="T111"/>
      <c r="U111"/>
      <c r="V111"/>
      <c r="W111" s="17"/>
    </row>
    <row r="112" spans="1:23">
      <c r="A112" s="125" t="s">
        <v>16</v>
      </c>
      <c r="B112" s="14" t="s">
        <v>3</v>
      </c>
      <c r="C112" s="127" t="s">
        <v>29</v>
      </c>
      <c r="D112" s="14" t="s">
        <v>20</v>
      </c>
      <c r="E112" s="129">
        <f>42014+(7*364+7)</f>
        <v>44569</v>
      </c>
      <c r="F112" s="15">
        <v>799.95</v>
      </c>
      <c r="G112" s="130">
        <v>8</v>
      </c>
      <c r="H112" s="123">
        <f t="shared" si="2"/>
        <v>6399.6</v>
      </c>
      <c r="I112" s="16"/>
      <c r="J112" s="16"/>
      <c r="K112"/>
      <c r="L112"/>
      <c r="M112" s="16"/>
      <c r="N112" s="16"/>
      <c r="O112"/>
      <c r="P112"/>
      <c r="Q112"/>
      <c r="R112"/>
      <c r="S112"/>
      <c r="T112"/>
      <c r="U112"/>
      <c r="V112"/>
      <c r="W112" s="17"/>
    </row>
    <row r="113" spans="1:23">
      <c r="A113" s="125" t="s">
        <v>26</v>
      </c>
      <c r="B113" s="14" t="s">
        <v>0</v>
      </c>
      <c r="C113" s="127" t="s">
        <v>27</v>
      </c>
      <c r="D113" s="14" t="s">
        <v>21</v>
      </c>
      <c r="E113" s="129">
        <f>41894+(7*364+7)</f>
        <v>44449</v>
      </c>
      <c r="F113" s="15">
        <v>168.95</v>
      </c>
      <c r="G113" s="130">
        <v>4</v>
      </c>
      <c r="H113" s="123">
        <f t="shared" si="2"/>
        <v>675.8</v>
      </c>
      <c r="I113" s="16"/>
      <c r="J113" s="16"/>
      <c r="K113"/>
      <c r="L113"/>
      <c r="M113" s="16"/>
      <c r="N113" s="16"/>
      <c r="O113"/>
      <c r="P113"/>
      <c r="Q113"/>
      <c r="R113"/>
      <c r="S113"/>
      <c r="T113"/>
      <c r="U113"/>
      <c r="V113"/>
      <c r="W113" s="17"/>
    </row>
    <row r="114" spans="1:23">
      <c r="A114" s="125" t="s">
        <v>33</v>
      </c>
      <c r="B114" s="14" t="s">
        <v>3</v>
      </c>
      <c r="C114" s="127" t="s">
        <v>18</v>
      </c>
      <c r="D114" s="14" t="s">
        <v>19</v>
      </c>
      <c r="E114" s="129">
        <f>41833+(7*364+7)</f>
        <v>44388</v>
      </c>
      <c r="F114" s="15">
        <v>799.95</v>
      </c>
      <c r="G114" s="130">
        <v>14</v>
      </c>
      <c r="H114" s="123">
        <f t="shared" si="2"/>
        <v>11199.300000000001</v>
      </c>
      <c r="I114" s="16"/>
      <c r="J114" s="16"/>
      <c r="K114"/>
      <c r="L114"/>
      <c r="M114" s="16"/>
      <c r="N114" s="16"/>
      <c r="O114"/>
      <c r="P114"/>
      <c r="Q114"/>
      <c r="R114"/>
      <c r="S114"/>
      <c r="T114"/>
      <c r="U114"/>
      <c r="V114"/>
      <c r="W114" s="17"/>
    </row>
    <row r="115" spans="1:23">
      <c r="A115" s="125" t="s">
        <v>17</v>
      </c>
      <c r="B115" s="14" t="s">
        <v>4</v>
      </c>
      <c r="C115" s="127" t="s">
        <v>18</v>
      </c>
      <c r="D115" s="14" t="s">
        <v>23</v>
      </c>
      <c r="E115" s="129">
        <f>41972+(7*364+7)</f>
        <v>44527</v>
      </c>
      <c r="F115" s="15">
        <v>340.95</v>
      </c>
      <c r="G115" s="130">
        <v>12</v>
      </c>
      <c r="H115" s="123">
        <f t="shared" si="2"/>
        <v>4091.3999999999996</v>
      </c>
      <c r="I115" s="16"/>
      <c r="J115" s="16"/>
      <c r="K115"/>
      <c r="L115"/>
      <c r="M115" s="16"/>
      <c r="N115" s="16"/>
      <c r="O115"/>
      <c r="P115"/>
      <c r="Q115"/>
      <c r="R115"/>
      <c r="S115"/>
      <c r="T115"/>
      <c r="U115"/>
      <c r="V115"/>
      <c r="W115" s="17"/>
    </row>
    <row r="116" spans="1:23">
      <c r="A116" s="125" t="s">
        <v>7</v>
      </c>
      <c r="B116" s="14" t="s">
        <v>1</v>
      </c>
      <c r="C116" s="127" t="s">
        <v>27</v>
      </c>
      <c r="D116" s="14" t="s">
        <v>20</v>
      </c>
      <c r="E116" s="129">
        <f>41655+(7*364+7)</f>
        <v>44210</v>
      </c>
      <c r="F116" s="15">
        <v>79.989999999999995</v>
      </c>
      <c r="G116" s="130">
        <v>11</v>
      </c>
      <c r="H116" s="123">
        <f t="shared" si="2"/>
        <v>879.89</v>
      </c>
      <c r="I116" s="16"/>
      <c r="J116" s="16"/>
      <c r="K116"/>
      <c r="L116"/>
      <c r="M116" s="16"/>
      <c r="N116" s="16"/>
      <c r="O116"/>
      <c r="P116"/>
      <c r="Q116"/>
      <c r="R116"/>
      <c r="S116"/>
      <c r="T116"/>
      <c r="U116"/>
      <c r="V116"/>
      <c r="W116" s="17"/>
    </row>
    <row r="117" spans="1:23">
      <c r="A117" s="125" t="s">
        <v>7</v>
      </c>
      <c r="B117" s="14" t="s">
        <v>2</v>
      </c>
      <c r="C117" s="127" t="s">
        <v>27</v>
      </c>
      <c r="D117" s="14" t="s">
        <v>22</v>
      </c>
      <c r="E117" s="129">
        <f>42315+(7*364+7)</f>
        <v>44870</v>
      </c>
      <c r="F117" s="15">
        <v>340.95</v>
      </c>
      <c r="G117" s="130">
        <v>6</v>
      </c>
      <c r="H117" s="123">
        <f t="shared" si="2"/>
        <v>2045.6999999999998</v>
      </c>
      <c r="I117" s="16"/>
      <c r="J117" s="16"/>
      <c r="K117"/>
      <c r="L117"/>
      <c r="M117" s="16"/>
      <c r="N117" s="16"/>
      <c r="O117"/>
      <c r="P117"/>
      <c r="Q117"/>
      <c r="R117"/>
      <c r="S117"/>
      <c r="T117"/>
      <c r="U117"/>
      <c r="V117"/>
      <c r="W117" s="17"/>
    </row>
    <row r="118" spans="1:23">
      <c r="A118" s="125" t="s">
        <v>6</v>
      </c>
      <c r="B118" s="14" t="s">
        <v>2</v>
      </c>
      <c r="C118" s="127" t="s">
        <v>29</v>
      </c>
      <c r="D118" s="14" t="s">
        <v>20</v>
      </c>
      <c r="E118" s="129">
        <f>42161+(7*364+7)</f>
        <v>44716</v>
      </c>
      <c r="F118" s="15">
        <v>340.95</v>
      </c>
      <c r="G118" s="130">
        <v>2</v>
      </c>
      <c r="H118" s="123">
        <f t="shared" si="2"/>
        <v>681.9</v>
      </c>
      <c r="I118" s="16"/>
      <c r="J118" s="16"/>
      <c r="K118"/>
      <c r="L118"/>
      <c r="M118" s="16"/>
      <c r="N118" s="16"/>
      <c r="O118"/>
      <c r="P118"/>
      <c r="Q118"/>
      <c r="R118"/>
      <c r="S118"/>
      <c r="T118"/>
      <c r="U118"/>
      <c r="V118"/>
      <c r="W118" s="17"/>
    </row>
    <row r="119" spans="1:23">
      <c r="A119" s="125" t="s">
        <v>17</v>
      </c>
      <c r="B119" s="14" t="s">
        <v>2</v>
      </c>
      <c r="C119" s="127" t="s">
        <v>18</v>
      </c>
      <c r="D119" s="14" t="s">
        <v>21</v>
      </c>
      <c r="E119" s="129">
        <f>42025+(7*364+7)</f>
        <v>44580</v>
      </c>
      <c r="F119" s="15">
        <v>340.95</v>
      </c>
      <c r="G119" s="130">
        <v>8</v>
      </c>
      <c r="H119" s="123">
        <f t="shared" si="2"/>
        <v>2727.6</v>
      </c>
      <c r="I119" s="16"/>
      <c r="J119" s="16"/>
      <c r="K119"/>
      <c r="L119"/>
      <c r="M119" s="16"/>
      <c r="N119" s="16"/>
      <c r="O119"/>
      <c r="P119"/>
      <c r="Q119"/>
      <c r="R119"/>
      <c r="S119"/>
      <c r="T119"/>
      <c r="U119"/>
      <c r="V119"/>
      <c r="W119" s="17"/>
    </row>
    <row r="120" spans="1:23">
      <c r="A120" s="125" t="s">
        <v>35</v>
      </c>
      <c r="B120" s="14" t="s">
        <v>3</v>
      </c>
      <c r="C120" s="127" t="s">
        <v>29</v>
      </c>
      <c r="D120" s="14" t="s">
        <v>23</v>
      </c>
      <c r="E120" s="129">
        <f>41892+(7*364+7)</f>
        <v>44447</v>
      </c>
      <c r="F120" s="15">
        <v>799.95</v>
      </c>
      <c r="G120" s="130">
        <v>1</v>
      </c>
      <c r="H120" s="123">
        <f t="shared" si="2"/>
        <v>799.95</v>
      </c>
      <c r="I120" s="16"/>
      <c r="J120" s="16"/>
      <c r="K120"/>
      <c r="L120"/>
      <c r="M120" s="16"/>
      <c r="N120" s="16"/>
      <c r="O120"/>
      <c r="P120"/>
      <c r="Q120"/>
      <c r="R120"/>
      <c r="S120"/>
      <c r="T120"/>
      <c r="U120"/>
      <c r="V120"/>
      <c r="W120" s="17"/>
    </row>
    <row r="121" spans="1:23">
      <c r="A121" s="125" t="s">
        <v>16</v>
      </c>
      <c r="B121" s="14" t="s">
        <v>2</v>
      </c>
      <c r="C121" s="127" t="s">
        <v>29</v>
      </c>
      <c r="D121" s="14" t="s">
        <v>21</v>
      </c>
      <c r="E121" s="129">
        <f>41913+(7*364+7)</f>
        <v>44468</v>
      </c>
      <c r="F121" s="15">
        <v>340.95</v>
      </c>
      <c r="G121" s="130">
        <v>12</v>
      </c>
      <c r="H121" s="123">
        <f t="shared" si="2"/>
        <v>4091.3999999999996</v>
      </c>
      <c r="I121" s="16"/>
      <c r="J121" s="16"/>
      <c r="K121"/>
      <c r="L121"/>
      <c r="M121" s="16"/>
      <c r="N121" s="16"/>
      <c r="O121"/>
      <c r="P121"/>
      <c r="Q121"/>
      <c r="R121"/>
      <c r="S121"/>
      <c r="T121"/>
      <c r="U121"/>
      <c r="V121"/>
      <c r="W121" s="17"/>
    </row>
    <row r="122" spans="1:23">
      <c r="A122" s="125" t="s">
        <v>30</v>
      </c>
      <c r="B122" s="14" t="s">
        <v>4</v>
      </c>
      <c r="C122" s="127" t="s">
        <v>18</v>
      </c>
      <c r="D122" s="14" t="s">
        <v>21</v>
      </c>
      <c r="E122" s="129">
        <f>41817+(7*364+7)</f>
        <v>44372</v>
      </c>
      <c r="F122" s="15">
        <v>340.95</v>
      </c>
      <c r="G122" s="130">
        <v>15</v>
      </c>
      <c r="H122" s="123">
        <f t="shared" si="2"/>
        <v>5114.25</v>
      </c>
      <c r="I122" s="16"/>
      <c r="J122" s="16"/>
      <c r="K122"/>
      <c r="L122"/>
      <c r="M122" s="16"/>
      <c r="N122" s="16"/>
      <c r="O122"/>
      <c r="P122"/>
      <c r="Q122"/>
      <c r="R122"/>
      <c r="S122"/>
      <c r="T122"/>
      <c r="U122"/>
      <c r="V122"/>
      <c r="W122" s="17"/>
    </row>
    <row r="123" spans="1:23">
      <c r="A123" s="125" t="s">
        <v>33</v>
      </c>
      <c r="B123" s="14" t="s">
        <v>4</v>
      </c>
      <c r="C123" s="127" t="s">
        <v>18</v>
      </c>
      <c r="D123" s="14" t="s">
        <v>21</v>
      </c>
      <c r="E123" s="129">
        <f>42232+(7*364+7)</f>
        <v>44787</v>
      </c>
      <c r="F123" s="15">
        <v>340.95</v>
      </c>
      <c r="G123" s="130">
        <v>15</v>
      </c>
      <c r="H123" s="123">
        <f t="shared" si="2"/>
        <v>5114.25</v>
      </c>
      <c r="I123" s="16"/>
      <c r="J123" s="16"/>
      <c r="K123"/>
      <c r="L123"/>
      <c r="M123" s="16"/>
      <c r="N123" s="16"/>
      <c r="O123"/>
      <c r="P123"/>
      <c r="Q123"/>
      <c r="R123"/>
      <c r="S123"/>
      <c r="T123"/>
      <c r="U123"/>
      <c r="V123"/>
      <c r="W123" s="17"/>
    </row>
    <row r="124" spans="1:23">
      <c r="A124" s="125" t="s">
        <v>6</v>
      </c>
      <c r="B124" s="14" t="s">
        <v>3</v>
      </c>
      <c r="C124" s="127" t="s">
        <v>18</v>
      </c>
      <c r="D124" s="14" t="s">
        <v>23</v>
      </c>
      <c r="E124" s="129">
        <f>41958+(7*364+7)</f>
        <v>44513</v>
      </c>
      <c r="F124" s="15">
        <v>799.95</v>
      </c>
      <c r="G124" s="130">
        <v>3</v>
      </c>
      <c r="H124" s="123">
        <f t="shared" si="2"/>
        <v>2399.8500000000004</v>
      </c>
      <c r="I124" s="16"/>
      <c r="J124" s="16"/>
      <c r="K124"/>
      <c r="L124"/>
      <c r="M124" s="16"/>
      <c r="N124" s="16"/>
      <c r="O124"/>
      <c r="P124"/>
      <c r="Q124"/>
      <c r="R124"/>
      <c r="S124"/>
      <c r="T124"/>
      <c r="U124"/>
      <c r="V124"/>
      <c r="W124" s="17"/>
    </row>
    <row r="125" spans="1:23">
      <c r="A125" s="125" t="s">
        <v>17</v>
      </c>
      <c r="B125" s="14" t="s">
        <v>2</v>
      </c>
      <c r="C125" s="127" t="s">
        <v>18</v>
      </c>
      <c r="D125" s="14" t="s">
        <v>23</v>
      </c>
      <c r="E125" s="129">
        <f>42021+(7*364+7)</f>
        <v>44576</v>
      </c>
      <c r="F125" s="15">
        <v>340.95</v>
      </c>
      <c r="G125" s="130">
        <v>12</v>
      </c>
      <c r="H125" s="123">
        <f t="shared" si="2"/>
        <v>4091.3999999999996</v>
      </c>
      <c r="I125" s="16"/>
      <c r="J125" s="16"/>
      <c r="K125"/>
      <c r="L125"/>
      <c r="M125" s="16"/>
      <c r="N125" s="16"/>
      <c r="O125"/>
      <c r="P125"/>
      <c r="Q125"/>
      <c r="R125"/>
      <c r="S125"/>
      <c r="T125"/>
      <c r="U125"/>
      <c r="V125"/>
      <c r="W125" s="17"/>
    </row>
    <row r="126" spans="1:23">
      <c r="A126" s="125" t="s">
        <v>25</v>
      </c>
      <c r="B126" s="14" t="s">
        <v>4</v>
      </c>
      <c r="C126" s="127" t="s">
        <v>32</v>
      </c>
      <c r="D126" s="14" t="s">
        <v>22</v>
      </c>
      <c r="E126" s="129">
        <f>41870+(7*364+7)</f>
        <v>44425</v>
      </c>
      <c r="F126" s="15">
        <v>340.95</v>
      </c>
      <c r="G126" s="130">
        <v>10</v>
      </c>
      <c r="H126" s="123">
        <f t="shared" si="2"/>
        <v>3409.5</v>
      </c>
      <c r="I126" s="16"/>
      <c r="J126" s="16"/>
      <c r="K126"/>
      <c r="L126"/>
      <c r="M126" s="16"/>
      <c r="N126" s="16"/>
      <c r="O126"/>
      <c r="P126"/>
      <c r="Q126"/>
      <c r="R126"/>
      <c r="S126"/>
      <c r="T126"/>
      <c r="U126"/>
      <c r="V126"/>
      <c r="W126" s="17"/>
    </row>
    <row r="127" spans="1:23">
      <c r="A127" s="125" t="s">
        <v>26</v>
      </c>
      <c r="B127" s="14" t="s">
        <v>3</v>
      </c>
      <c r="C127" s="127" t="s">
        <v>27</v>
      </c>
      <c r="D127" s="14" t="s">
        <v>19</v>
      </c>
      <c r="E127" s="129">
        <f>42151+(7*364+7)</f>
        <v>44706</v>
      </c>
      <c r="F127" s="15">
        <v>799.95</v>
      </c>
      <c r="G127" s="130">
        <v>20</v>
      </c>
      <c r="H127" s="123">
        <f t="shared" si="2"/>
        <v>15999</v>
      </c>
      <c r="I127" s="16"/>
      <c r="J127" s="16"/>
      <c r="K127"/>
      <c r="L127"/>
      <c r="M127" s="16"/>
      <c r="N127" s="16"/>
      <c r="O127"/>
      <c r="P127"/>
      <c r="Q127"/>
      <c r="R127"/>
      <c r="S127"/>
      <c r="T127"/>
      <c r="U127"/>
      <c r="V127"/>
      <c r="W127" s="17"/>
    </row>
    <row r="128" spans="1:23">
      <c r="A128" s="125" t="s">
        <v>35</v>
      </c>
      <c r="B128" s="14" t="s">
        <v>4</v>
      </c>
      <c r="C128" s="127" t="s">
        <v>29</v>
      </c>
      <c r="D128" s="14" t="s">
        <v>21</v>
      </c>
      <c r="E128" s="129">
        <f>41860+(7*364+7)</f>
        <v>44415</v>
      </c>
      <c r="F128" s="15">
        <v>340.95</v>
      </c>
      <c r="G128" s="130">
        <v>2</v>
      </c>
      <c r="H128" s="123">
        <f t="shared" si="2"/>
        <v>681.9</v>
      </c>
      <c r="I128" s="16"/>
      <c r="J128" s="16"/>
      <c r="K128"/>
      <c r="L128"/>
      <c r="M128" s="16"/>
      <c r="N128" s="16"/>
      <c r="O128"/>
      <c r="P128"/>
      <c r="Q128"/>
      <c r="R128"/>
      <c r="S128"/>
      <c r="T128"/>
      <c r="U128"/>
      <c r="V128"/>
      <c r="W128" s="17"/>
    </row>
    <row r="129" spans="1:23">
      <c r="A129" s="125" t="s">
        <v>33</v>
      </c>
      <c r="B129" s="14" t="s">
        <v>0</v>
      </c>
      <c r="C129" s="127" t="s">
        <v>18</v>
      </c>
      <c r="D129" s="14" t="s">
        <v>19</v>
      </c>
      <c r="E129" s="129">
        <f>41959+(7*364+7)</f>
        <v>44514</v>
      </c>
      <c r="F129" s="15">
        <v>168.95</v>
      </c>
      <c r="G129" s="130">
        <v>15</v>
      </c>
      <c r="H129" s="123">
        <f t="shared" si="2"/>
        <v>2534.25</v>
      </c>
      <c r="I129" s="16"/>
      <c r="J129" s="16"/>
      <c r="K129"/>
      <c r="L129"/>
      <c r="M129" s="16"/>
      <c r="N129" s="16"/>
      <c r="O129"/>
      <c r="P129"/>
      <c r="Q129"/>
      <c r="R129"/>
      <c r="S129"/>
      <c r="T129"/>
      <c r="U129"/>
      <c r="V129"/>
      <c r="W129" s="17"/>
    </row>
    <row r="130" spans="1:23">
      <c r="A130" s="125" t="s">
        <v>33</v>
      </c>
      <c r="B130" s="14" t="s">
        <v>1</v>
      </c>
      <c r="C130" s="127" t="s">
        <v>18</v>
      </c>
      <c r="D130" s="14" t="s">
        <v>22</v>
      </c>
      <c r="E130" s="129">
        <f>42137+(7*364+7)</f>
        <v>44692</v>
      </c>
      <c r="F130" s="15">
        <v>79.989999999999995</v>
      </c>
      <c r="G130" s="130">
        <v>15</v>
      </c>
      <c r="H130" s="123">
        <f t="shared" si="2"/>
        <v>1199.8499999999999</v>
      </c>
      <c r="I130" s="16"/>
      <c r="J130" s="16"/>
      <c r="K130"/>
      <c r="L130"/>
      <c r="M130" s="16"/>
      <c r="N130" s="16"/>
      <c r="O130"/>
      <c r="P130"/>
      <c r="Q130"/>
      <c r="R130"/>
      <c r="S130"/>
      <c r="T130"/>
      <c r="U130"/>
      <c r="V130"/>
      <c r="W130" s="17"/>
    </row>
    <row r="131" spans="1:23">
      <c r="A131" s="125" t="s">
        <v>17</v>
      </c>
      <c r="B131" s="14" t="s">
        <v>2</v>
      </c>
      <c r="C131" s="127" t="s">
        <v>18</v>
      </c>
      <c r="D131" s="14" t="s">
        <v>20</v>
      </c>
      <c r="E131" s="129">
        <f>42134+(7*364+7)</f>
        <v>44689</v>
      </c>
      <c r="F131" s="15">
        <v>340.95</v>
      </c>
      <c r="G131" s="130">
        <v>10</v>
      </c>
      <c r="H131" s="123">
        <f t="shared" ref="H131:H194" si="3">F131*G131</f>
        <v>3409.5</v>
      </c>
      <c r="I131" s="16"/>
      <c r="J131" s="16"/>
      <c r="K131"/>
      <c r="L131"/>
      <c r="M131" s="16"/>
      <c r="N131" s="16"/>
      <c r="O131"/>
      <c r="P131"/>
      <c r="Q131"/>
      <c r="R131"/>
      <c r="S131"/>
      <c r="T131"/>
      <c r="U131"/>
      <c r="V131"/>
      <c r="W131" s="17"/>
    </row>
    <row r="132" spans="1:23">
      <c r="A132" s="125" t="s">
        <v>25</v>
      </c>
      <c r="B132" s="14" t="s">
        <v>3</v>
      </c>
      <c r="C132" s="127" t="s">
        <v>32</v>
      </c>
      <c r="D132" s="14" t="s">
        <v>22</v>
      </c>
      <c r="E132" s="129">
        <f>41804+(7*364+7)</f>
        <v>44359</v>
      </c>
      <c r="F132" s="15">
        <v>799.95</v>
      </c>
      <c r="G132" s="130">
        <v>10</v>
      </c>
      <c r="H132" s="123">
        <f t="shared" si="3"/>
        <v>7999.5</v>
      </c>
      <c r="I132" s="16"/>
      <c r="J132" s="16"/>
      <c r="K132"/>
      <c r="L132"/>
      <c r="M132" s="16"/>
      <c r="N132" s="16"/>
      <c r="O132"/>
      <c r="P132"/>
      <c r="Q132"/>
      <c r="R132"/>
      <c r="S132"/>
      <c r="T132"/>
      <c r="U132"/>
      <c r="V132"/>
      <c r="W132" s="17"/>
    </row>
    <row r="133" spans="1:23">
      <c r="A133" s="125" t="s">
        <v>30</v>
      </c>
      <c r="B133" s="14" t="s">
        <v>3</v>
      </c>
      <c r="C133" s="127" t="s">
        <v>18</v>
      </c>
      <c r="D133" s="14" t="s">
        <v>19</v>
      </c>
      <c r="E133" s="129">
        <f>41968+(7*364+7)</f>
        <v>44523</v>
      </c>
      <c r="F133" s="15">
        <v>799.95</v>
      </c>
      <c r="G133" s="130">
        <v>14</v>
      </c>
      <c r="H133" s="123">
        <f t="shared" si="3"/>
        <v>11199.300000000001</v>
      </c>
      <c r="I133" s="16"/>
      <c r="J133" s="16"/>
      <c r="K133"/>
      <c r="L133"/>
      <c r="M133" s="16"/>
      <c r="N133" s="16"/>
      <c r="O133"/>
      <c r="P133"/>
      <c r="Q133"/>
      <c r="R133"/>
      <c r="S133"/>
      <c r="T133"/>
      <c r="U133"/>
      <c r="V133"/>
      <c r="W133" s="17"/>
    </row>
    <row r="134" spans="1:23">
      <c r="A134" s="125" t="s">
        <v>6</v>
      </c>
      <c r="B134" s="14" t="s">
        <v>3</v>
      </c>
      <c r="C134" s="127" t="s">
        <v>18</v>
      </c>
      <c r="D134" s="14" t="s">
        <v>20</v>
      </c>
      <c r="E134" s="129">
        <f>42280+(7*364+7)</f>
        <v>44835</v>
      </c>
      <c r="F134" s="15">
        <v>799.95</v>
      </c>
      <c r="G134" s="130">
        <v>9</v>
      </c>
      <c r="H134" s="123">
        <f t="shared" si="3"/>
        <v>7199.55</v>
      </c>
      <c r="I134" s="16"/>
      <c r="J134" s="16"/>
      <c r="K134"/>
      <c r="L134"/>
      <c r="M134" s="16"/>
      <c r="N134" s="16"/>
      <c r="O134"/>
      <c r="P134"/>
      <c r="Q134"/>
      <c r="R134"/>
      <c r="S134"/>
      <c r="T134"/>
      <c r="U134"/>
      <c r="V134"/>
      <c r="W134" s="17"/>
    </row>
    <row r="135" spans="1:23">
      <c r="A135" s="125" t="s">
        <v>26</v>
      </c>
      <c r="B135" s="14" t="s">
        <v>4</v>
      </c>
      <c r="C135" s="127" t="s">
        <v>27</v>
      </c>
      <c r="D135" s="14" t="s">
        <v>19</v>
      </c>
      <c r="E135" s="129">
        <f>41653+(7*364+7)</f>
        <v>44208</v>
      </c>
      <c r="F135" s="15">
        <v>340.95</v>
      </c>
      <c r="G135" s="130">
        <v>13</v>
      </c>
      <c r="H135" s="123">
        <f t="shared" si="3"/>
        <v>4432.3499999999995</v>
      </c>
      <c r="I135" s="16"/>
      <c r="J135" s="16"/>
      <c r="K135"/>
      <c r="L135"/>
      <c r="M135" s="16"/>
      <c r="N135" s="16"/>
      <c r="O135"/>
      <c r="P135"/>
      <c r="Q135"/>
      <c r="R135"/>
      <c r="S135"/>
      <c r="T135"/>
      <c r="U135"/>
      <c r="V135"/>
      <c r="W135" s="17"/>
    </row>
    <row r="136" spans="1:23">
      <c r="A136" s="125" t="s">
        <v>33</v>
      </c>
      <c r="B136" s="14" t="s">
        <v>3</v>
      </c>
      <c r="C136" s="127" t="s">
        <v>18</v>
      </c>
      <c r="D136" s="14" t="s">
        <v>21</v>
      </c>
      <c r="E136" s="129">
        <f>42117+(7*364+7)</f>
        <v>44672</v>
      </c>
      <c r="F136" s="15">
        <v>799.95</v>
      </c>
      <c r="G136" s="130">
        <v>5</v>
      </c>
      <c r="H136" s="123">
        <f t="shared" si="3"/>
        <v>3999.75</v>
      </c>
      <c r="I136" s="16"/>
      <c r="J136" s="16"/>
      <c r="K136"/>
      <c r="L136"/>
      <c r="M136" s="16"/>
      <c r="N136" s="16"/>
      <c r="O136"/>
      <c r="P136"/>
      <c r="Q136"/>
      <c r="R136"/>
      <c r="S136"/>
      <c r="T136"/>
      <c r="U136"/>
      <c r="V136"/>
      <c r="W136" s="17"/>
    </row>
    <row r="137" spans="1:23">
      <c r="A137" s="125" t="s">
        <v>6</v>
      </c>
      <c r="B137" s="14" t="s">
        <v>2</v>
      </c>
      <c r="C137" s="127" t="s">
        <v>29</v>
      </c>
      <c r="D137" s="14" t="s">
        <v>23</v>
      </c>
      <c r="E137" s="129">
        <f>41794+(7*364+7)</f>
        <v>44349</v>
      </c>
      <c r="F137" s="15">
        <v>340.95</v>
      </c>
      <c r="G137" s="130">
        <v>2</v>
      </c>
      <c r="H137" s="123">
        <f t="shared" si="3"/>
        <v>681.9</v>
      </c>
      <c r="I137" s="16"/>
      <c r="J137" s="16"/>
      <c r="K137"/>
      <c r="L137"/>
      <c r="M137" s="16"/>
      <c r="N137" s="16"/>
      <c r="O137"/>
      <c r="P137"/>
      <c r="Q137"/>
      <c r="R137"/>
      <c r="S137"/>
      <c r="T137"/>
      <c r="U137"/>
      <c r="V137"/>
      <c r="W137" s="17"/>
    </row>
    <row r="138" spans="1:23">
      <c r="A138" s="125" t="s">
        <v>35</v>
      </c>
      <c r="B138" s="14" t="s">
        <v>2</v>
      </c>
      <c r="C138" s="127" t="s">
        <v>29</v>
      </c>
      <c r="D138" s="14" t="s">
        <v>20</v>
      </c>
      <c r="E138" s="129">
        <f>42214+(7*364+7)</f>
        <v>44769</v>
      </c>
      <c r="F138" s="15">
        <v>340.95</v>
      </c>
      <c r="G138" s="130">
        <v>9</v>
      </c>
      <c r="H138" s="123">
        <f t="shared" si="3"/>
        <v>3068.5499999999997</v>
      </c>
      <c r="I138" s="16"/>
      <c r="J138" s="16"/>
      <c r="K138"/>
      <c r="L138"/>
      <c r="M138" s="16"/>
      <c r="N138" s="16"/>
      <c r="O138"/>
      <c r="P138"/>
      <c r="Q138"/>
      <c r="R138"/>
      <c r="S138"/>
      <c r="T138"/>
      <c r="U138"/>
      <c r="V138"/>
      <c r="W138" s="17"/>
    </row>
    <row r="139" spans="1:23">
      <c r="A139" s="125" t="s">
        <v>33</v>
      </c>
      <c r="B139" s="14" t="s">
        <v>3</v>
      </c>
      <c r="C139" s="127" t="s">
        <v>18</v>
      </c>
      <c r="D139" s="14" t="s">
        <v>23</v>
      </c>
      <c r="E139" s="129">
        <f>41996+(7*364+7)</f>
        <v>44551</v>
      </c>
      <c r="F139" s="15">
        <v>799.95</v>
      </c>
      <c r="G139" s="130">
        <v>6</v>
      </c>
      <c r="H139" s="123">
        <f t="shared" si="3"/>
        <v>4799.7000000000007</v>
      </c>
      <c r="I139" s="16"/>
      <c r="J139" s="16"/>
      <c r="K139"/>
      <c r="L139"/>
      <c r="M139" s="16"/>
      <c r="N139" s="16"/>
      <c r="O139"/>
      <c r="P139"/>
      <c r="Q139"/>
      <c r="R139"/>
      <c r="S139"/>
      <c r="T139"/>
      <c r="U139"/>
      <c r="V139"/>
      <c r="W139" s="17"/>
    </row>
    <row r="140" spans="1:23">
      <c r="A140" s="125" t="s">
        <v>26</v>
      </c>
      <c r="B140" s="14" t="s">
        <v>0</v>
      </c>
      <c r="C140" s="127" t="s">
        <v>27</v>
      </c>
      <c r="D140" s="14" t="s">
        <v>22</v>
      </c>
      <c r="E140" s="129">
        <f>42353+(7*364+7)</f>
        <v>44908</v>
      </c>
      <c r="F140" s="15">
        <v>168.95</v>
      </c>
      <c r="G140" s="130">
        <v>6</v>
      </c>
      <c r="H140" s="123">
        <f t="shared" si="3"/>
        <v>1013.6999999999999</v>
      </c>
      <c r="I140" s="16"/>
      <c r="J140" s="16"/>
      <c r="K140"/>
      <c r="L140"/>
      <c r="M140" s="16"/>
      <c r="N140" s="16"/>
      <c r="O140"/>
      <c r="P140"/>
      <c r="Q140"/>
      <c r="R140"/>
      <c r="S140"/>
      <c r="T140"/>
      <c r="U140"/>
      <c r="V140"/>
      <c r="W140" s="17"/>
    </row>
    <row r="141" spans="1:23">
      <c r="A141" s="125" t="s">
        <v>17</v>
      </c>
      <c r="B141" s="14" t="s">
        <v>4</v>
      </c>
      <c r="C141" s="127" t="s">
        <v>18</v>
      </c>
      <c r="D141" s="14" t="s">
        <v>23</v>
      </c>
      <c r="E141" s="129">
        <f>42265+(7*364+7)</f>
        <v>44820</v>
      </c>
      <c r="F141" s="15">
        <v>340.95</v>
      </c>
      <c r="G141" s="130">
        <v>13</v>
      </c>
      <c r="H141" s="123">
        <f t="shared" si="3"/>
        <v>4432.3499999999995</v>
      </c>
      <c r="I141" s="16"/>
      <c r="J141" s="16"/>
      <c r="K141"/>
      <c r="L141"/>
      <c r="M141" s="16"/>
      <c r="N141" s="16"/>
      <c r="O141"/>
      <c r="P141"/>
      <c r="Q141"/>
      <c r="R141"/>
      <c r="S141"/>
      <c r="T141"/>
      <c r="U141"/>
      <c r="V141"/>
      <c r="W141" s="17"/>
    </row>
    <row r="142" spans="1:23">
      <c r="A142" s="125" t="s">
        <v>16</v>
      </c>
      <c r="B142" s="14" t="s">
        <v>1</v>
      </c>
      <c r="C142" s="127" t="s">
        <v>29</v>
      </c>
      <c r="D142" s="14" t="s">
        <v>21</v>
      </c>
      <c r="E142" s="129">
        <f>41885+(7*364+7)</f>
        <v>44440</v>
      </c>
      <c r="F142" s="15">
        <v>79.989999999999995</v>
      </c>
      <c r="G142" s="130">
        <v>3</v>
      </c>
      <c r="H142" s="123">
        <f t="shared" si="3"/>
        <v>239.96999999999997</v>
      </c>
      <c r="I142" s="16"/>
      <c r="J142" s="16"/>
      <c r="K142"/>
      <c r="L142"/>
      <c r="M142" s="16"/>
      <c r="N142" s="16"/>
      <c r="O142"/>
      <c r="P142"/>
      <c r="Q142"/>
      <c r="R142"/>
      <c r="S142"/>
      <c r="T142"/>
      <c r="U142"/>
      <c r="V142"/>
      <c r="W142" s="17"/>
    </row>
    <row r="143" spans="1:23">
      <c r="A143" s="125" t="s">
        <v>31</v>
      </c>
      <c r="B143" s="14" t="s">
        <v>3</v>
      </c>
      <c r="C143" s="127" t="s">
        <v>32</v>
      </c>
      <c r="D143" s="14" t="s">
        <v>22</v>
      </c>
      <c r="E143" s="129">
        <f>42144+(7*364+7)</f>
        <v>44699</v>
      </c>
      <c r="F143" s="15">
        <v>799.95</v>
      </c>
      <c r="G143" s="130">
        <v>13</v>
      </c>
      <c r="H143" s="123">
        <f t="shared" si="3"/>
        <v>10399.35</v>
      </c>
      <c r="I143" s="16"/>
      <c r="J143" s="16"/>
      <c r="K143"/>
      <c r="L143"/>
      <c r="M143" s="16"/>
      <c r="N143" s="16"/>
      <c r="O143"/>
      <c r="P143"/>
      <c r="Q143"/>
      <c r="R143"/>
      <c r="S143"/>
      <c r="T143"/>
      <c r="U143"/>
      <c r="V143"/>
      <c r="W143" s="17"/>
    </row>
    <row r="144" spans="1:23">
      <c r="A144" s="125" t="s">
        <v>28</v>
      </c>
      <c r="B144" s="14" t="s">
        <v>0</v>
      </c>
      <c r="C144" s="127" t="s">
        <v>32</v>
      </c>
      <c r="D144" s="14" t="s">
        <v>21</v>
      </c>
      <c r="E144" s="129">
        <f>42277+(7*364+7)</f>
        <v>44832</v>
      </c>
      <c r="F144" s="15">
        <v>168.95</v>
      </c>
      <c r="G144" s="130">
        <v>10</v>
      </c>
      <c r="H144" s="123">
        <f t="shared" si="3"/>
        <v>1689.5</v>
      </c>
      <c r="I144" s="16"/>
      <c r="J144" s="16"/>
      <c r="K144"/>
      <c r="L144"/>
      <c r="M144" s="16"/>
      <c r="N144" s="16"/>
      <c r="O144"/>
      <c r="P144"/>
      <c r="Q144"/>
      <c r="R144"/>
      <c r="S144"/>
      <c r="T144"/>
      <c r="U144"/>
      <c r="V144"/>
      <c r="W144" s="17"/>
    </row>
    <row r="145" spans="1:23">
      <c r="A145" s="125" t="s">
        <v>28</v>
      </c>
      <c r="B145" s="14" t="s">
        <v>4</v>
      </c>
      <c r="C145" s="127" t="s">
        <v>32</v>
      </c>
      <c r="D145" s="14" t="s">
        <v>20</v>
      </c>
      <c r="E145" s="129">
        <f>41682+(7*364+7)</f>
        <v>44237</v>
      </c>
      <c r="F145" s="15">
        <v>340.95</v>
      </c>
      <c r="G145" s="130">
        <v>4</v>
      </c>
      <c r="H145" s="123">
        <f t="shared" si="3"/>
        <v>1363.8</v>
      </c>
      <c r="I145" s="16"/>
      <c r="J145" s="16"/>
      <c r="K145"/>
      <c r="L145"/>
      <c r="M145" s="16"/>
      <c r="N145" s="16"/>
      <c r="O145"/>
      <c r="P145"/>
      <c r="Q145"/>
      <c r="R145"/>
      <c r="S145"/>
      <c r="T145"/>
      <c r="U145"/>
      <c r="V145"/>
      <c r="W145" s="17"/>
    </row>
    <row r="146" spans="1:23">
      <c r="A146" s="125" t="s">
        <v>16</v>
      </c>
      <c r="B146" s="14" t="s">
        <v>1</v>
      </c>
      <c r="C146" s="127" t="s">
        <v>29</v>
      </c>
      <c r="D146" s="14" t="s">
        <v>23</v>
      </c>
      <c r="E146" s="129">
        <f>41880+(7*364+7)</f>
        <v>44435</v>
      </c>
      <c r="F146" s="15">
        <v>79.989999999999995</v>
      </c>
      <c r="G146" s="130">
        <v>5</v>
      </c>
      <c r="H146" s="123">
        <f t="shared" si="3"/>
        <v>399.95</v>
      </c>
      <c r="I146" s="16"/>
      <c r="J146" s="16"/>
      <c r="K146"/>
      <c r="L146"/>
      <c r="M146" s="16"/>
      <c r="N146" s="16"/>
      <c r="O146"/>
      <c r="P146"/>
      <c r="Q146"/>
      <c r="R146"/>
      <c r="S146"/>
      <c r="T146"/>
      <c r="U146"/>
      <c r="V146"/>
      <c r="W146" s="17"/>
    </row>
    <row r="147" spans="1:23">
      <c r="A147" s="125" t="s">
        <v>30</v>
      </c>
      <c r="B147" s="14" t="s">
        <v>3</v>
      </c>
      <c r="C147" s="127" t="s">
        <v>18</v>
      </c>
      <c r="D147" s="14" t="s">
        <v>22</v>
      </c>
      <c r="E147" s="129">
        <f>41691+(7*364+7)</f>
        <v>44246</v>
      </c>
      <c r="F147" s="15">
        <v>799.95</v>
      </c>
      <c r="G147" s="130">
        <v>14</v>
      </c>
      <c r="H147" s="123">
        <f t="shared" si="3"/>
        <v>11199.300000000001</v>
      </c>
      <c r="I147" s="16"/>
      <c r="J147" s="16"/>
      <c r="K147"/>
      <c r="L147"/>
      <c r="M147" s="16"/>
      <c r="N147" s="16"/>
      <c r="O147"/>
      <c r="P147"/>
      <c r="Q147"/>
      <c r="R147"/>
      <c r="S147"/>
      <c r="T147"/>
      <c r="U147"/>
      <c r="V147"/>
      <c r="W147" s="17"/>
    </row>
    <row r="148" spans="1:23">
      <c r="A148" s="125" t="s">
        <v>7</v>
      </c>
      <c r="B148" s="14" t="s">
        <v>2</v>
      </c>
      <c r="C148" s="127" t="s">
        <v>27</v>
      </c>
      <c r="D148" s="14" t="s">
        <v>19</v>
      </c>
      <c r="E148" s="129">
        <f>41846+(7*364+7)</f>
        <v>44401</v>
      </c>
      <c r="F148" s="15">
        <v>340.95</v>
      </c>
      <c r="G148" s="130">
        <v>12</v>
      </c>
      <c r="H148" s="123">
        <f t="shared" si="3"/>
        <v>4091.3999999999996</v>
      </c>
      <c r="I148" s="16"/>
      <c r="J148" s="16"/>
      <c r="K148"/>
      <c r="L148"/>
      <c r="M148" s="16"/>
      <c r="N148" s="16"/>
      <c r="O148"/>
      <c r="P148"/>
      <c r="Q148"/>
      <c r="R148"/>
      <c r="S148"/>
      <c r="T148"/>
      <c r="U148"/>
      <c r="V148"/>
      <c r="W148" s="17"/>
    </row>
    <row r="149" spans="1:23">
      <c r="A149" s="125" t="s">
        <v>17</v>
      </c>
      <c r="B149" s="14" t="s">
        <v>2</v>
      </c>
      <c r="C149" s="127" t="s">
        <v>18</v>
      </c>
      <c r="D149" s="14" t="s">
        <v>21</v>
      </c>
      <c r="E149" s="129">
        <f>42229+(7*364+7)</f>
        <v>44784</v>
      </c>
      <c r="F149" s="15">
        <v>340.95</v>
      </c>
      <c r="G149" s="130">
        <v>7</v>
      </c>
      <c r="H149" s="123">
        <f t="shared" si="3"/>
        <v>2386.65</v>
      </c>
      <c r="I149" s="16"/>
      <c r="J149" s="16"/>
      <c r="K149"/>
      <c r="L149"/>
      <c r="M149" s="16"/>
      <c r="N149" s="16"/>
      <c r="O149"/>
      <c r="P149"/>
      <c r="Q149"/>
      <c r="R149"/>
      <c r="S149"/>
      <c r="T149"/>
      <c r="U149"/>
      <c r="V149"/>
      <c r="W149" s="17"/>
    </row>
    <row r="150" spans="1:23">
      <c r="A150" s="125" t="s">
        <v>35</v>
      </c>
      <c r="B150" s="14" t="s">
        <v>2</v>
      </c>
      <c r="C150" s="127" t="s">
        <v>29</v>
      </c>
      <c r="D150" s="14" t="s">
        <v>23</v>
      </c>
      <c r="E150" s="129">
        <f>42195+(7*364+7)</f>
        <v>44750</v>
      </c>
      <c r="F150" s="15">
        <v>340.95</v>
      </c>
      <c r="G150" s="130">
        <v>6</v>
      </c>
      <c r="H150" s="123">
        <f t="shared" si="3"/>
        <v>2045.6999999999998</v>
      </c>
      <c r="I150" s="16"/>
      <c r="J150" s="16"/>
      <c r="K150"/>
      <c r="L150"/>
      <c r="M150" s="16"/>
      <c r="N150" s="16"/>
      <c r="O150"/>
      <c r="P150"/>
      <c r="Q150"/>
      <c r="R150"/>
      <c r="S150"/>
      <c r="T150"/>
      <c r="U150"/>
      <c r="V150"/>
      <c r="W150" s="17"/>
    </row>
    <row r="151" spans="1:23">
      <c r="A151" s="125" t="s">
        <v>16</v>
      </c>
      <c r="B151" s="14" t="s">
        <v>0</v>
      </c>
      <c r="C151" s="127" t="s">
        <v>29</v>
      </c>
      <c r="D151" s="14" t="s">
        <v>22</v>
      </c>
      <c r="E151" s="129">
        <f>41941+(7*364+7)</f>
        <v>44496</v>
      </c>
      <c r="F151" s="15">
        <v>168.95</v>
      </c>
      <c r="G151" s="130">
        <v>12</v>
      </c>
      <c r="H151" s="123">
        <f t="shared" si="3"/>
        <v>2027.3999999999999</v>
      </c>
      <c r="I151" s="16"/>
      <c r="J151" s="16"/>
      <c r="K151"/>
      <c r="L151"/>
      <c r="M151" s="16"/>
      <c r="N151" s="16"/>
      <c r="O151"/>
      <c r="P151"/>
      <c r="Q151"/>
      <c r="R151"/>
      <c r="S151"/>
      <c r="T151"/>
      <c r="U151"/>
      <c r="V151"/>
      <c r="W151" s="17"/>
    </row>
    <row r="152" spans="1:23">
      <c r="A152" s="125" t="s">
        <v>35</v>
      </c>
      <c r="B152" s="14" t="s">
        <v>4</v>
      </c>
      <c r="C152" s="127" t="s">
        <v>29</v>
      </c>
      <c r="D152" s="14" t="s">
        <v>21</v>
      </c>
      <c r="E152" s="129">
        <f>41779+(7*364+7)</f>
        <v>44334</v>
      </c>
      <c r="F152" s="15">
        <v>340.95</v>
      </c>
      <c r="G152" s="130">
        <v>15</v>
      </c>
      <c r="H152" s="123">
        <f t="shared" si="3"/>
        <v>5114.25</v>
      </c>
      <c r="I152" s="16"/>
      <c r="J152" s="16"/>
      <c r="K152"/>
      <c r="L152"/>
      <c r="M152" s="16"/>
      <c r="N152" s="16"/>
      <c r="O152"/>
      <c r="P152"/>
      <c r="Q152"/>
      <c r="R152"/>
      <c r="S152"/>
      <c r="T152"/>
      <c r="U152"/>
      <c r="V152"/>
      <c r="W152" s="17"/>
    </row>
    <row r="153" spans="1:23">
      <c r="A153" s="125" t="s">
        <v>33</v>
      </c>
      <c r="B153" s="14" t="s">
        <v>2</v>
      </c>
      <c r="C153" s="127" t="s">
        <v>18</v>
      </c>
      <c r="D153" s="14" t="s">
        <v>23</v>
      </c>
      <c r="E153" s="129">
        <f>41940+(7*364+7)</f>
        <v>44495</v>
      </c>
      <c r="F153" s="15">
        <v>340.95</v>
      </c>
      <c r="G153" s="130">
        <v>2</v>
      </c>
      <c r="H153" s="123">
        <f t="shared" si="3"/>
        <v>681.9</v>
      </c>
      <c r="I153" s="16"/>
      <c r="J153" s="16"/>
      <c r="K153"/>
      <c r="L153"/>
      <c r="M153" s="16"/>
      <c r="N153" s="16"/>
      <c r="O153"/>
      <c r="P153"/>
      <c r="Q153"/>
      <c r="R153"/>
      <c r="S153"/>
      <c r="T153"/>
      <c r="U153"/>
      <c r="V153"/>
      <c r="W153" s="17"/>
    </row>
    <row r="154" spans="1:23">
      <c r="A154" s="125" t="s">
        <v>34</v>
      </c>
      <c r="B154" s="14" t="s">
        <v>1</v>
      </c>
      <c r="C154" s="127" t="s">
        <v>32</v>
      </c>
      <c r="D154" s="14" t="s">
        <v>23</v>
      </c>
      <c r="E154" s="129">
        <f>41816+(7*364+7)</f>
        <v>44371</v>
      </c>
      <c r="F154" s="15">
        <v>79.989999999999995</v>
      </c>
      <c r="G154" s="130">
        <v>11</v>
      </c>
      <c r="H154" s="123">
        <f t="shared" si="3"/>
        <v>879.89</v>
      </c>
      <c r="I154" s="16"/>
      <c r="J154" s="16"/>
      <c r="K154"/>
      <c r="L154"/>
      <c r="M154" s="16"/>
      <c r="N154" s="16"/>
      <c r="O154"/>
      <c r="P154"/>
      <c r="Q154"/>
      <c r="R154"/>
      <c r="S154"/>
      <c r="T154"/>
      <c r="U154"/>
      <c r="V154"/>
      <c r="W154" s="17"/>
    </row>
    <row r="155" spans="1:23">
      <c r="A155" s="125" t="s">
        <v>35</v>
      </c>
      <c r="B155" s="14" t="s">
        <v>4</v>
      </c>
      <c r="C155" s="127" t="s">
        <v>29</v>
      </c>
      <c r="D155" s="14" t="s">
        <v>20</v>
      </c>
      <c r="E155" s="129">
        <f>41909+(7*364+7)</f>
        <v>44464</v>
      </c>
      <c r="F155" s="15">
        <v>340.95</v>
      </c>
      <c r="G155" s="130">
        <v>1</v>
      </c>
      <c r="H155" s="123">
        <f t="shared" si="3"/>
        <v>340.95</v>
      </c>
      <c r="I155" s="16"/>
      <c r="J155" s="16"/>
      <c r="K155"/>
      <c r="L155"/>
      <c r="M155" s="16"/>
      <c r="N155" s="16"/>
      <c r="O155"/>
      <c r="P155"/>
      <c r="Q155"/>
      <c r="R155"/>
      <c r="S155"/>
      <c r="T155"/>
      <c r="U155"/>
      <c r="V155"/>
      <c r="W155" s="17"/>
    </row>
    <row r="156" spans="1:23">
      <c r="A156" s="125" t="s">
        <v>16</v>
      </c>
      <c r="B156" s="14" t="s">
        <v>4</v>
      </c>
      <c r="C156" s="127" t="s">
        <v>29</v>
      </c>
      <c r="D156" s="14" t="s">
        <v>23</v>
      </c>
      <c r="E156" s="129">
        <f>42185+(7*364+7)</f>
        <v>44740</v>
      </c>
      <c r="F156" s="15">
        <v>340.95</v>
      </c>
      <c r="G156" s="130">
        <v>15</v>
      </c>
      <c r="H156" s="123">
        <f t="shared" si="3"/>
        <v>5114.25</v>
      </c>
      <c r="I156" s="16"/>
      <c r="J156" s="16"/>
      <c r="K156"/>
      <c r="L156"/>
      <c r="M156" s="16"/>
      <c r="N156" s="16"/>
      <c r="O156"/>
      <c r="P156"/>
      <c r="Q156"/>
      <c r="R156"/>
      <c r="S156"/>
      <c r="T156"/>
      <c r="U156"/>
      <c r="V156"/>
      <c r="W156" s="17"/>
    </row>
    <row r="157" spans="1:23">
      <c r="A157" s="125" t="s">
        <v>28</v>
      </c>
      <c r="B157" s="14" t="s">
        <v>1</v>
      </c>
      <c r="C157" s="127" t="s">
        <v>32</v>
      </c>
      <c r="D157" s="14" t="s">
        <v>21</v>
      </c>
      <c r="E157" s="129">
        <f>42278+(7*364+7)</f>
        <v>44833</v>
      </c>
      <c r="F157" s="15">
        <v>79.989999999999995</v>
      </c>
      <c r="G157" s="130">
        <v>11</v>
      </c>
      <c r="H157" s="123">
        <f t="shared" si="3"/>
        <v>879.89</v>
      </c>
      <c r="I157" s="16"/>
      <c r="J157" s="16"/>
      <c r="K157"/>
      <c r="L157"/>
      <c r="M157" s="16"/>
      <c r="N157" s="16"/>
      <c r="O157"/>
      <c r="P157"/>
      <c r="Q157"/>
      <c r="R157"/>
      <c r="S157"/>
      <c r="T157"/>
      <c r="U157"/>
      <c r="V157"/>
      <c r="W157" s="17"/>
    </row>
    <row r="158" spans="1:23">
      <c r="A158" s="125" t="s">
        <v>6</v>
      </c>
      <c r="B158" s="14" t="s">
        <v>4</v>
      </c>
      <c r="C158" s="127" t="s">
        <v>18</v>
      </c>
      <c r="D158" s="14" t="s">
        <v>21</v>
      </c>
      <c r="E158" s="129">
        <f>42095+(7*364+7)</f>
        <v>44650</v>
      </c>
      <c r="F158" s="15">
        <v>340.95</v>
      </c>
      <c r="G158" s="130">
        <v>13</v>
      </c>
      <c r="H158" s="123">
        <f t="shared" si="3"/>
        <v>4432.3499999999995</v>
      </c>
      <c r="I158" s="16"/>
      <c r="J158" s="16"/>
      <c r="K158"/>
      <c r="L158"/>
      <c r="M158" s="16"/>
      <c r="N158" s="16"/>
      <c r="O158"/>
      <c r="P158"/>
      <c r="Q158"/>
      <c r="R158"/>
      <c r="S158"/>
      <c r="T158"/>
      <c r="U158"/>
      <c r="V158"/>
      <c r="W158" s="17"/>
    </row>
    <row r="159" spans="1:23">
      <c r="A159" s="125" t="s">
        <v>17</v>
      </c>
      <c r="B159" s="14" t="s">
        <v>4</v>
      </c>
      <c r="C159" s="127" t="s">
        <v>18</v>
      </c>
      <c r="D159" s="14" t="s">
        <v>22</v>
      </c>
      <c r="E159" s="129">
        <f>42109+(7*364+7)</f>
        <v>44664</v>
      </c>
      <c r="F159" s="15">
        <v>340.95</v>
      </c>
      <c r="G159" s="130">
        <v>12</v>
      </c>
      <c r="H159" s="123">
        <f t="shared" si="3"/>
        <v>4091.3999999999996</v>
      </c>
      <c r="I159" s="16"/>
      <c r="J159" s="16"/>
      <c r="K159"/>
      <c r="L159"/>
      <c r="M159" s="16"/>
      <c r="N159" s="16"/>
      <c r="O159"/>
      <c r="P159"/>
      <c r="Q159"/>
      <c r="R159"/>
      <c r="S159"/>
      <c r="T159"/>
      <c r="U159"/>
      <c r="V159"/>
      <c r="W159" s="17"/>
    </row>
    <row r="160" spans="1:23">
      <c r="A160" s="125" t="s">
        <v>7</v>
      </c>
      <c r="B160" s="14" t="s">
        <v>0</v>
      </c>
      <c r="C160" s="127" t="s">
        <v>27</v>
      </c>
      <c r="D160" s="14" t="s">
        <v>21</v>
      </c>
      <c r="E160" s="129">
        <f>42285+(7*364+7)</f>
        <v>44840</v>
      </c>
      <c r="F160" s="15">
        <v>168.95</v>
      </c>
      <c r="G160" s="130">
        <v>14</v>
      </c>
      <c r="H160" s="123">
        <f t="shared" si="3"/>
        <v>2365.2999999999997</v>
      </c>
      <c r="I160" s="16"/>
      <c r="J160" s="16"/>
      <c r="K160"/>
      <c r="L160"/>
      <c r="M160" s="16"/>
      <c r="N160" s="16"/>
      <c r="O160"/>
      <c r="P160"/>
      <c r="Q160"/>
      <c r="R160"/>
      <c r="S160"/>
      <c r="T160"/>
      <c r="U160"/>
      <c r="V160"/>
      <c r="W160" s="17"/>
    </row>
    <row r="161" spans="1:23">
      <c r="A161" s="125" t="s">
        <v>17</v>
      </c>
      <c r="B161" s="14" t="s">
        <v>0</v>
      </c>
      <c r="C161" s="127" t="s">
        <v>18</v>
      </c>
      <c r="D161" s="14" t="s">
        <v>22</v>
      </c>
      <c r="E161" s="129">
        <f>42314+(7*364+7)</f>
        <v>44869</v>
      </c>
      <c r="F161" s="15">
        <v>168.95</v>
      </c>
      <c r="G161" s="130">
        <v>7</v>
      </c>
      <c r="H161" s="123">
        <f t="shared" si="3"/>
        <v>1182.6499999999999</v>
      </c>
      <c r="I161" s="16"/>
      <c r="J161" s="16"/>
      <c r="K161"/>
      <c r="L161"/>
      <c r="M161" s="16"/>
      <c r="N161" s="16"/>
      <c r="O161"/>
      <c r="P161"/>
      <c r="Q161"/>
      <c r="R161"/>
      <c r="S161"/>
      <c r="T161"/>
      <c r="U161"/>
      <c r="V161"/>
      <c r="W161" s="17"/>
    </row>
    <row r="162" spans="1:23">
      <c r="A162" s="125" t="s">
        <v>25</v>
      </c>
      <c r="B162" s="14" t="s">
        <v>0</v>
      </c>
      <c r="C162" s="127" t="s">
        <v>32</v>
      </c>
      <c r="D162" s="14" t="s">
        <v>23</v>
      </c>
      <c r="E162" s="129">
        <f>42236+(7*364+7)</f>
        <v>44791</v>
      </c>
      <c r="F162" s="15">
        <v>168.95</v>
      </c>
      <c r="G162" s="130">
        <v>2</v>
      </c>
      <c r="H162" s="123">
        <f t="shared" si="3"/>
        <v>337.9</v>
      </c>
      <c r="I162" s="16"/>
      <c r="J162" s="16"/>
      <c r="K162"/>
      <c r="L162"/>
      <c r="M162" s="16"/>
      <c r="N162" s="16"/>
      <c r="O162"/>
      <c r="P162"/>
      <c r="Q162"/>
      <c r="R162"/>
      <c r="S162"/>
      <c r="T162"/>
      <c r="U162"/>
      <c r="V162"/>
      <c r="W162" s="17"/>
    </row>
    <row r="163" spans="1:23">
      <c r="A163" s="125" t="s">
        <v>34</v>
      </c>
      <c r="B163" s="14" t="s">
        <v>4</v>
      </c>
      <c r="C163" s="127" t="s">
        <v>32</v>
      </c>
      <c r="D163" s="14" t="s">
        <v>21</v>
      </c>
      <c r="E163" s="129">
        <f>42154+(7*364+7)</f>
        <v>44709</v>
      </c>
      <c r="F163" s="15">
        <v>340.95</v>
      </c>
      <c r="G163" s="130">
        <v>9</v>
      </c>
      <c r="H163" s="123">
        <f t="shared" si="3"/>
        <v>3068.5499999999997</v>
      </c>
      <c r="I163" s="16"/>
      <c r="J163" s="16"/>
      <c r="K163"/>
      <c r="L163"/>
      <c r="M163" s="16"/>
      <c r="N163" s="16"/>
      <c r="O163"/>
      <c r="P163"/>
      <c r="Q163"/>
      <c r="R163"/>
      <c r="S163"/>
      <c r="T163"/>
      <c r="U163"/>
      <c r="V163"/>
      <c r="W163" s="17"/>
    </row>
    <row r="164" spans="1:23">
      <c r="A164" s="125" t="s">
        <v>16</v>
      </c>
      <c r="B164" s="14" t="s">
        <v>0</v>
      </c>
      <c r="C164" s="127" t="s">
        <v>29</v>
      </c>
      <c r="D164" s="14" t="s">
        <v>22</v>
      </c>
      <c r="E164" s="129">
        <f>42201+(7*364+7)</f>
        <v>44756</v>
      </c>
      <c r="F164" s="15">
        <v>168.95</v>
      </c>
      <c r="G164" s="130">
        <v>4</v>
      </c>
      <c r="H164" s="123">
        <f t="shared" si="3"/>
        <v>675.8</v>
      </c>
      <c r="I164" s="16"/>
      <c r="J164" s="16"/>
      <c r="K164"/>
      <c r="L164"/>
      <c r="M164" s="16"/>
      <c r="N164" s="16"/>
      <c r="O164"/>
      <c r="P164"/>
      <c r="Q164"/>
      <c r="R164"/>
      <c r="S164"/>
      <c r="T164"/>
      <c r="U164"/>
      <c r="V164"/>
      <c r="W164" s="17"/>
    </row>
    <row r="165" spans="1:23">
      <c r="A165" s="125" t="s">
        <v>31</v>
      </c>
      <c r="B165" s="14" t="s">
        <v>0</v>
      </c>
      <c r="C165" s="127" t="s">
        <v>32</v>
      </c>
      <c r="D165" s="14" t="s">
        <v>21</v>
      </c>
      <c r="E165" s="129">
        <f>42316+(7*364+7)</f>
        <v>44871</v>
      </c>
      <c r="F165" s="15">
        <v>168.95</v>
      </c>
      <c r="G165" s="130">
        <v>9</v>
      </c>
      <c r="H165" s="123">
        <f t="shared" si="3"/>
        <v>1520.55</v>
      </c>
      <c r="I165" s="16"/>
      <c r="J165" s="16"/>
      <c r="K165"/>
      <c r="L165"/>
      <c r="M165" s="16"/>
      <c r="N165" s="16"/>
      <c r="O165"/>
      <c r="P165"/>
      <c r="Q165"/>
      <c r="R165"/>
      <c r="S165"/>
      <c r="T165"/>
      <c r="U165"/>
      <c r="V165"/>
      <c r="W165" s="17"/>
    </row>
    <row r="166" spans="1:23">
      <c r="A166" s="125" t="s">
        <v>33</v>
      </c>
      <c r="B166" s="14" t="s">
        <v>1</v>
      </c>
      <c r="C166" s="127" t="s">
        <v>18</v>
      </c>
      <c r="D166" s="14" t="s">
        <v>23</v>
      </c>
      <c r="E166" s="129">
        <f>41650+(7*364+7)</f>
        <v>44205</v>
      </c>
      <c r="F166" s="15">
        <v>79.989999999999995</v>
      </c>
      <c r="G166" s="130">
        <v>10</v>
      </c>
      <c r="H166" s="123">
        <f t="shared" si="3"/>
        <v>799.9</v>
      </c>
      <c r="I166" s="16"/>
      <c r="J166" s="16"/>
      <c r="K166"/>
      <c r="L166"/>
      <c r="M166" s="16"/>
      <c r="N166" s="16"/>
      <c r="O166"/>
      <c r="P166"/>
      <c r="Q166"/>
      <c r="R166"/>
      <c r="S166"/>
      <c r="T166"/>
      <c r="U166"/>
      <c r="V166"/>
      <c r="W166" s="17"/>
    </row>
    <row r="167" spans="1:23">
      <c r="A167" s="125" t="s">
        <v>17</v>
      </c>
      <c r="B167" s="14" t="s">
        <v>3</v>
      </c>
      <c r="C167" s="127" t="s">
        <v>18</v>
      </c>
      <c r="D167" s="14" t="s">
        <v>22</v>
      </c>
      <c r="E167" s="129">
        <f>42334+(7*364+7)</f>
        <v>44889</v>
      </c>
      <c r="F167" s="15">
        <v>799.95</v>
      </c>
      <c r="G167" s="130">
        <v>6</v>
      </c>
      <c r="H167" s="123">
        <f t="shared" si="3"/>
        <v>4799.7000000000007</v>
      </c>
      <c r="I167" s="16"/>
      <c r="J167" s="16"/>
      <c r="K167"/>
      <c r="L167"/>
      <c r="M167" s="16"/>
      <c r="N167" s="16"/>
      <c r="O167"/>
      <c r="P167"/>
      <c r="Q167"/>
      <c r="R167"/>
      <c r="S167"/>
      <c r="T167"/>
      <c r="U167"/>
      <c r="V167"/>
      <c r="W167" s="17"/>
    </row>
    <row r="168" spans="1:23">
      <c r="A168" s="125" t="s">
        <v>35</v>
      </c>
      <c r="B168" s="14" t="s">
        <v>1</v>
      </c>
      <c r="C168" s="127" t="s">
        <v>29</v>
      </c>
      <c r="D168" s="14" t="s">
        <v>22</v>
      </c>
      <c r="E168" s="129">
        <f>42074+(7*364+7)</f>
        <v>44629</v>
      </c>
      <c r="F168" s="15">
        <v>79.989999999999995</v>
      </c>
      <c r="G168" s="130">
        <v>2</v>
      </c>
      <c r="H168" s="123">
        <f t="shared" si="3"/>
        <v>159.97999999999999</v>
      </c>
      <c r="I168" s="16"/>
      <c r="J168" s="16"/>
      <c r="K168"/>
      <c r="L168"/>
      <c r="M168" s="16"/>
      <c r="N168" s="16"/>
      <c r="O168"/>
      <c r="P168"/>
      <c r="Q168"/>
      <c r="R168"/>
      <c r="S168"/>
      <c r="T168"/>
      <c r="U168"/>
      <c r="V168"/>
      <c r="W168" s="17"/>
    </row>
    <row r="169" spans="1:23">
      <c r="A169" s="125" t="s">
        <v>26</v>
      </c>
      <c r="B169" s="14" t="s">
        <v>2</v>
      </c>
      <c r="C169" s="127" t="s">
        <v>27</v>
      </c>
      <c r="D169" s="14" t="s">
        <v>22</v>
      </c>
      <c r="E169" s="129">
        <f>41844+(7*364+7)</f>
        <v>44399</v>
      </c>
      <c r="F169" s="15">
        <v>340.95</v>
      </c>
      <c r="G169" s="130">
        <v>9</v>
      </c>
      <c r="H169" s="123">
        <f t="shared" si="3"/>
        <v>3068.5499999999997</v>
      </c>
      <c r="I169" s="16"/>
      <c r="J169" s="16"/>
      <c r="K169"/>
      <c r="L169"/>
      <c r="M169" s="16"/>
      <c r="N169" s="16"/>
      <c r="O169"/>
      <c r="P169"/>
      <c r="Q169"/>
      <c r="R169"/>
      <c r="S169"/>
      <c r="T169"/>
      <c r="U169"/>
      <c r="V169"/>
      <c r="W169" s="17"/>
    </row>
    <row r="170" spans="1:23">
      <c r="A170" s="125" t="s">
        <v>26</v>
      </c>
      <c r="B170" s="14" t="s">
        <v>3</v>
      </c>
      <c r="C170" s="127" t="s">
        <v>27</v>
      </c>
      <c r="D170" s="14" t="s">
        <v>20</v>
      </c>
      <c r="E170" s="129">
        <f>42321+(7*364+7)</f>
        <v>44876</v>
      </c>
      <c r="F170" s="15">
        <v>799.95</v>
      </c>
      <c r="G170" s="130">
        <v>7</v>
      </c>
      <c r="H170" s="123">
        <f t="shared" si="3"/>
        <v>5599.6500000000005</v>
      </c>
      <c r="I170" s="16"/>
      <c r="J170" s="16"/>
      <c r="K170"/>
      <c r="L170"/>
      <c r="M170" s="16"/>
      <c r="N170" s="16"/>
      <c r="O170"/>
      <c r="P170"/>
      <c r="Q170"/>
      <c r="R170"/>
      <c r="S170"/>
      <c r="T170"/>
      <c r="U170"/>
      <c r="V170"/>
      <c r="W170" s="17"/>
    </row>
    <row r="171" spans="1:23">
      <c r="A171" s="125" t="s">
        <v>17</v>
      </c>
      <c r="B171" s="14" t="s">
        <v>4</v>
      </c>
      <c r="C171" s="127" t="s">
        <v>18</v>
      </c>
      <c r="D171" s="14" t="s">
        <v>22</v>
      </c>
      <c r="E171" s="129">
        <f>42033+(7*364+7)</f>
        <v>44588</v>
      </c>
      <c r="F171" s="15">
        <v>340.95</v>
      </c>
      <c r="G171" s="130">
        <v>8</v>
      </c>
      <c r="H171" s="123">
        <f t="shared" si="3"/>
        <v>2727.6</v>
      </c>
      <c r="I171" s="16"/>
      <c r="J171" s="16"/>
      <c r="K171"/>
      <c r="L171"/>
      <c r="M171" s="16"/>
      <c r="N171" s="16"/>
      <c r="O171"/>
      <c r="P171"/>
      <c r="Q171"/>
      <c r="R171"/>
      <c r="S171"/>
      <c r="T171"/>
      <c r="U171"/>
      <c r="V171"/>
      <c r="W171" s="17"/>
    </row>
    <row r="172" spans="1:23">
      <c r="A172" s="125" t="s">
        <v>7</v>
      </c>
      <c r="B172" s="14" t="s">
        <v>3</v>
      </c>
      <c r="C172" s="127" t="s">
        <v>27</v>
      </c>
      <c r="D172" s="14" t="s">
        <v>23</v>
      </c>
      <c r="E172" s="129">
        <f>41773+(7*364+7)</f>
        <v>44328</v>
      </c>
      <c r="F172" s="15">
        <v>799.95</v>
      </c>
      <c r="G172" s="130">
        <v>10</v>
      </c>
      <c r="H172" s="123">
        <f t="shared" si="3"/>
        <v>7999.5</v>
      </c>
      <c r="I172" s="16"/>
      <c r="J172" s="16"/>
      <c r="K172"/>
      <c r="L172"/>
      <c r="M172" s="16"/>
      <c r="N172" s="16"/>
      <c r="O172"/>
      <c r="P172"/>
      <c r="Q172"/>
      <c r="R172"/>
      <c r="S172"/>
      <c r="T172"/>
      <c r="U172"/>
      <c r="V172"/>
      <c r="W172" s="17"/>
    </row>
    <row r="173" spans="1:23">
      <c r="A173" s="125" t="s">
        <v>16</v>
      </c>
      <c r="B173" s="14" t="s">
        <v>2</v>
      </c>
      <c r="C173" s="127" t="s">
        <v>29</v>
      </c>
      <c r="D173" s="14" t="s">
        <v>22</v>
      </c>
      <c r="E173" s="129">
        <f>42238+(7*364+7)</f>
        <v>44793</v>
      </c>
      <c r="F173" s="15">
        <v>340.95</v>
      </c>
      <c r="G173" s="130">
        <v>1</v>
      </c>
      <c r="H173" s="123">
        <f t="shared" si="3"/>
        <v>340.95</v>
      </c>
      <c r="I173" s="16"/>
      <c r="J173" s="16"/>
      <c r="K173"/>
      <c r="L173"/>
      <c r="M173" s="16"/>
      <c r="N173" s="16"/>
      <c r="O173"/>
      <c r="P173"/>
      <c r="Q173"/>
      <c r="R173"/>
      <c r="S173"/>
      <c r="T173"/>
      <c r="U173"/>
      <c r="V173"/>
      <c r="W173" s="17"/>
    </row>
    <row r="174" spans="1:23">
      <c r="A174" s="125" t="s">
        <v>16</v>
      </c>
      <c r="B174" s="14" t="s">
        <v>4</v>
      </c>
      <c r="C174" s="127" t="s">
        <v>29</v>
      </c>
      <c r="D174" s="14" t="s">
        <v>19</v>
      </c>
      <c r="E174" s="129">
        <f>42186+(7*364+7)</f>
        <v>44741</v>
      </c>
      <c r="F174" s="15">
        <v>340.95</v>
      </c>
      <c r="G174" s="130">
        <v>9</v>
      </c>
      <c r="H174" s="123">
        <f t="shared" si="3"/>
        <v>3068.5499999999997</v>
      </c>
      <c r="I174" s="16"/>
      <c r="J174" s="16"/>
      <c r="K174"/>
      <c r="L174"/>
      <c r="M174" s="16"/>
      <c r="N174" s="16"/>
      <c r="O174"/>
      <c r="P174"/>
      <c r="Q174"/>
      <c r="R174"/>
      <c r="S174"/>
      <c r="T174"/>
      <c r="U174"/>
      <c r="V174"/>
      <c r="W174" s="17"/>
    </row>
    <row r="175" spans="1:23">
      <c r="A175" s="125" t="s">
        <v>25</v>
      </c>
      <c r="B175" s="14" t="s">
        <v>1</v>
      </c>
      <c r="C175" s="127" t="s">
        <v>32</v>
      </c>
      <c r="D175" s="14" t="s">
        <v>22</v>
      </c>
      <c r="E175" s="129">
        <f>42193+(7*364+7)</f>
        <v>44748</v>
      </c>
      <c r="F175" s="15">
        <v>79.989999999999995</v>
      </c>
      <c r="G175" s="130">
        <v>14</v>
      </c>
      <c r="H175" s="123">
        <f t="shared" si="3"/>
        <v>1119.8599999999999</v>
      </c>
      <c r="I175" s="16"/>
      <c r="J175" s="16"/>
      <c r="K175"/>
      <c r="L175"/>
      <c r="M175" s="16"/>
      <c r="N175" s="16"/>
      <c r="O175"/>
      <c r="P175"/>
      <c r="Q175"/>
      <c r="R175"/>
      <c r="S175"/>
      <c r="T175"/>
      <c r="U175"/>
      <c r="V175"/>
      <c r="W175" s="17"/>
    </row>
    <row r="176" spans="1:23">
      <c r="A176" s="125" t="s">
        <v>35</v>
      </c>
      <c r="B176" s="14" t="s">
        <v>2</v>
      </c>
      <c r="C176" s="127" t="s">
        <v>29</v>
      </c>
      <c r="D176" s="14" t="s">
        <v>20</v>
      </c>
      <c r="E176" s="129">
        <f>42129+(7*364+7)</f>
        <v>44684</v>
      </c>
      <c r="F176" s="15">
        <v>340.95</v>
      </c>
      <c r="G176" s="130">
        <v>10</v>
      </c>
      <c r="H176" s="123">
        <f t="shared" si="3"/>
        <v>3409.5</v>
      </c>
      <c r="I176" s="16"/>
      <c r="J176" s="16"/>
      <c r="K176"/>
      <c r="L176"/>
      <c r="M176" s="16"/>
      <c r="N176" s="16"/>
      <c r="O176"/>
      <c r="P176"/>
      <c r="Q176"/>
      <c r="R176"/>
      <c r="S176"/>
      <c r="T176"/>
      <c r="U176"/>
      <c r="V176"/>
      <c r="W176" s="17"/>
    </row>
    <row r="177" spans="1:23">
      <c r="A177" s="125" t="s">
        <v>31</v>
      </c>
      <c r="B177" s="14" t="s">
        <v>0</v>
      </c>
      <c r="C177" s="127" t="s">
        <v>32</v>
      </c>
      <c r="D177" s="14" t="s">
        <v>21</v>
      </c>
      <c r="E177" s="129">
        <f>42127+(7*364+7)</f>
        <v>44682</v>
      </c>
      <c r="F177" s="15">
        <v>168.95</v>
      </c>
      <c r="G177" s="130">
        <v>1</v>
      </c>
      <c r="H177" s="123">
        <f t="shared" si="3"/>
        <v>168.95</v>
      </c>
      <c r="I177" s="16"/>
      <c r="J177" s="16"/>
      <c r="K177"/>
      <c r="L177"/>
      <c r="M177" s="16"/>
      <c r="N177" s="16"/>
      <c r="O177"/>
      <c r="P177"/>
      <c r="Q177"/>
      <c r="R177"/>
      <c r="S177"/>
      <c r="T177"/>
      <c r="U177"/>
      <c r="V177"/>
      <c r="W177" s="17"/>
    </row>
    <row r="178" spans="1:23">
      <c r="A178" s="125" t="s">
        <v>31</v>
      </c>
      <c r="B178" s="14" t="s">
        <v>4</v>
      </c>
      <c r="C178" s="127" t="s">
        <v>32</v>
      </c>
      <c r="D178" s="14" t="s">
        <v>20</v>
      </c>
      <c r="E178" s="129">
        <f>42344+(7*364+7)</f>
        <v>44899</v>
      </c>
      <c r="F178" s="15">
        <v>340.95</v>
      </c>
      <c r="G178" s="130">
        <v>12</v>
      </c>
      <c r="H178" s="123">
        <f t="shared" si="3"/>
        <v>4091.3999999999996</v>
      </c>
      <c r="I178" s="16"/>
      <c r="J178" s="16"/>
      <c r="K178"/>
      <c r="L178"/>
      <c r="M178" s="16"/>
      <c r="N178" s="16"/>
      <c r="O178"/>
      <c r="P178"/>
      <c r="Q178"/>
      <c r="R178"/>
      <c r="S178"/>
      <c r="T178"/>
      <c r="U178"/>
      <c r="V178"/>
      <c r="W178" s="17"/>
    </row>
    <row r="179" spans="1:23">
      <c r="A179" s="125" t="s">
        <v>7</v>
      </c>
      <c r="B179" s="14" t="s">
        <v>4</v>
      </c>
      <c r="C179" s="127" t="s">
        <v>27</v>
      </c>
      <c r="D179" s="14" t="s">
        <v>20</v>
      </c>
      <c r="E179" s="129">
        <f>42003+(7*364+7)</f>
        <v>44558</v>
      </c>
      <c r="F179" s="15">
        <v>340.95</v>
      </c>
      <c r="G179" s="130">
        <v>12</v>
      </c>
      <c r="H179" s="123">
        <f t="shared" si="3"/>
        <v>4091.3999999999996</v>
      </c>
      <c r="I179" s="16"/>
      <c r="J179" s="16"/>
      <c r="K179"/>
      <c r="L179"/>
      <c r="M179" s="16"/>
      <c r="N179" s="16"/>
      <c r="O179"/>
      <c r="P179"/>
      <c r="Q179"/>
      <c r="R179"/>
      <c r="S179"/>
      <c r="T179"/>
      <c r="U179"/>
      <c r="V179"/>
      <c r="W179" s="17"/>
    </row>
    <row r="180" spans="1:23">
      <c r="A180" s="125" t="s">
        <v>25</v>
      </c>
      <c r="B180" s="14" t="s">
        <v>1</v>
      </c>
      <c r="C180" s="127" t="s">
        <v>32</v>
      </c>
      <c r="D180" s="14" t="s">
        <v>19</v>
      </c>
      <c r="E180" s="129">
        <f>41838+(7*364+7)</f>
        <v>44393</v>
      </c>
      <c r="F180" s="15">
        <v>79.989999999999995</v>
      </c>
      <c r="G180" s="130">
        <v>8</v>
      </c>
      <c r="H180" s="123">
        <f t="shared" si="3"/>
        <v>639.91999999999996</v>
      </c>
      <c r="I180" s="16"/>
      <c r="J180" s="16"/>
      <c r="K180"/>
      <c r="L180"/>
      <c r="M180" s="16"/>
      <c r="N180" s="16"/>
      <c r="O180"/>
      <c r="P180"/>
      <c r="Q180"/>
      <c r="R180"/>
      <c r="S180"/>
      <c r="T180"/>
      <c r="U180"/>
      <c r="V180"/>
      <c r="W180" s="17"/>
    </row>
    <row r="181" spans="1:23">
      <c r="A181" s="125" t="s">
        <v>17</v>
      </c>
      <c r="B181" s="14" t="s">
        <v>0</v>
      </c>
      <c r="C181" s="127" t="s">
        <v>18</v>
      </c>
      <c r="D181" s="14" t="s">
        <v>20</v>
      </c>
      <c r="E181" s="129">
        <f>41972+(7*364+7)</f>
        <v>44527</v>
      </c>
      <c r="F181" s="15">
        <v>168.95</v>
      </c>
      <c r="G181" s="130">
        <v>3</v>
      </c>
      <c r="H181" s="123">
        <f t="shared" si="3"/>
        <v>506.84999999999997</v>
      </c>
      <c r="I181" s="16"/>
      <c r="J181" s="16"/>
      <c r="K181"/>
      <c r="L181"/>
      <c r="M181" s="16"/>
      <c r="N181" s="16"/>
      <c r="O181"/>
      <c r="P181"/>
      <c r="Q181"/>
      <c r="R181"/>
      <c r="S181"/>
      <c r="T181"/>
      <c r="U181"/>
      <c r="V181"/>
      <c r="W181" s="17"/>
    </row>
    <row r="182" spans="1:23">
      <c r="A182" s="125" t="s">
        <v>34</v>
      </c>
      <c r="B182" s="14" t="s">
        <v>3</v>
      </c>
      <c r="C182" s="127" t="s">
        <v>32</v>
      </c>
      <c r="D182" s="14" t="s">
        <v>20</v>
      </c>
      <c r="E182" s="129">
        <f>41937+(7*364+7)</f>
        <v>44492</v>
      </c>
      <c r="F182" s="15">
        <v>799.95</v>
      </c>
      <c r="G182" s="130">
        <v>2</v>
      </c>
      <c r="H182" s="123">
        <f t="shared" si="3"/>
        <v>1599.9</v>
      </c>
      <c r="I182" s="16"/>
      <c r="J182" s="16"/>
      <c r="K182"/>
      <c r="L182"/>
      <c r="M182" s="16"/>
      <c r="N182" s="16"/>
      <c r="O182"/>
      <c r="P182"/>
      <c r="Q182"/>
      <c r="R182"/>
      <c r="S182"/>
      <c r="T182"/>
      <c r="U182"/>
      <c r="V182"/>
      <c r="W182" s="17"/>
    </row>
    <row r="183" spans="1:23">
      <c r="A183" s="125" t="s">
        <v>25</v>
      </c>
      <c r="B183" s="14" t="s">
        <v>4</v>
      </c>
      <c r="C183" s="127" t="s">
        <v>32</v>
      </c>
      <c r="D183" s="14" t="s">
        <v>21</v>
      </c>
      <c r="E183" s="129">
        <f>41878+(7*364+7)</f>
        <v>44433</v>
      </c>
      <c r="F183" s="15">
        <v>340.95</v>
      </c>
      <c r="G183" s="130">
        <v>15</v>
      </c>
      <c r="H183" s="123">
        <f t="shared" si="3"/>
        <v>5114.25</v>
      </c>
      <c r="I183" s="16"/>
      <c r="J183" s="16"/>
      <c r="K183"/>
      <c r="L183"/>
      <c r="M183" s="16"/>
      <c r="N183" s="16"/>
      <c r="O183"/>
      <c r="P183"/>
      <c r="Q183"/>
      <c r="R183"/>
      <c r="S183"/>
      <c r="T183"/>
      <c r="U183"/>
      <c r="V183"/>
      <c r="W183" s="17"/>
    </row>
    <row r="184" spans="1:23">
      <c r="A184" s="125" t="s">
        <v>28</v>
      </c>
      <c r="B184" s="14" t="s">
        <v>1</v>
      </c>
      <c r="C184" s="127" t="s">
        <v>32</v>
      </c>
      <c r="D184" s="14" t="s">
        <v>21</v>
      </c>
      <c r="E184" s="129">
        <f>42228+(7*364+7)</f>
        <v>44783</v>
      </c>
      <c r="F184" s="15">
        <v>79.989999999999995</v>
      </c>
      <c r="G184" s="130">
        <v>1</v>
      </c>
      <c r="H184" s="123">
        <f t="shared" si="3"/>
        <v>79.989999999999995</v>
      </c>
      <c r="I184" s="16"/>
      <c r="J184" s="16"/>
      <c r="K184"/>
      <c r="L184"/>
      <c r="M184" s="16"/>
      <c r="N184" s="16"/>
      <c r="O184"/>
      <c r="P184"/>
      <c r="Q184"/>
      <c r="R184"/>
      <c r="S184"/>
      <c r="T184"/>
      <c r="U184"/>
      <c r="V184"/>
      <c r="W184" s="17"/>
    </row>
    <row r="185" spans="1:23">
      <c r="A185" s="125" t="s">
        <v>17</v>
      </c>
      <c r="B185" s="14" t="s">
        <v>3</v>
      </c>
      <c r="C185" s="127" t="s">
        <v>18</v>
      </c>
      <c r="D185" s="14" t="s">
        <v>22</v>
      </c>
      <c r="E185" s="129">
        <f>42333+(7*364+7)</f>
        <v>44888</v>
      </c>
      <c r="F185" s="15">
        <v>799.95</v>
      </c>
      <c r="G185" s="130">
        <v>10</v>
      </c>
      <c r="H185" s="123">
        <f t="shared" si="3"/>
        <v>7999.5</v>
      </c>
      <c r="I185" s="16"/>
      <c r="J185" s="16"/>
      <c r="K185"/>
      <c r="L185"/>
      <c r="M185" s="16"/>
      <c r="N185" s="16"/>
      <c r="O185"/>
      <c r="P185"/>
      <c r="Q185"/>
      <c r="R185"/>
      <c r="S185"/>
      <c r="T185"/>
      <c r="U185"/>
      <c r="V185"/>
      <c r="W185" s="17"/>
    </row>
    <row r="186" spans="1:23">
      <c r="A186" s="125" t="s">
        <v>6</v>
      </c>
      <c r="B186" s="14" t="s">
        <v>2</v>
      </c>
      <c r="C186" s="127" t="s">
        <v>29</v>
      </c>
      <c r="D186" s="14" t="s">
        <v>23</v>
      </c>
      <c r="E186" s="129">
        <f>42202+(7*364+7)</f>
        <v>44757</v>
      </c>
      <c r="F186" s="15">
        <v>340.95</v>
      </c>
      <c r="G186" s="130">
        <v>2</v>
      </c>
      <c r="H186" s="123">
        <f t="shared" si="3"/>
        <v>681.9</v>
      </c>
      <c r="I186" s="16"/>
      <c r="J186" s="16"/>
      <c r="K186"/>
      <c r="L186"/>
      <c r="M186" s="16"/>
      <c r="N186" s="16"/>
      <c r="O186"/>
      <c r="P186"/>
      <c r="Q186"/>
      <c r="R186"/>
      <c r="S186"/>
      <c r="T186"/>
      <c r="U186"/>
      <c r="V186"/>
      <c r="W186" s="17"/>
    </row>
    <row r="187" spans="1:23">
      <c r="A187" s="125" t="s">
        <v>34</v>
      </c>
      <c r="B187" s="14" t="s">
        <v>1</v>
      </c>
      <c r="C187" s="127" t="s">
        <v>32</v>
      </c>
      <c r="D187" s="14" t="s">
        <v>22</v>
      </c>
      <c r="E187" s="129">
        <f>41797+(7*364+7)</f>
        <v>44352</v>
      </c>
      <c r="F187" s="15">
        <v>79.989999999999995</v>
      </c>
      <c r="G187" s="130">
        <v>6</v>
      </c>
      <c r="H187" s="123">
        <f t="shared" si="3"/>
        <v>479.93999999999994</v>
      </c>
      <c r="I187" s="16"/>
      <c r="J187" s="16"/>
      <c r="K187"/>
      <c r="L187"/>
      <c r="M187" s="16"/>
      <c r="N187" s="16"/>
      <c r="O187"/>
      <c r="P187"/>
      <c r="Q187"/>
      <c r="R187"/>
      <c r="S187"/>
      <c r="T187"/>
      <c r="U187"/>
      <c r="V187"/>
      <c r="W187" s="17"/>
    </row>
    <row r="188" spans="1:23">
      <c r="A188" s="125" t="s">
        <v>6</v>
      </c>
      <c r="B188" s="14" t="s">
        <v>1</v>
      </c>
      <c r="C188" s="127" t="s">
        <v>18</v>
      </c>
      <c r="D188" s="14" t="s">
        <v>20</v>
      </c>
      <c r="E188" s="129">
        <f>41962+(7*364+7)</f>
        <v>44517</v>
      </c>
      <c r="F188" s="15">
        <v>79.989999999999995</v>
      </c>
      <c r="G188" s="130">
        <v>8</v>
      </c>
      <c r="H188" s="123">
        <f t="shared" si="3"/>
        <v>639.91999999999996</v>
      </c>
      <c r="I188" s="16"/>
      <c r="J188" s="16"/>
      <c r="K188"/>
      <c r="L188"/>
      <c r="M188" s="16"/>
      <c r="N188" s="16"/>
      <c r="O188"/>
      <c r="P188"/>
      <c r="Q188"/>
      <c r="R188"/>
      <c r="S188"/>
      <c r="T188"/>
      <c r="U188"/>
      <c r="V188"/>
      <c r="W188" s="17"/>
    </row>
    <row r="189" spans="1:23">
      <c r="A189" s="125" t="s">
        <v>31</v>
      </c>
      <c r="B189" s="14" t="s">
        <v>3</v>
      </c>
      <c r="C189" s="127" t="s">
        <v>32</v>
      </c>
      <c r="D189" s="14" t="s">
        <v>19</v>
      </c>
      <c r="E189" s="129">
        <f>42028+(7*364+7)</f>
        <v>44583</v>
      </c>
      <c r="F189" s="15">
        <v>799.95</v>
      </c>
      <c r="G189" s="130">
        <v>15</v>
      </c>
      <c r="H189" s="123">
        <f t="shared" si="3"/>
        <v>11999.25</v>
      </c>
      <c r="I189" s="16"/>
      <c r="J189" s="16"/>
      <c r="K189"/>
      <c r="L189"/>
      <c r="M189" s="16"/>
      <c r="N189" s="16"/>
      <c r="O189"/>
      <c r="P189"/>
      <c r="Q189"/>
      <c r="R189"/>
      <c r="S189"/>
      <c r="T189"/>
      <c r="U189"/>
      <c r="V189"/>
      <c r="W189" s="17"/>
    </row>
    <row r="190" spans="1:23">
      <c r="A190" s="125" t="s">
        <v>26</v>
      </c>
      <c r="B190" s="14" t="s">
        <v>2</v>
      </c>
      <c r="C190" s="127" t="s">
        <v>27</v>
      </c>
      <c r="D190" s="14" t="s">
        <v>20</v>
      </c>
      <c r="E190" s="129">
        <f>42228+(7*364+7)</f>
        <v>44783</v>
      </c>
      <c r="F190" s="15">
        <v>340.95</v>
      </c>
      <c r="G190" s="130">
        <v>11</v>
      </c>
      <c r="H190" s="123">
        <f t="shared" si="3"/>
        <v>3750.45</v>
      </c>
      <c r="I190" s="16"/>
      <c r="J190" s="16"/>
      <c r="K190"/>
      <c r="L190"/>
      <c r="M190" s="16"/>
      <c r="N190" s="16"/>
      <c r="O190"/>
      <c r="P190"/>
      <c r="Q190"/>
      <c r="R190"/>
      <c r="S190"/>
      <c r="T190"/>
      <c r="U190"/>
      <c r="V190"/>
      <c r="W190" s="17"/>
    </row>
    <row r="191" spans="1:23">
      <c r="A191" s="125" t="s">
        <v>17</v>
      </c>
      <c r="B191" s="14" t="s">
        <v>4</v>
      </c>
      <c r="C191" s="127" t="s">
        <v>18</v>
      </c>
      <c r="D191" s="14" t="s">
        <v>19</v>
      </c>
      <c r="E191" s="129">
        <f>41968+(7*364+7)</f>
        <v>44523</v>
      </c>
      <c r="F191" s="15">
        <v>340.95</v>
      </c>
      <c r="G191" s="130">
        <v>8</v>
      </c>
      <c r="H191" s="123">
        <f t="shared" si="3"/>
        <v>2727.6</v>
      </c>
      <c r="I191" s="16"/>
      <c r="J191" s="16"/>
      <c r="K191"/>
      <c r="L191"/>
      <c r="M191" s="16"/>
      <c r="N191" s="16"/>
      <c r="O191"/>
      <c r="P191"/>
      <c r="Q191"/>
      <c r="R191"/>
      <c r="S191"/>
      <c r="T191"/>
      <c r="U191"/>
      <c r="V191"/>
      <c r="W191" s="17"/>
    </row>
    <row r="192" spans="1:23">
      <c r="A192" s="125" t="s">
        <v>35</v>
      </c>
      <c r="B192" s="14" t="s">
        <v>1</v>
      </c>
      <c r="C192" s="127" t="s">
        <v>29</v>
      </c>
      <c r="D192" s="14" t="s">
        <v>19</v>
      </c>
      <c r="E192" s="129">
        <f>42134+(7*364+7)</f>
        <v>44689</v>
      </c>
      <c r="F192" s="15">
        <v>79.989999999999995</v>
      </c>
      <c r="G192" s="130">
        <v>8</v>
      </c>
      <c r="H192" s="123">
        <f t="shared" si="3"/>
        <v>639.91999999999996</v>
      </c>
      <c r="I192" s="16"/>
      <c r="J192" s="16"/>
      <c r="K192"/>
      <c r="L192"/>
      <c r="M192" s="16"/>
      <c r="N192" s="16"/>
      <c r="O192"/>
      <c r="P192"/>
      <c r="Q192"/>
      <c r="R192"/>
      <c r="S192"/>
      <c r="T192"/>
      <c r="U192"/>
      <c r="V192"/>
      <c r="W192" s="17"/>
    </row>
    <row r="193" spans="1:23">
      <c r="A193" s="125" t="s">
        <v>34</v>
      </c>
      <c r="B193" s="14" t="s">
        <v>2</v>
      </c>
      <c r="C193" s="127" t="s">
        <v>32</v>
      </c>
      <c r="D193" s="14" t="s">
        <v>19</v>
      </c>
      <c r="E193" s="129">
        <f>41780+(7*364+7)</f>
        <v>44335</v>
      </c>
      <c r="F193" s="15">
        <v>340.95</v>
      </c>
      <c r="G193" s="130">
        <v>18</v>
      </c>
      <c r="H193" s="123">
        <f t="shared" si="3"/>
        <v>6137.0999999999995</v>
      </c>
      <c r="I193" s="16"/>
      <c r="J193" s="16"/>
      <c r="K193"/>
      <c r="L193"/>
      <c r="M193" s="16"/>
      <c r="N193" s="16"/>
      <c r="O193"/>
      <c r="P193"/>
      <c r="Q193"/>
      <c r="R193"/>
      <c r="S193"/>
      <c r="T193"/>
      <c r="U193"/>
      <c r="V193"/>
      <c r="W193" s="17"/>
    </row>
    <row r="194" spans="1:23">
      <c r="A194" s="125" t="s">
        <v>31</v>
      </c>
      <c r="B194" s="14" t="s">
        <v>1</v>
      </c>
      <c r="C194" s="127" t="s">
        <v>32</v>
      </c>
      <c r="D194" s="14" t="s">
        <v>23</v>
      </c>
      <c r="E194" s="129">
        <f>42200+(7*364+7)</f>
        <v>44755</v>
      </c>
      <c r="F194" s="15">
        <v>79.989999999999995</v>
      </c>
      <c r="G194" s="130">
        <v>12</v>
      </c>
      <c r="H194" s="123">
        <f t="shared" si="3"/>
        <v>959.87999999999988</v>
      </c>
      <c r="I194" s="16"/>
      <c r="J194" s="16"/>
      <c r="K194"/>
      <c r="L194"/>
      <c r="M194" s="16"/>
      <c r="N194" s="16"/>
      <c r="O194"/>
      <c r="P194"/>
      <c r="Q194"/>
      <c r="R194"/>
      <c r="S194"/>
      <c r="T194"/>
      <c r="U194"/>
      <c r="V194"/>
      <c r="W194" s="17"/>
    </row>
    <row r="195" spans="1:23">
      <c r="A195" s="125" t="s">
        <v>35</v>
      </c>
      <c r="B195" s="14" t="s">
        <v>0</v>
      </c>
      <c r="C195" s="127" t="s">
        <v>29</v>
      </c>
      <c r="D195" s="14" t="s">
        <v>20</v>
      </c>
      <c r="E195" s="129">
        <f>41976+(7*364+7)</f>
        <v>44531</v>
      </c>
      <c r="F195" s="15">
        <v>168.95</v>
      </c>
      <c r="G195" s="130">
        <v>9</v>
      </c>
      <c r="H195" s="123">
        <f t="shared" ref="H195:H258" si="4">F195*G195</f>
        <v>1520.55</v>
      </c>
      <c r="I195" s="16"/>
      <c r="J195" s="16"/>
      <c r="K195"/>
      <c r="L195"/>
      <c r="M195" s="16"/>
      <c r="N195" s="16"/>
      <c r="O195"/>
      <c r="P195"/>
      <c r="Q195"/>
      <c r="R195"/>
      <c r="S195"/>
      <c r="T195"/>
      <c r="U195"/>
      <c r="V195"/>
      <c r="W195" s="17"/>
    </row>
    <row r="196" spans="1:23">
      <c r="A196" s="125" t="s">
        <v>16</v>
      </c>
      <c r="B196" s="14" t="s">
        <v>1</v>
      </c>
      <c r="C196" s="127" t="s">
        <v>29</v>
      </c>
      <c r="D196" s="14" t="s">
        <v>23</v>
      </c>
      <c r="E196" s="129">
        <f>42251+(7*364+7)</f>
        <v>44806</v>
      </c>
      <c r="F196" s="15">
        <v>79.989999999999995</v>
      </c>
      <c r="G196" s="130">
        <v>7</v>
      </c>
      <c r="H196" s="123">
        <f t="shared" si="4"/>
        <v>559.92999999999995</v>
      </c>
      <c r="I196" s="16"/>
      <c r="J196" s="16"/>
      <c r="K196"/>
      <c r="L196"/>
      <c r="M196" s="16"/>
      <c r="N196" s="16"/>
      <c r="O196"/>
      <c r="P196"/>
      <c r="Q196"/>
      <c r="R196"/>
      <c r="S196"/>
      <c r="T196"/>
      <c r="U196"/>
      <c r="V196"/>
      <c r="W196" s="17"/>
    </row>
    <row r="197" spans="1:23">
      <c r="A197" s="125" t="s">
        <v>34</v>
      </c>
      <c r="B197" s="14" t="s">
        <v>0</v>
      </c>
      <c r="C197" s="127" t="s">
        <v>32</v>
      </c>
      <c r="D197" s="14" t="s">
        <v>22</v>
      </c>
      <c r="E197" s="129">
        <f>41872+(7*364+7)</f>
        <v>44427</v>
      </c>
      <c r="F197" s="15">
        <v>168.95</v>
      </c>
      <c r="G197" s="130">
        <v>1</v>
      </c>
      <c r="H197" s="123">
        <f t="shared" si="4"/>
        <v>168.95</v>
      </c>
      <c r="I197" s="16"/>
      <c r="J197" s="16"/>
      <c r="K197"/>
      <c r="L197"/>
      <c r="M197" s="16"/>
      <c r="N197" s="16"/>
      <c r="O197"/>
      <c r="P197"/>
      <c r="Q197"/>
      <c r="R197"/>
      <c r="S197"/>
      <c r="T197"/>
      <c r="U197"/>
      <c r="V197"/>
      <c r="W197" s="17"/>
    </row>
    <row r="198" spans="1:23">
      <c r="A198" s="125" t="s">
        <v>16</v>
      </c>
      <c r="B198" s="14" t="s">
        <v>0</v>
      </c>
      <c r="C198" s="127" t="s">
        <v>29</v>
      </c>
      <c r="D198" s="14" t="s">
        <v>21</v>
      </c>
      <c r="E198" s="129">
        <f>42015+(7*364+7)</f>
        <v>44570</v>
      </c>
      <c r="F198" s="15">
        <v>168.95</v>
      </c>
      <c r="G198" s="130">
        <v>11</v>
      </c>
      <c r="H198" s="123">
        <f t="shared" si="4"/>
        <v>1858.4499999999998</v>
      </c>
      <c r="I198" s="16"/>
      <c r="J198" s="16"/>
      <c r="K198"/>
      <c r="L198"/>
      <c r="M198" s="16"/>
      <c r="N198" s="16"/>
      <c r="O198"/>
      <c r="P198"/>
      <c r="Q198"/>
      <c r="R198"/>
      <c r="S198"/>
      <c r="T198"/>
      <c r="U198"/>
      <c r="V198"/>
      <c r="W198" s="17"/>
    </row>
    <row r="199" spans="1:23">
      <c r="A199" s="125" t="s">
        <v>34</v>
      </c>
      <c r="B199" s="14" t="s">
        <v>0</v>
      </c>
      <c r="C199" s="127" t="s">
        <v>32</v>
      </c>
      <c r="D199" s="14" t="s">
        <v>21</v>
      </c>
      <c r="E199" s="129">
        <f>41885+(7*364+7)</f>
        <v>44440</v>
      </c>
      <c r="F199" s="15">
        <v>168.95</v>
      </c>
      <c r="G199" s="130">
        <v>12</v>
      </c>
      <c r="H199" s="123">
        <f t="shared" si="4"/>
        <v>2027.3999999999999</v>
      </c>
      <c r="I199" s="16"/>
      <c r="J199" s="16"/>
      <c r="K199"/>
      <c r="L199"/>
      <c r="M199" s="16"/>
      <c r="N199" s="16"/>
      <c r="O199"/>
      <c r="P199"/>
      <c r="Q199"/>
      <c r="R199"/>
      <c r="S199"/>
      <c r="T199"/>
      <c r="U199"/>
      <c r="V199"/>
      <c r="W199" s="17"/>
    </row>
    <row r="200" spans="1:23">
      <c r="A200" s="125" t="s">
        <v>28</v>
      </c>
      <c r="B200" s="14" t="s">
        <v>3</v>
      </c>
      <c r="C200" s="127" t="s">
        <v>32</v>
      </c>
      <c r="D200" s="14" t="s">
        <v>21</v>
      </c>
      <c r="E200" s="129">
        <f>41767+(7*364+7)</f>
        <v>44322</v>
      </c>
      <c r="F200" s="15">
        <v>799.95</v>
      </c>
      <c r="G200" s="130">
        <v>6</v>
      </c>
      <c r="H200" s="123">
        <f t="shared" si="4"/>
        <v>4799.7000000000007</v>
      </c>
      <c r="I200" s="16"/>
      <c r="J200" s="16"/>
      <c r="K200"/>
      <c r="L200"/>
      <c r="M200" s="16"/>
      <c r="N200" s="16"/>
      <c r="O200"/>
      <c r="P200"/>
      <c r="Q200"/>
      <c r="R200"/>
      <c r="S200"/>
      <c r="T200"/>
      <c r="U200"/>
      <c r="V200"/>
      <c r="W200" s="17"/>
    </row>
    <row r="201" spans="1:23">
      <c r="A201" s="125" t="s">
        <v>35</v>
      </c>
      <c r="B201" s="14" t="s">
        <v>0</v>
      </c>
      <c r="C201" s="127" t="s">
        <v>29</v>
      </c>
      <c r="D201" s="14" t="s">
        <v>22</v>
      </c>
      <c r="E201" s="129">
        <f>41973+(7*364+7)</f>
        <v>44528</v>
      </c>
      <c r="F201" s="15">
        <v>168.95</v>
      </c>
      <c r="G201" s="130">
        <v>14</v>
      </c>
      <c r="H201" s="123">
        <f t="shared" si="4"/>
        <v>2365.2999999999997</v>
      </c>
      <c r="I201" s="16"/>
      <c r="J201" s="16"/>
      <c r="K201"/>
      <c r="L201"/>
      <c r="M201" s="16"/>
      <c r="N201" s="16"/>
      <c r="O201"/>
      <c r="P201"/>
      <c r="Q201"/>
      <c r="R201"/>
      <c r="S201"/>
      <c r="T201"/>
      <c r="U201"/>
      <c r="V201"/>
      <c r="W201" s="17"/>
    </row>
    <row r="202" spans="1:23">
      <c r="A202" s="125" t="s">
        <v>35</v>
      </c>
      <c r="B202" s="14" t="s">
        <v>4</v>
      </c>
      <c r="C202" s="127" t="s">
        <v>29</v>
      </c>
      <c r="D202" s="14" t="s">
        <v>23</v>
      </c>
      <c r="E202" s="129">
        <f>42279+(7*364+7)</f>
        <v>44834</v>
      </c>
      <c r="F202" s="15">
        <v>340.95</v>
      </c>
      <c r="G202" s="130">
        <v>9</v>
      </c>
      <c r="H202" s="123">
        <f t="shared" si="4"/>
        <v>3068.5499999999997</v>
      </c>
      <c r="I202" s="16"/>
      <c r="J202" s="16"/>
      <c r="K202"/>
      <c r="L202"/>
      <c r="M202" s="16"/>
      <c r="N202" s="16"/>
      <c r="O202"/>
      <c r="P202"/>
      <c r="Q202"/>
      <c r="R202"/>
      <c r="S202"/>
      <c r="T202"/>
      <c r="U202"/>
      <c r="V202"/>
      <c r="W202" s="17"/>
    </row>
    <row r="203" spans="1:23">
      <c r="A203" s="125" t="s">
        <v>35</v>
      </c>
      <c r="B203" s="14" t="s">
        <v>4</v>
      </c>
      <c r="C203" s="127" t="s">
        <v>29</v>
      </c>
      <c r="D203" s="14" t="s">
        <v>19</v>
      </c>
      <c r="E203" s="129">
        <f>42302+(7*364+7)</f>
        <v>44857</v>
      </c>
      <c r="F203" s="15">
        <v>340.95</v>
      </c>
      <c r="G203" s="130">
        <v>18</v>
      </c>
      <c r="H203" s="123">
        <f t="shared" si="4"/>
        <v>6137.0999999999995</v>
      </c>
      <c r="I203" s="16"/>
      <c r="J203" s="16"/>
      <c r="K203"/>
      <c r="L203"/>
      <c r="M203" s="16"/>
      <c r="N203" s="16"/>
      <c r="O203"/>
      <c r="P203"/>
      <c r="Q203"/>
      <c r="R203"/>
      <c r="S203"/>
      <c r="T203"/>
      <c r="U203"/>
      <c r="V203"/>
      <c r="W203" s="17"/>
    </row>
    <row r="204" spans="1:23">
      <c r="A204" s="125" t="s">
        <v>31</v>
      </c>
      <c r="B204" s="14" t="s">
        <v>1</v>
      </c>
      <c r="C204" s="127" t="s">
        <v>32</v>
      </c>
      <c r="D204" s="14" t="s">
        <v>21</v>
      </c>
      <c r="E204" s="129">
        <f>42262+(7*364+7)</f>
        <v>44817</v>
      </c>
      <c r="F204" s="15">
        <v>79.989999999999995</v>
      </c>
      <c r="G204" s="130">
        <v>15</v>
      </c>
      <c r="H204" s="123">
        <f t="shared" si="4"/>
        <v>1199.8499999999999</v>
      </c>
      <c r="I204" s="16"/>
      <c r="J204" s="16"/>
      <c r="K204"/>
      <c r="L204"/>
      <c r="M204" s="16"/>
      <c r="N204" s="16"/>
      <c r="O204"/>
      <c r="P204"/>
      <c r="Q204"/>
      <c r="R204"/>
      <c r="S204"/>
      <c r="T204"/>
      <c r="U204"/>
      <c r="V204"/>
      <c r="W204" s="17"/>
    </row>
    <row r="205" spans="1:23">
      <c r="A205" s="125" t="s">
        <v>25</v>
      </c>
      <c r="B205" s="14" t="s">
        <v>1</v>
      </c>
      <c r="C205" s="127" t="s">
        <v>32</v>
      </c>
      <c r="D205" s="14" t="s">
        <v>23</v>
      </c>
      <c r="E205" s="129">
        <f>42003+(7*364+7)</f>
        <v>44558</v>
      </c>
      <c r="F205" s="15">
        <v>79.989999999999995</v>
      </c>
      <c r="G205" s="130">
        <v>1</v>
      </c>
      <c r="H205" s="123">
        <f t="shared" si="4"/>
        <v>79.989999999999995</v>
      </c>
      <c r="I205" s="16"/>
      <c r="J205" s="16"/>
      <c r="K205"/>
      <c r="L205"/>
      <c r="M205" s="16"/>
      <c r="N205" s="16"/>
      <c r="O205"/>
      <c r="P205"/>
      <c r="Q205"/>
      <c r="R205"/>
      <c r="S205"/>
      <c r="T205"/>
      <c r="U205"/>
      <c r="V205"/>
      <c r="W205" s="17"/>
    </row>
    <row r="206" spans="1:23">
      <c r="A206" s="125" t="s">
        <v>6</v>
      </c>
      <c r="B206" s="14" t="s">
        <v>0</v>
      </c>
      <c r="C206" s="127" t="s">
        <v>18</v>
      </c>
      <c r="D206" s="14" t="s">
        <v>23</v>
      </c>
      <c r="E206" s="129">
        <f>41947+(7*364+7)</f>
        <v>44502</v>
      </c>
      <c r="F206" s="15">
        <v>168.95</v>
      </c>
      <c r="G206" s="130">
        <v>2</v>
      </c>
      <c r="H206" s="123">
        <f t="shared" si="4"/>
        <v>337.9</v>
      </c>
      <c r="I206" s="16"/>
      <c r="J206" s="16"/>
      <c r="K206"/>
      <c r="L206"/>
      <c r="M206" s="16"/>
      <c r="N206" s="16"/>
      <c r="O206"/>
      <c r="P206"/>
      <c r="Q206"/>
      <c r="R206"/>
      <c r="S206"/>
      <c r="T206"/>
      <c r="U206"/>
      <c r="V206"/>
      <c r="W206" s="17"/>
    </row>
    <row r="207" spans="1:23">
      <c r="A207" s="125" t="s">
        <v>26</v>
      </c>
      <c r="B207" s="14" t="s">
        <v>4</v>
      </c>
      <c r="C207" s="127" t="s">
        <v>27</v>
      </c>
      <c r="D207" s="14" t="s">
        <v>23</v>
      </c>
      <c r="E207" s="129">
        <f>42360+(7*364+7)</f>
        <v>44915</v>
      </c>
      <c r="F207" s="15">
        <v>340.95</v>
      </c>
      <c r="G207" s="130">
        <v>12</v>
      </c>
      <c r="H207" s="123">
        <f t="shared" si="4"/>
        <v>4091.3999999999996</v>
      </c>
      <c r="I207" s="16"/>
      <c r="J207" s="16"/>
      <c r="K207"/>
      <c r="L207"/>
      <c r="M207" s="16"/>
      <c r="N207" s="16"/>
      <c r="O207"/>
      <c r="P207"/>
      <c r="Q207"/>
      <c r="R207"/>
      <c r="S207"/>
      <c r="T207"/>
      <c r="U207"/>
      <c r="V207"/>
      <c r="W207" s="17"/>
    </row>
    <row r="208" spans="1:23">
      <c r="A208" s="125" t="s">
        <v>25</v>
      </c>
      <c r="B208" s="14" t="s">
        <v>1</v>
      </c>
      <c r="C208" s="127" t="s">
        <v>32</v>
      </c>
      <c r="D208" s="14" t="s">
        <v>23</v>
      </c>
      <c r="E208" s="129">
        <f>42223+(7*364+7)</f>
        <v>44778</v>
      </c>
      <c r="F208" s="15">
        <v>79.989999999999995</v>
      </c>
      <c r="G208" s="130">
        <v>3</v>
      </c>
      <c r="H208" s="123">
        <f t="shared" si="4"/>
        <v>239.96999999999997</v>
      </c>
      <c r="I208" s="16"/>
      <c r="J208" s="16"/>
      <c r="K208"/>
      <c r="L208"/>
      <c r="M208" s="16"/>
      <c r="N208" s="16"/>
      <c r="O208"/>
      <c r="P208"/>
      <c r="Q208"/>
      <c r="R208"/>
      <c r="S208"/>
      <c r="T208"/>
      <c r="U208"/>
      <c r="V208"/>
      <c r="W208" s="17"/>
    </row>
    <row r="209" spans="1:23">
      <c r="A209" s="125" t="s">
        <v>33</v>
      </c>
      <c r="B209" s="14" t="s">
        <v>2</v>
      </c>
      <c r="C209" s="127" t="s">
        <v>18</v>
      </c>
      <c r="D209" s="14" t="s">
        <v>23</v>
      </c>
      <c r="E209" s="129">
        <f>41777+(7*364+7)</f>
        <v>44332</v>
      </c>
      <c r="F209" s="15">
        <v>340.95</v>
      </c>
      <c r="G209" s="130">
        <v>5</v>
      </c>
      <c r="H209" s="123">
        <f t="shared" si="4"/>
        <v>1704.75</v>
      </c>
      <c r="I209" s="16"/>
      <c r="J209" s="16"/>
      <c r="K209"/>
      <c r="L209"/>
      <c r="M209" s="16"/>
      <c r="N209" s="16"/>
      <c r="O209"/>
      <c r="P209"/>
      <c r="Q209"/>
      <c r="R209"/>
      <c r="S209"/>
      <c r="T209"/>
      <c r="U209"/>
      <c r="V209"/>
      <c r="W209" s="17"/>
    </row>
    <row r="210" spans="1:23">
      <c r="A210" s="125" t="s">
        <v>17</v>
      </c>
      <c r="B210" s="14" t="s">
        <v>1</v>
      </c>
      <c r="C210" s="127" t="s">
        <v>18</v>
      </c>
      <c r="D210" s="14" t="s">
        <v>23</v>
      </c>
      <c r="E210" s="129">
        <f>41812+(7*364+7)</f>
        <v>44367</v>
      </c>
      <c r="F210" s="15">
        <v>79.989999999999995</v>
      </c>
      <c r="G210" s="130">
        <v>3</v>
      </c>
      <c r="H210" s="123">
        <f t="shared" si="4"/>
        <v>239.96999999999997</v>
      </c>
      <c r="I210" s="16"/>
      <c r="J210" s="16"/>
      <c r="K210"/>
      <c r="L210"/>
      <c r="M210" s="16"/>
      <c r="N210" s="16"/>
      <c r="O210"/>
      <c r="P210"/>
      <c r="Q210"/>
      <c r="R210"/>
      <c r="S210"/>
      <c r="T210"/>
      <c r="U210"/>
      <c r="V210"/>
      <c r="W210" s="17"/>
    </row>
    <row r="211" spans="1:23">
      <c r="A211" s="125" t="s">
        <v>7</v>
      </c>
      <c r="B211" s="14" t="s">
        <v>2</v>
      </c>
      <c r="C211" s="127" t="s">
        <v>27</v>
      </c>
      <c r="D211" s="14" t="s">
        <v>23</v>
      </c>
      <c r="E211" s="129">
        <f>41692+(7*364+7)</f>
        <v>44247</v>
      </c>
      <c r="F211" s="15">
        <v>340.95</v>
      </c>
      <c r="G211" s="130">
        <v>2</v>
      </c>
      <c r="H211" s="123">
        <f t="shared" si="4"/>
        <v>681.9</v>
      </c>
      <c r="I211" s="16"/>
      <c r="J211" s="16"/>
      <c r="K211"/>
      <c r="L211"/>
      <c r="M211" s="16"/>
      <c r="N211" s="16"/>
      <c r="O211"/>
      <c r="P211"/>
      <c r="Q211"/>
      <c r="R211"/>
      <c r="S211"/>
      <c r="T211"/>
      <c r="U211"/>
      <c r="V211"/>
      <c r="W211" s="17"/>
    </row>
    <row r="212" spans="1:23">
      <c r="A212" s="125" t="s">
        <v>34</v>
      </c>
      <c r="B212" s="14" t="s">
        <v>0</v>
      </c>
      <c r="C212" s="127" t="s">
        <v>32</v>
      </c>
      <c r="D212" s="14" t="s">
        <v>22</v>
      </c>
      <c r="E212" s="129">
        <f>42182+(7*364+7)</f>
        <v>44737</v>
      </c>
      <c r="F212" s="15">
        <v>168.95</v>
      </c>
      <c r="G212" s="130">
        <v>3</v>
      </c>
      <c r="H212" s="123">
        <f t="shared" si="4"/>
        <v>506.84999999999997</v>
      </c>
      <c r="I212" s="16"/>
      <c r="J212" s="16"/>
      <c r="K212"/>
      <c r="L212"/>
      <c r="M212" s="16"/>
      <c r="N212" s="16"/>
      <c r="O212"/>
      <c r="P212"/>
      <c r="Q212"/>
      <c r="R212"/>
      <c r="S212"/>
      <c r="T212"/>
      <c r="U212"/>
      <c r="V212"/>
      <c r="W212" s="17"/>
    </row>
    <row r="213" spans="1:23">
      <c r="A213" s="125" t="s">
        <v>16</v>
      </c>
      <c r="B213" s="14" t="s">
        <v>0</v>
      </c>
      <c r="C213" s="127" t="s">
        <v>29</v>
      </c>
      <c r="D213" s="14" t="s">
        <v>22</v>
      </c>
      <c r="E213" s="129">
        <f>42256+(7*364+7)</f>
        <v>44811</v>
      </c>
      <c r="F213" s="15">
        <v>168.95</v>
      </c>
      <c r="G213" s="130">
        <v>6</v>
      </c>
      <c r="H213" s="123">
        <f t="shared" si="4"/>
        <v>1013.6999999999999</v>
      </c>
      <c r="I213" s="16"/>
      <c r="J213" s="16"/>
      <c r="K213"/>
      <c r="L213"/>
      <c r="M213" s="16"/>
      <c r="N213" s="16"/>
      <c r="O213"/>
      <c r="P213"/>
      <c r="Q213"/>
      <c r="R213"/>
      <c r="S213"/>
      <c r="T213"/>
      <c r="U213"/>
      <c r="V213"/>
      <c r="W213" s="17"/>
    </row>
    <row r="214" spans="1:23">
      <c r="A214" s="125" t="s">
        <v>7</v>
      </c>
      <c r="B214" s="14" t="s">
        <v>3</v>
      </c>
      <c r="C214" s="127" t="s">
        <v>27</v>
      </c>
      <c r="D214" s="14" t="s">
        <v>23</v>
      </c>
      <c r="E214" s="129">
        <f>42305+(7*364+7)</f>
        <v>44860</v>
      </c>
      <c r="F214" s="15">
        <v>799.95</v>
      </c>
      <c r="G214" s="130">
        <v>13</v>
      </c>
      <c r="H214" s="123">
        <f t="shared" si="4"/>
        <v>10399.35</v>
      </c>
      <c r="I214" s="16"/>
      <c r="J214" s="16"/>
      <c r="K214"/>
      <c r="L214"/>
      <c r="M214" s="16"/>
      <c r="N214" s="16"/>
      <c r="O214"/>
      <c r="P214"/>
      <c r="Q214"/>
      <c r="R214"/>
      <c r="S214"/>
      <c r="T214"/>
      <c r="U214"/>
      <c r="V214"/>
      <c r="W214" s="17"/>
    </row>
    <row r="215" spans="1:23">
      <c r="A215" s="125" t="s">
        <v>16</v>
      </c>
      <c r="B215" s="14" t="s">
        <v>1</v>
      </c>
      <c r="C215" s="127" t="s">
        <v>29</v>
      </c>
      <c r="D215" s="14" t="s">
        <v>20</v>
      </c>
      <c r="E215" s="129">
        <f>42018+(7*364+7)</f>
        <v>44573</v>
      </c>
      <c r="F215" s="15">
        <v>79.989999999999995</v>
      </c>
      <c r="G215" s="130">
        <v>12</v>
      </c>
      <c r="H215" s="123">
        <f t="shared" si="4"/>
        <v>959.87999999999988</v>
      </c>
      <c r="I215" s="16"/>
      <c r="J215" s="16"/>
      <c r="K215"/>
      <c r="L215"/>
      <c r="M215" s="16"/>
      <c r="N215" s="16"/>
      <c r="O215"/>
      <c r="P215"/>
      <c r="Q215"/>
      <c r="R215"/>
      <c r="S215"/>
      <c r="T215"/>
      <c r="U215"/>
      <c r="V215"/>
      <c r="W215" s="17"/>
    </row>
    <row r="216" spans="1:23">
      <c r="A216" s="125" t="s">
        <v>6</v>
      </c>
      <c r="B216" s="14" t="s">
        <v>1</v>
      </c>
      <c r="C216" s="127" t="s">
        <v>18</v>
      </c>
      <c r="D216" s="14" t="s">
        <v>19</v>
      </c>
      <c r="E216" s="129">
        <f>41747+(7*364+7)</f>
        <v>44302</v>
      </c>
      <c r="F216" s="15">
        <v>79.989999999999995</v>
      </c>
      <c r="G216" s="130">
        <v>12</v>
      </c>
      <c r="H216" s="123">
        <f t="shared" si="4"/>
        <v>959.87999999999988</v>
      </c>
      <c r="I216" s="16"/>
      <c r="J216" s="16"/>
      <c r="K216"/>
      <c r="L216"/>
      <c r="M216" s="16"/>
      <c r="N216" s="16"/>
      <c r="O216"/>
      <c r="P216"/>
      <c r="Q216"/>
      <c r="R216"/>
      <c r="S216"/>
      <c r="T216"/>
      <c r="U216"/>
      <c r="V216"/>
      <c r="W216" s="17"/>
    </row>
    <row r="217" spans="1:23">
      <c r="A217" s="125" t="s">
        <v>26</v>
      </c>
      <c r="B217" s="14" t="s">
        <v>3</v>
      </c>
      <c r="C217" s="127" t="s">
        <v>27</v>
      </c>
      <c r="D217" s="14" t="s">
        <v>20</v>
      </c>
      <c r="E217" s="129">
        <f>41934+(7*364+7)</f>
        <v>44489</v>
      </c>
      <c r="F217" s="15">
        <v>799.95</v>
      </c>
      <c r="G217" s="130">
        <v>13</v>
      </c>
      <c r="H217" s="123">
        <f t="shared" si="4"/>
        <v>10399.35</v>
      </c>
      <c r="I217" s="16"/>
      <c r="J217" s="16"/>
      <c r="K217"/>
      <c r="L217"/>
      <c r="M217" s="16"/>
      <c r="N217" s="16"/>
      <c r="O217"/>
      <c r="P217"/>
      <c r="Q217"/>
      <c r="R217"/>
      <c r="S217"/>
      <c r="T217"/>
      <c r="U217"/>
      <c r="V217"/>
      <c r="W217" s="17"/>
    </row>
    <row r="218" spans="1:23">
      <c r="A218" s="125" t="s">
        <v>25</v>
      </c>
      <c r="B218" s="14" t="s">
        <v>3</v>
      </c>
      <c r="C218" s="127" t="s">
        <v>32</v>
      </c>
      <c r="D218" s="14" t="s">
        <v>20</v>
      </c>
      <c r="E218" s="129">
        <f>42172+(7*364+7)</f>
        <v>44727</v>
      </c>
      <c r="F218" s="15">
        <v>799.95</v>
      </c>
      <c r="G218" s="130">
        <v>1</v>
      </c>
      <c r="H218" s="123">
        <f t="shared" si="4"/>
        <v>799.95</v>
      </c>
      <c r="I218" s="16"/>
      <c r="J218" s="16"/>
      <c r="K218"/>
      <c r="L218"/>
      <c r="M218" s="16"/>
      <c r="N218" s="16"/>
      <c r="O218"/>
      <c r="P218"/>
      <c r="Q218"/>
      <c r="R218"/>
      <c r="S218"/>
      <c r="T218"/>
      <c r="U218"/>
      <c r="V218"/>
      <c r="W218" s="17"/>
    </row>
    <row r="219" spans="1:23">
      <c r="A219" s="125" t="s">
        <v>25</v>
      </c>
      <c r="B219" s="14" t="s">
        <v>1</v>
      </c>
      <c r="C219" s="127" t="s">
        <v>32</v>
      </c>
      <c r="D219" s="14" t="s">
        <v>19</v>
      </c>
      <c r="E219" s="129">
        <f>41685+(7*364+7)</f>
        <v>44240</v>
      </c>
      <c r="F219" s="15">
        <v>79.989999999999995</v>
      </c>
      <c r="G219" s="130">
        <v>17</v>
      </c>
      <c r="H219" s="123">
        <f t="shared" si="4"/>
        <v>1359.83</v>
      </c>
      <c r="I219" s="16"/>
      <c r="J219" s="16"/>
      <c r="K219"/>
      <c r="L219"/>
      <c r="M219" s="16"/>
      <c r="N219" s="16"/>
      <c r="O219"/>
      <c r="P219"/>
      <c r="Q219"/>
      <c r="R219"/>
      <c r="S219"/>
      <c r="T219"/>
      <c r="U219"/>
      <c r="V219"/>
      <c r="W219" s="17"/>
    </row>
    <row r="220" spans="1:23">
      <c r="A220" s="125" t="s">
        <v>33</v>
      </c>
      <c r="B220" s="14" t="s">
        <v>4</v>
      </c>
      <c r="C220" s="127" t="s">
        <v>18</v>
      </c>
      <c r="D220" s="14" t="s">
        <v>22</v>
      </c>
      <c r="E220" s="129">
        <f>42001+(7*364+7)</f>
        <v>44556</v>
      </c>
      <c r="F220" s="15">
        <v>340.95</v>
      </c>
      <c r="G220" s="130">
        <v>8</v>
      </c>
      <c r="H220" s="123">
        <f t="shared" si="4"/>
        <v>2727.6</v>
      </c>
      <c r="I220" s="16"/>
      <c r="J220" s="16"/>
      <c r="K220"/>
      <c r="L220"/>
      <c r="M220" s="16"/>
      <c r="N220" s="16"/>
      <c r="O220"/>
      <c r="P220"/>
      <c r="Q220"/>
      <c r="R220"/>
      <c r="S220"/>
      <c r="T220"/>
      <c r="U220"/>
      <c r="V220"/>
      <c r="W220" s="17"/>
    </row>
    <row r="221" spans="1:23">
      <c r="A221" s="125" t="s">
        <v>35</v>
      </c>
      <c r="B221" s="14" t="s">
        <v>1</v>
      </c>
      <c r="C221" s="127" t="s">
        <v>29</v>
      </c>
      <c r="D221" s="14" t="s">
        <v>20</v>
      </c>
      <c r="E221" s="129">
        <f>42057+(7*364+7)</f>
        <v>44612</v>
      </c>
      <c r="F221" s="15">
        <v>79.989999999999995</v>
      </c>
      <c r="G221" s="130">
        <v>3</v>
      </c>
      <c r="H221" s="123">
        <f t="shared" si="4"/>
        <v>239.96999999999997</v>
      </c>
      <c r="I221" s="16"/>
      <c r="J221" s="16"/>
      <c r="K221"/>
      <c r="L221"/>
      <c r="M221" s="16"/>
      <c r="N221" s="16"/>
      <c r="O221"/>
      <c r="P221"/>
      <c r="Q221"/>
      <c r="R221"/>
      <c r="S221"/>
      <c r="T221"/>
      <c r="U221"/>
      <c r="V221"/>
      <c r="W221" s="17"/>
    </row>
    <row r="222" spans="1:23">
      <c r="A222" s="125" t="s">
        <v>28</v>
      </c>
      <c r="B222" s="14" t="s">
        <v>3</v>
      </c>
      <c r="C222" s="127" t="s">
        <v>32</v>
      </c>
      <c r="D222" s="14" t="s">
        <v>22</v>
      </c>
      <c r="E222" s="129">
        <f>41686+(7*364+7)</f>
        <v>44241</v>
      </c>
      <c r="F222" s="15">
        <v>799.95</v>
      </c>
      <c r="G222" s="130">
        <v>1</v>
      </c>
      <c r="H222" s="123">
        <f t="shared" si="4"/>
        <v>799.95</v>
      </c>
      <c r="I222" s="16"/>
      <c r="J222" s="16"/>
      <c r="K222"/>
      <c r="L222"/>
      <c r="M222" s="16"/>
      <c r="N222" s="16"/>
      <c r="O222"/>
      <c r="P222"/>
      <c r="Q222"/>
      <c r="R222"/>
      <c r="S222"/>
      <c r="T222"/>
      <c r="U222"/>
      <c r="V222"/>
      <c r="W222" s="17"/>
    </row>
    <row r="223" spans="1:23">
      <c r="A223" s="125" t="s">
        <v>7</v>
      </c>
      <c r="B223" s="14" t="s">
        <v>0</v>
      </c>
      <c r="C223" s="127" t="s">
        <v>27</v>
      </c>
      <c r="D223" s="14" t="s">
        <v>22</v>
      </c>
      <c r="E223" s="129">
        <f>42276+(7*364+7)</f>
        <v>44831</v>
      </c>
      <c r="F223" s="15">
        <v>168.95</v>
      </c>
      <c r="G223" s="130">
        <v>10</v>
      </c>
      <c r="H223" s="123">
        <f t="shared" si="4"/>
        <v>1689.5</v>
      </c>
      <c r="I223" s="16"/>
      <c r="J223" s="16"/>
      <c r="K223"/>
      <c r="L223"/>
      <c r="M223" s="16"/>
      <c r="N223" s="16"/>
      <c r="O223"/>
      <c r="P223"/>
      <c r="Q223"/>
      <c r="R223"/>
      <c r="S223"/>
      <c r="T223"/>
      <c r="U223"/>
      <c r="V223"/>
      <c r="W223" s="17"/>
    </row>
    <row r="224" spans="1:23">
      <c r="A224" s="125" t="s">
        <v>16</v>
      </c>
      <c r="B224" s="14" t="s">
        <v>4</v>
      </c>
      <c r="C224" s="127" t="s">
        <v>29</v>
      </c>
      <c r="D224" s="14" t="s">
        <v>23</v>
      </c>
      <c r="E224" s="129">
        <f>41742+(7*364+7)</f>
        <v>44297</v>
      </c>
      <c r="F224" s="15">
        <v>340.95</v>
      </c>
      <c r="G224" s="130">
        <v>14</v>
      </c>
      <c r="H224" s="123">
        <f t="shared" si="4"/>
        <v>4773.3</v>
      </c>
      <c r="I224" s="16"/>
      <c r="J224" s="16"/>
      <c r="K224"/>
      <c r="L224"/>
      <c r="M224" s="16"/>
      <c r="N224" s="16"/>
      <c r="O224"/>
      <c r="P224"/>
      <c r="Q224"/>
      <c r="R224"/>
      <c r="S224"/>
      <c r="T224"/>
      <c r="U224"/>
      <c r="V224"/>
      <c r="W224" s="17"/>
    </row>
    <row r="225" spans="1:23">
      <c r="A225" s="125" t="s">
        <v>17</v>
      </c>
      <c r="B225" s="14" t="s">
        <v>1</v>
      </c>
      <c r="C225" s="127" t="s">
        <v>18</v>
      </c>
      <c r="D225" s="14" t="s">
        <v>23</v>
      </c>
      <c r="E225" s="129">
        <f>41851+(7*364+7)</f>
        <v>44406</v>
      </c>
      <c r="F225" s="15">
        <v>79.989999999999995</v>
      </c>
      <c r="G225" s="130">
        <v>10</v>
      </c>
      <c r="H225" s="123">
        <f t="shared" si="4"/>
        <v>799.9</v>
      </c>
      <c r="I225" s="16"/>
      <c r="J225" s="16"/>
      <c r="K225"/>
      <c r="L225"/>
      <c r="M225" s="16"/>
      <c r="N225" s="16"/>
      <c r="O225"/>
      <c r="P225"/>
      <c r="Q225"/>
      <c r="R225"/>
      <c r="S225"/>
      <c r="T225"/>
      <c r="U225"/>
      <c r="V225"/>
      <c r="W225" s="17"/>
    </row>
    <row r="226" spans="1:23">
      <c r="A226" s="125" t="s">
        <v>34</v>
      </c>
      <c r="B226" s="14" t="s">
        <v>4</v>
      </c>
      <c r="C226" s="127" t="s">
        <v>32</v>
      </c>
      <c r="D226" s="14" t="s">
        <v>23</v>
      </c>
      <c r="E226" s="129">
        <f>42213+(7*364+7)</f>
        <v>44768</v>
      </c>
      <c r="F226" s="15">
        <v>340.95</v>
      </c>
      <c r="G226" s="130">
        <v>14</v>
      </c>
      <c r="H226" s="123">
        <f t="shared" si="4"/>
        <v>4773.3</v>
      </c>
      <c r="I226" s="16"/>
      <c r="J226" s="16"/>
      <c r="K226"/>
      <c r="L226"/>
      <c r="M226" s="16"/>
      <c r="N226" s="16"/>
      <c r="O226"/>
      <c r="P226"/>
      <c r="Q226"/>
      <c r="R226"/>
      <c r="S226"/>
      <c r="T226"/>
      <c r="U226"/>
      <c r="V226"/>
      <c r="W226" s="17"/>
    </row>
    <row r="227" spans="1:23">
      <c r="A227" s="125" t="s">
        <v>16</v>
      </c>
      <c r="B227" s="14" t="s">
        <v>4</v>
      </c>
      <c r="C227" s="127" t="s">
        <v>29</v>
      </c>
      <c r="D227" s="14" t="s">
        <v>20</v>
      </c>
      <c r="E227" s="129">
        <f>41766+(7*364+7)</f>
        <v>44321</v>
      </c>
      <c r="F227" s="15">
        <v>340.95</v>
      </c>
      <c r="G227" s="130">
        <v>2</v>
      </c>
      <c r="H227" s="123">
        <f t="shared" si="4"/>
        <v>681.9</v>
      </c>
      <c r="I227" s="16"/>
      <c r="J227" s="16"/>
      <c r="K227"/>
      <c r="L227"/>
      <c r="M227" s="16"/>
      <c r="N227" s="16"/>
      <c r="O227"/>
      <c r="P227"/>
      <c r="Q227"/>
      <c r="R227"/>
      <c r="S227"/>
      <c r="T227"/>
      <c r="U227"/>
      <c r="V227"/>
      <c r="W227" s="17"/>
    </row>
    <row r="228" spans="1:23">
      <c r="A228" s="125" t="s">
        <v>30</v>
      </c>
      <c r="B228" s="14" t="s">
        <v>3</v>
      </c>
      <c r="C228" s="127" t="s">
        <v>18</v>
      </c>
      <c r="D228" s="14" t="s">
        <v>19</v>
      </c>
      <c r="E228" s="129">
        <f>41690+(7*364+7)</f>
        <v>44245</v>
      </c>
      <c r="F228" s="15">
        <v>799.95</v>
      </c>
      <c r="G228" s="130">
        <v>18</v>
      </c>
      <c r="H228" s="123">
        <f t="shared" si="4"/>
        <v>14399.1</v>
      </c>
      <c r="I228" s="16"/>
      <c r="J228" s="16"/>
      <c r="K228"/>
      <c r="L228"/>
      <c r="M228" s="16"/>
      <c r="N228" s="16"/>
      <c r="O228"/>
      <c r="P228"/>
      <c r="Q228"/>
      <c r="R228"/>
      <c r="S228"/>
      <c r="T228"/>
      <c r="U228"/>
      <c r="V228"/>
      <c r="W228" s="17"/>
    </row>
    <row r="229" spans="1:23">
      <c r="A229" s="125" t="s">
        <v>28</v>
      </c>
      <c r="B229" s="14" t="s">
        <v>0</v>
      </c>
      <c r="C229" s="127" t="s">
        <v>32</v>
      </c>
      <c r="D229" s="14" t="s">
        <v>19</v>
      </c>
      <c r="E229" s="129">
        <f>41787+(7*364+7)</f>
        <v>44342</v>
      </c>
      <c r="F229" s="15">
        <v>168.95</v>
      </c>
      <c r="G229" s="130">
        <v>6</v>
      </c>
      <c r="H229" s="123">
        <f t="shared" si="4"/>
        <v>1013.6999999999999</v>
      </c>
      <c r="I229" s="16"/>
      <c r="J229" s="16"/>
      <c r="K229"/>
      <c r="L229"/>
      <c r="M229" s="16"/>
      <c r="N229" s="16"/>
      <c r="O229"/>
      <c r="P229"/>
      <c r="Q229"/>
      <c r="R229"/>
      <c r="S229"/>
      <c r="T229"/>
      <c r="U229"/>
      <c r="V229"/>
      <c r="W229" s="17"/>
    </row>
    <row r="230" spans="1:23">
      <c r="A230" s="125" t="s">
        <v>6</v>
      </c>
      <c r="B230" s="14" t="s">
        <v>4</v>
      </c>
      <c r="C230" s="127" t="s">
        <v>18</v>
      </c>
      <c r="D230" s="14" t="s">
        <v>20</v>
      </c>
      <c r="E230" s="129">
        <f>42347+(7*364+7)</f>
        <v>44902</v>
      </c>
      <c r="F230" s="15">
        <v>340.95</v>
      </c>
      <c r="G230" s="130">
        <v>7</v>
      </c>
      <c r="H230" s="123">
        <f t="shared" si="4"/>
        <v>2386.65</v>
      </c>
      <c r="I230" s="16"/>
      <c r="J230" s="16"/>
      <c r="K230"/>
      <c r="L230"/>
      <c r="M230" s="16"/>
      <c r="N230" s="16"/>
      <c r="O230"/>
      <c r="P230"/>
      <c r="Q230"/>
      <c r="R230"/>
      <c r="S230"/>
      <c r="T230"/>
      <c r="U230"/>
      <c r="V230"/>
      <c r="W230" s="17"/>
    </row>
    <row r="231" spans="1:23">
      <c r="A231" s="125" t="s">
        <v>25</v>
      </c>
      <c r="B231" s="14" t="s">
        <v>4</v>
      </c>
      <c r="C231" s="127" t="s">
        <v>32</v>
      </c>
      <c r="D231" s="14" t="s">
        <v>22</v>
      </c>
      <c r="E231" s="129">
        <f>42102+(7*364+7)</f>
        <v>44657</v>
      </c>
      <c r="F231" s="15">
        <v>340.95</v>
      </c>
      <c r="G231" s="130">
        <v>10</v>
      </c>
      <c r="H231" s="123">
        <f t="shared" si="4"/>
        <v>3409.5</v>
      </c>
      <c r="I231" s="16"/>
      <c r="J231" s="16"/>
      <c r="K231"/>
      <c r="L231"/>
      <c r="M231" s="16"/>
      <c r="N231" s="16"/>
      <c r="O231"/>
      <c r="P231"/>
      <c r="Q231"/>
      <c r="R231"/>
      <c r="S231"/>
      <c r="T231"/>
      <c r="U231"/>
      <c r="V231"/>
      <c r="W231" s="17"/>
    </row>
    <row r="232" spans="1:23">
      <c r="A232" s="125" t="s">
        <v>33</v>
      </c>
      <c r="B232" s="14" t="s">
        <v>1</v>
      </c>
      <c r="C232" s="127" t="s">
        <v>18</v>
      </c>
      <c r="D232" s="14" t="s">
        <v>23</v>
      </c>
      <c r="E232" s="129">
        <f>42025+(7*364+7)</f>
        <v>44580</v>
      </c>
      <c r="F232" s="15">
        <v>79.989999999999995</v>
      </c>
      <c r="G232" s="130">
        <v>14</v>
      </c>
      <c r="H232" s="123">
        <f t="shared" si="4"/>
        <v>1119.8599999999999</v>
      </c>
      <c r="I232" s="16"/>
      <c r="J232" s="16"/>
      <c r="K232"/>
      <c r="L232"/>
      <c r="M232" s="16"/>
      <c r="N232" s="16"/>
      <c r="O232"/>
      <c r="P232"/>
      <c r="Q232"/>
      <c r="R232"/>
      <c r="S232"/>
      <c r="T232"/>
      <c r="U232"/>
      <c r="V232"/>
      <c r="W232" s="17"/>
    </row>
    <row r="233" spans="1:23">
      <c r="A233" s="125" t="s">
        <v>33</v>
      </c>
      <c r="B233" s="14" t="s">
        <v>4</v>
      </c>
      <c r="C233" s="127" t="s">
        <v>18</v>
      </c>
      <c r="D233" s="14" t="s">
        <v>20</v>
      </c>
      <c r="E233" s="129">
        <f>41934+(7*364+7)</f>
        <v>44489</v>
      </c>
      <c r="F233" s="15">
        <v>340.95</v>
      </c>
      <c r="G233" s="130">
        <v>7</v>
      </c>
      <c r="H233" s="123">
        <f t="shared" si="4"/>
        <v>2386.65</v>
      </c>
      <c r="I233" s="16"/>
      <c r="J233" s="16"/>
      <c r="K233"/>
      <c r="L233"/>
      <c r="M233" s="16"/>
      <c r="N233" s="16"/>
      <c r="O233"/>
      <c r="P233"/>
      <c r="Q233"/>
      <c r="R233"/>
      <c r="S233"/>
      <c r="T233"/>
      <c r="U233"/>
      <c r="V233"/>
      <c r="W233" s="17"/>
    </row>
    <row r="234" spans="1:23">
      <c r="A234" s="125" t="s">
        <v>16</v>
      </c>
      <c r="B234" s="14" t="s">
        <v>0</v>
      </c>
      <c r="C234" s="127" t="s">
        <v>29</v>
      </c>
      <c r="D234" s="14" t="s">
        <v>23</v>
      </c>
      <c r="E234" s="129">
        <f>41951+(7*364+7)</f>
        <v>44506</v>
      </c>
      <c r="F234" s="15">
        <v>168.95</v>
      </c>
      <c r="G234" s="130">
        <v>11</v>
      </c>
      <c r="H234" s="123">
        <f t="shared" si="4"/>
        <v>1858.4499999999998</v>
      </c>
      <c r="I234" s="16"/>
      <c r="J234" s="16"/>
      <c r="K234"/>
      <c r="L234"/>
      <c r="M234" s="16"/>
      <c r="N234" s="16"/>
      <c r="O234"/>
      <c r="P234"/>
      <c r="Q234"/>
      <c r="R234"/>
      <c r="S234"/>
      <c r="T234"/>
      <c r="U234"/>
      <c r="V234"/>
      <c r="W234" s="17"/>
    </row>
    <row r="235" spans="1:23">
      <c r="A235" s="125" t="s">
        <v>35</v>
      </c>
      <c r="B235" s="14" t="s">
        <v>4</v>
      </c>
      <c r="C235" s="127" t="s">
        <v>29</v>
      </c>
      <c r="D235" s="14" t="s">
        <v>21</v>
      </c>
      <c r="E235" s="129">
        <f>42081+(7*364+7)</f>
        <v>44636</v>
      </c>
      <c r="F235" s="15">
        <v>340.95</v>
      </c>
      <c r="G235" s="130">
        <v>8</v>
      </c>
      <c r="H235" s="123">
        <f t="shared" si="4"/>
        <v>2727.6</v>
      </c>
      <c r="I235" s="16"/>
      <c r="J235" s="16"/>
      <c r="K235"/>
      <c r="L235"/>
      <c r="M235" s="16"/>
      <c r="N235" s="16"/>
      <c r="O235"/>
      <c r="P235"/>
      <c r="Q235"/>
      <c r="R235"/>
      <c r="S235"/>
      <c r="T235"/>
      <c r="U235"/>
      <c r="V235"/>
      <c r="W235" s="17"/>
    </row>
    <row r="236" spans="1:23">
      <c r="A236" s="125" t="s">
        <v>7</v>
      </c>
      <c r="B236" s="14" t="s">
        <v>1</v>
      </c>
      <c r="C236" s="127" t="s">
        <v>27</v>
      </c>
      <c r="D236" s="14" t="s">
        <v>21</v>
      </c>
      <c r="E236" s="129">
        <f>42241+(7*364+7)</f>
        <v>44796</v>
      </c>
      <c r="F236" s="15">
        <v>79.989999999999995</v>
      </c>
      <c r="G236" s="130">
        <v>8</v>
      </c>
      <c r="H236" s="123">
        <f t="shared" si="4"/>
        <v>639.91999999999996</v>
      </c>
      <c r="I236" s="16"/>
      <c r="J236" s="16"/>
      <c r="K236"/>
      <c r="L236"/>
      <c r="M236" s="16"/>
      <c r="N236" s="16"/>
      <c r="O236"/>
      <c r="P236"/>
      <c r="Q236"/>
      <c r="R236"/>
      <c r="S236"/>
      <c r="T236"/>
      <c r="U236"/>
      <c r="V236"/>
      <c r="W236" s="17"/>
    </row>
    <row r="237" spans="1:23">
      <c r="A237" s="125" t="s">
        <v>16</v>
      </c>
      <c r="B237" s="14" t="s">
        <v>1</v>
      </c>
      <c r="C237" s="127" t="s">
        <v>29</v>
      </c>
      <c r="D237" s="14" t="s">
        <v>21</v>
      </c>
      <c r="E237" s="129">
        <f>42273+(7*364+7)</f>
        <v>44828</v>
      </c>
      <c r="F237" s="15">
        <v>79.989999999999995</v>
      </c>
      <c r="G237" s="130">
        <v>7</v>
      </c>
      <c r="H237" s="123">
        <f t="shared" si="4"/>
        <v>559.92999999999995</v>
      </c>
      <c r="I237" s="16"/>
      <c r="J237" s="16"/>
      <c r="K237"/>
      <c r="L237"/>
      <c r="M237" s="16"/>
      <c r="N237" s="16"/>
      <c r="O237"/>
      <c r="P237"/>
      <c r="Q237"/>
      <c r="R237"/>
      <c r="S237"/>
      <c r="T237"/>
      <c r="U237"/>
      <c r="V237"/>
      <c r="W237" s="17"/>
    </row>
    <row r="238" spans="1:23">
      <c r="A238" s="125" t="s">
        <v>33</v>
      </c>
      <c r="B238" s="14" t="s">
        <v>2</v>
      </c>
      <c r="C238" s="127" t="s">
        <v>18</v>
      </c>
      <c r="D238" s="14" t="s">
        <v>22</v>
      </c>
      <c r="E238" s="129">
        <f>41777+(7*364+7)</f>
        <v>44332</v>
      </c>
      <c r="F238" s="15">
        <v>340.95</v>
      </c>
      <c r="G238" s="130">
        <v>12</v>
      </c>
      <c r="H238" s="123">
        <f t="shared" si="4"/>
        <v>4091.3999999999996</v>
      </c>
      <c r="I238" s="16"/>
      <c r="J238" s="16"/>
      <c r="K238"/>
      <c r="L238"/>
      <c r="M238" s="16"/>
      <c r="N238" s="16"/>
      <c r="O238"/>
      <c r="P238"/>
      <c r="Q238"/>
      <c r="R238"/>
      <c r="S238"/>
      <c r="T238"/>
      <c r="U238"/>
      <c r="V238"/>
      <c r="W238" s="17"/>
    </row>
    <row r="239" spans="1:23">
      <c r="A239" s="125" t="s">
        <v>33</v>
      </c>
      <c r="B239" s="14" t="s">
        <v>1</v>
      </c>
      <c r="C239" s="127" t="s">
        <v>18</v>
      </c>
      <c r="D239" s="14" t="s">
        <v>20</v>
      </c>
      <c r="E239" s="129">
        <f>42256+(7*364+7)</f>
        <v>44811</v>
      </c>
      <c r="F239" s="15">
        <v>79.989999999999995</v>
      </c>
      <c r="G239" s="130">
        <v>2</v>
      </c>
      <c r="H239" s="123">
        <f t="shared" si="4"/>
        <v>159.97999999999999</v>
      </c>
      <c r="I239" s="16"/>
      <c r="J239" s="16"/>
      <c r="K239"/>
      <c r="L239"/>
      <c r="M239" s="16"/>
      <c r="N239" s="16"/>
      <c r="O239"/>
      <c r="P239"/>
      <c r="Q239"/>
      <c r="R239"/>
      <c r="S239"/>
      <c r="T239"/>
      <c r="U239"/>
      <c r="V239"/>
      <c r="W239" s="17"/>
    </row>
    <row r="240" spans="1:23">
      <c r="A240" s="125" t="s">
        <v>33</v>
      </c>
      <c r="B240" s="14" t="s">
        <v>4</v>
      </c>
      <c r="C240" s="127" t="s">
        <v>18</v>
      </c>
      <c r="D240" s="14" t="s">
        <v>23</v>
      </c>
      <c r="E240" s="129">
        <f>41977+(7*364+7)</f>
        <v>44532</v>
      </c>
      <c r="F240" s="15">
        <v>340.95</v>
      </c>
      <c r="G240" s="130">
        <v>15</v>
      </c>
      <c r="H240" s="123">
        <f t="shared" si="4"/>
        <v>5114.25</v>
      </c>
      <c r="I240" s="16"/>
      <c r="J240" s="16"/>
      <c r="K240"/>
      <c r="L240"/>
      <c r="M240" s="16"/>
      <c r="N240" s="16"/>
      <c r="O240"/>
      <c r="P240"/>
      <c r="Q240"/>
      <c r="R240"/>
      <c r="S240"/>
      <c r="T240"/>
      <c r="U240"/>
      <c r="V240"/>
      <c r="W240" s="17"/>
    </row>
    <row r="241" spans="1:23">
      <c r="A241" s="125" t="s">
        <v>16</v>
      </c>
      <c r="B241" s="14" t="s">
        <v>0</v>
      </c>
      <c r="C241" s="127" t="s">
        <v>29</v>
      </c>
      <c r="D241" s="14" t="s">
        <v>22</v>
      </c>
      <c r="E241" s="129">
        <f>41690+(7*364+7)</f>
        <v>44245</v>
      </c>
      <c r="F241" s="15">
        <v>168.95</v>
      </c>
      <c r="G241" s="130">
        <v>8</v>
      </c>
      <c r="H241" s="123">
        <f t="shared" si="4"/>
        <v>1351.6</v>
      </c>
      <c r="I241" s="16"/>
      <c r="J241" s="16"/>
      <c r="K241"/>
      <c r="L241"/>
      <c r="M241" s="16"/>
      <c r="N241" s="16"/>
      <c r="O241"/>
      <c r="P241"/>
      <c r="Q241"/>
      <c r="R241"/>
      <c r="S241"/>
      <c r="T241"/>
      <c r="U241"/>
      <c r="V241"/>
      <c r="W241" s="17"/>
    </row>
    <row r="242" spans="1:23">
      <c r="A242" s="125" t="s">
        <v>34</v>
      </c>
      <c r="B242" s="14" t="s">
        <v>2</v>
      </c>
      <c r="C242" s="127" t="s">
        <v>32</v>
      </c>
      <c r="D242" s="14" t="s">
        <v>19</v>
      </c>
      <c r="E242" s="129">
        <f>42039+(7*364+7)</f>
        <v>44594</v>
      </c>
      <c r="F242" s="15">
        <v>340.95</v>
      </c>
      <c r="G242" s="130">
        <v>13</v>
      </c>
      <c r="H242" s="123">
        <f t="shared" si="4"/>
        <v>4432.3499999999995</v>
      </c>
      <c r="I242" s="16"/>
      <c r="J242" s="16"/>
      <c r="K242"/>
      <c r="L242"/>
      <c r="M242" s="16"/>
      <c r="N242" s="16"/>
      <c r="O242"/>
      <c r="P242"/>
      <c r="Q242"/>
      <c r="R242"/>
      <c r="S242"/>
      <c r="T242"/>
      <c r="U242"/>
      <c r="V242"/>
      <c r="W242" s="17"/>
    </row>
    <row r="243" spans="1:23">
      <c r="A243" s="125" t="s">
        <v>6</v>
      </c>
      <c r="B243" s="14" t="s">
        <v>1</v>
      </c>
      <c r="C243" s="127" t="s">
        <v>18</v>
      </c>
      <c r="D243" s="14" t="s">
        <v>22</v>
      </c>
      <c r="E243" s="129">
        <f>42147+(7*364+7)</f>
        <v>44702</v>
      </c>
      <c r="F243" s="15">
        <v>79.989999999999995</v>
      </c>
      <c r="G243" s="130">
        <v>2</v>
      </c>
      <c r="H243" s="123">
        <f t="shared" si="4"/>
        <v>159.97999999999999</v>
      </c>
      <c r="I243" s="16"/>
      <c r="J243" s="16"/>
      <c r="K243"/>
      <c r="L243"/>
      <c r="M243" s="16"/>
      <c r="N243" s="16"/>
      <c r="O243"/>
      <c r="P243"/>
      <c r="Q243"/>
      <c r="R243"/>
      <c r="S243"/>
      <c r="T243"/>
      <c r="U243"/>
      <c r="V243"/>
      <c r="W243" s="17"/>
    </row>
    <row r="244" spans="1:23">
      <c r="A244" s="125" t="s">
        <v>30</v>
      </c>
      <c r="B244" s="14" t="s">
        <v>4</v>
      </c>
      <c r="C244" s="127" t="s">
        <v>18</v>
      </c>
      <c r="D244" s="14" t="s">
        <v>20</v>
      </c>
      <c r="E244" s="129">
        <f>42013+(7*364+7)</f>
        <v>44568</v>
      </c>
      <c r="F244" s="15">
        <v>340.95</v>
      </c>
      <c r="G244" s="130">
        <v>1</v>
      </c>
      <c r="H244" s="123">
        <f t="shared" si="4"/>
        <v>340.95</v>
      </c>
      <c r="I244" s="16"/>
      <c r="J244" s="16"/>
      <c r="K244"/>
      <c r="L244"/>
      <c r="M244" s="16"/>
      <c r="N244" s="16"/>
      <c r="O244"/>
      <c r="P244"/>
      <c r="Q244"/>
      <c r="R244"/>
      <c r="S244"/>
      <c r="T244"/>
      <c r="U244"/>
      <c r="V244"/>
      <c r="W244" s="17"/>
    </row>
    <row r="245" spans="1:23">
      <c r="A245" s="125" t="s">
        <v>17</v>
      </c>
      <c r="B245" s="14" t="s">
        <v>2</v>
      </c>
      <c r="C245" s="127" t="s">
        <v>18</v>
      </c>
      <c r="D245" s="14" t="s">
        <v>21</v>
      </c>
      <c r="E245" s="129">
        <f>42150+(7*364+7)</f>
        <v>44705</v>
      </c>
      <c r="F245" s="15">
        <v>340.95</v>
      </c>
      <c r="G245" s="130">
        <v>10</v>
      </c>
      <c r="H245" s="123">
        <f t="shared" si="4"/>
        <v>3409.5</v>
      </c>
      <c r="I245" s="16"/>
      <c r="J245" s="16"/>
      <c r="K245"/>
      <c r="L245"/>
      <c r="M245" s="16"/>
      <c r="N245" s="16"/>
      <c r="O245"/>
      <c r="P245"/>
      <c r="Q245"/>
      <c r="R245"/>
      <c r="S245"/>
      <c r="T245"/>
      <c r="U245"/>
      <c r="V245"/>
      <c r="W245" s="17"/>
    </row>
    <row r="246" spans="1:23">
      <c r="A246" s="125" t="s">
        <v>6</v>
      </c>
      <c r="B246" s="14" t="s">
        <v>4</v>
      </c>
      <c r="C246" s="127" t="s">
        <v>18</v>
      </c>
      <c r="D246" s="14" t="s">
        <v>19</v>
      </c>
      <c r="E246" s="129">
        <f>42361+(7*364+7)</f>
        <v>44916</v>
      </c>
      <c r="F246" s="15">
        <v>340.95</v>
      </c>
      <c r="G246" s="130">
        <v>20</v>
      </c>
      <c r="H246" s="123">
        <f t="shared" si="4"/>
        <v>6819</v>
      </c>
      <c r="I246" s="16"/>
      <c r="J246" s="16"/>
      <c r="K246"/>
      <c r="L246"/>
      <c r="M246" s="16"/>
      <c r="N246" s="16"/>
      <c r="O246"/>
      <c r="P246"/>
      <c r="Q246"/>
      <c r="R246"/>
      <c r="S246"/>
      <c r="T246"/>
      <c r="U246"/>
      <c r="V246"/>
      <c r="W246" s="17"/>
    </row>
    <row r="247" spans="1:23">
      <c r="A247" s="125" t="s">
        <v>26</v>
      </c>
      <c r="B247" s="14" t="s">
        <v>1</v>
      </c>
      <c r="C247" s="127" t="s">
        <v>27</v>
      </c>
      <c r="D247" s="14" t="s">
        <v>23</v>
      </c>
      <c r="E247" s="129">
        <f>41843+(7*364+7)</f>
        <v>44398</v>
      </c>
      <c r="F247" s="15">
        <v>79.989999999999995</v>
      </c>
      <c r="G247" s="130">
        <v>13</v>
      </c>
      <c r="H247" s="123">
        <f t="shared" si="4"/>
        <v>1039.8699999999999</v>
      </c>
      <c r="I247" s="16"/>
      <c r="J247" s="16"/>
      <c r="K247"/>
      <c r="L247"/>
      <c r="M247" s="16"/>
      <c r="N247" s="16"/>
      <c r="O247"/>
      <c r="P247"/>
      <c r="Q247"/>
      <c r="R247"/>
      <c r="S247"/>
      <c r="T247"/>
      <c r="U247"/>
      <c r="V247"/>
      <c r="W247" s="17"/>
    </row>
    <row r="248" spans="1:23">
      <c r="A248" s="125" t="s">
        <v>31</v>
      </c>
      <c r="B248" s="14" t="s">
        <v>2</v>
      </c>
      <c r="C248" s="127" t="s">
        <v>32</v>
      </c>
      <c r="D248" s="14" t="s">
        <v>22</v>
      </c>
      <c r="E248" s="129">
        <f>42151+(7*364+7)</f>
        <v>44706</v>
      </c>
      <c r="F248" s="15">
        <v>340.95</v>
      </c>
      <c r="G248" s="130">
        <v>5</v>
      </c>
      <c r="H248" s="123">
        <f t="shared" si="4"/>
        <v>1704.75</v>
      </c>
      <c r="I248" s="16"/>
      <c r="J248" s="16"/>
      <c r="K248"/>
      <c r="L248"/>
      <c r="M248" s="16"/>
      <c r="N248" s="16"/>
      <c r="O248"/>
      <c r="P248"/>
      <c r="Q248"/>
      <c r="R248"/>
      <c r="S248"/>
      <c r="T248"/>
      <c r="U248"/>
      <c r="V248"/>
      <c r="W248" s="17"/>
    </row>
    <row r="249" spans="1:23">
      <c r="A249" s="125" t="s">
        <v>31</v>
      </c>
      <c r="B249" s="14" t="s">
        <v>0</v>
      </c>
      <c r="C249" s="127" t="s">
        <v>32</v>
      </c>
      <c r="D249" s="14" t="s">
        <v>20</v>
      </c>
      <c r="E249" s="129">
        <f>42046+(7*364+7)</f>
        <v>44601</v>
      </c>
      <c r="F249" s="15">
        <v>168.95</v>
      </c>
      <c r="G249" s="130">
        <v>14</v>
      </c>
      <c r="H249" s="123">
        <f t="shared" si="4"/>
        <v>2365.2999999999997</v>
      </c>
      <c r="I249" s="16"/>
      <c r="J249" s="16"/>
      <c r="K249"/>
      <c r="L249"/>
      <c r="M249" s="16"/>
      <c r="N249" s="16"/>
      <c r="O249"/>
      <c r="P249"/>
      <c r="Q249"/>
      <c r="R249"/>
      <c r="S249"/>
      <c r="T249"/>
      <c r="U249"/>
      <c r="V249"/>
      <c r="W249" s="17"/>
    </row>
    <row r="250" spans="1:23">
      <c r="A250" s="125" t="s">
        <v>35</v>
      </c>
      <c r="B250" s="14" t="s">
        <v>4</v>
      </c>
      <c r="C250" s="127" t="s">
        <v>29</v>
      </c>
      <c r="D250" s="14" t="s">
        <v>22</v>
      </c>
      <c r="E250" s="129">
        <f>42270+(7*364+7)</f>
        <v>44825</v>
      </c>
      <c r="F250" s="15">
        <v>340.95</v>
      </c>
      <c r="G250" s="130">
        <v>6</v>
      </c>
      <c r="H250" s="123">
        <f t="shared" si="4"/>
        <v>2045.6999999999998</v>
      </c>
      <c r="I250" s="16"/>
      <c r="J250" s="16"/>
      <c r="K250"/>
      <c r="L250"/>
      <c r="M250" s="16"/>
      <c r="N250" s="16"/>
      <c r="O250"/>
      <c r="P250"/>
      <c r="Q250"/>
      <c r="R250"/>
      <c r="S250"/>
      <c r="T250"/>
      <c r="U250"/>
      <c r="V250"/>
      <c r="W250" s="17"/>
    </row>
    <row r="251" spans="1:23">
      <c r="A251" s="125" t="s">
        <v>35</v>
      </c>
      <c r="B251" s="14" t="s">
        <v>4</v>
      </c>
      <c r="C251" s="127" t="s">
        <v>29</v>
      </c>
      <c r="D251" s="14" t="s">
        <v>22</v>
      </c>
      <c r="E251" s="129">
        <f>41902+(7*364+7)</f>
        <v>44457</v>
      </c>
      <c r="F251" s="15">
        <v>340.95</v>
      </c>
      <c r="G251" s="130">
        <v>15</v>
      </c>
      <c r="H251" s="123">
        <f t="shared" si="4"/>
        <v>5114.25</v>
      </c>
      <c r="I251" s="16"/>
      <c r="J251" s="16"/>
      <c r="K251"/>
      <c r="L251"/>
      <c r="M251" s="16"/>
      <c r="N251" s="16"/>
      <c r="O251"/>
      <c r="P251"/>
      <c r="Q251"/>
      <c r="R251"/>
      <c r="S251"/>
      <c r="T251"/>
      <c r="U251"/>
      <c r="V251"/>
      <c r="W251" s="17"/>
    </row>
    <row r="252" spans="1:23">
      <c r="A252" s="125" t="s">
        <v>34</v>
      </c>
      <c r="B252" s="14" t="s">
        <v>3</v>
      </c>
      <c r="C252" s="127" t="s">
        <v>32</v>
      </c>
      <c r="D252" s="14" t="s">
        <v>19</v>
      </c>
      <c r="E252" s="129">
        <f>42096+(7*364+7)</f>
        <v>44651</v>
      </c>
      <c r="F252" s="15">
        <v>799.95</v>
      </c>
      <c r="G252" s="130">
        <v>12</v>
      </c>
      <c r="H252" s="123">
        <f t="shared" si="4"/>
        <v>9599.4000000000015</v>
      </c>
      <c r="I252" s="16"/>
      <c r="J252" s="16"/>
      <c r="K252"/>
      <c r="L252"/>
      <c r="M252" s="16"/>
      <c r="N252" s="16"/>
      <c r="O252"/>
      <c r="P252"/>
      <c r="Q252"/>
      <c r="R252"/>
      <c r="S252"/>
      <c r="T252"/>
      <c r="U252"/>
      <c r="V252"/>
      <c r="W252" s="17"/>
    </row>
    <row r="253" spans="1:23">
      <c r="A253" s="125" t="s">
        <v>26</v>
      </c>
      <c r="B253" s="14" t="s">
        <v>4</v>
      </c>
      <c r="C253" s="127" t="s">
        <v>27</v>
      </c>
      <c r="D253" s="14" t="s">
        <v>20</v>
      </c>
      <c r="E253" s="129">
        <f>41860+(7*364+7)</f>
        <v>44415</v>
      </c>
      <c r="F253" s="15">
        <v>340.95</v>
      </c>
      <c r="G253" s="130">
        <v>14</v>
      </c>
      <c r="H253" s="123">
        <f t="shared" si="4"/>
        <v>4773.3</v>
      </c>
      <c r="I253" s="16"/>
      <c r="J253" s="16"/>
      <c r="K253"/>
      <c r="L253"/>
      <c r="M253" s="16"/>
      <c r="N253" s="16"/>
      <c r="O253"/>
      <c r="P253"/>
      <c r="Q253"/>
      <c r="R253"/>
      <c r="S253"/>
      <c r="T253"/>
      <c r="U253"/>
      <c r="V253"/>
      <c r="W253" s="17"/>
    </row>
    <row r="254" spans="1:23">
      <c r="A254" s="125" t="s">
        <v>7</v>
      </c>
      <c r="B254" s="14" t="s">
        <v>1</v>
      </c>
      <c r="C254" s="127" t="s">
        <v>27</v>
      </c>
      <c r="D254" s="14" t="s">
        <v>19</v>
      </c>
      <c r="E254" s="129">
        <f>41647+(7*364+7)</f>
        <v>44202</v>
      </c>
      <c r="F254" s="15">
        <v>79.989999999999995</v>
      </c>
      <c r="G254" s="130">
        <v>12</v>
      </c>
      <c r="H254" s="123">
        <f t="shared" si="4"/>
        <v>959.87999999999988</v>
      </c>
      <c r="I254" s="16"/>
      <c r="J254" s="16"/>
      <c r="K254"/>
      <c r="L254"/>
      <c r="M254" s="16"/>
      <c r="N254" s="16"/>
      <c r="O254"/>
      <c r="P254"/>
      <c r="Q254"/>
      <c r="R254"/>
      <c r="S254"/>
      <c r="T254"/>
      <c r="U254"/>
      <c r="V254"/>
      <c r="W254" s="17"/>
    </row>
    <row r="255" spans="1:23">
      <c r="A255" s="125" t="s">
        <v>34</v>
      </c>
      <c r="B255" s="14" t="s">
        <v>4</v>
      </c>
      <c r="C255" s="127" t="s">
        <v>32</v>
      </c>
      <c r="D255" s="14" t="s">
        <v>19</v>
      </c>
      <c r="E255" s="129">
        <f>41872+(7*364+7)</f>
        <v>44427</v>
      </c>
      <c r="F255" s="15">
        <v>340.95</v>
      </c>
      <c r="G255" s="130">
        <v>6</v>
      </c>
      <c r="H255" s="123">
        <f t="shared" si="4"/>
        <v>2045.6999999999998</v>
      </c>
      <c r="I255" s="16"/>
      <c r="J255" s="16"/>
      <c r="K255"/>
      <c r="L255"/>
      <c r="M255" s="16"/>
      <c r="N255" s="16"/>
      <c r="O255"/>
      <c r="P255"/>
      <c r="Q255"/>
      <c r="R255"/>
      <c r="S255"/>
      <c r="T255"/>
      <c r="U255"/>
      <c r="V255"/>
      <c r="W255" s="17"/>
    </row>
    <row r="256" spans="1:23">
      <c r="A256" s="125" t="s">
        <v>28</v>
      </c>
      <c r="B256" s="14" t="s">
        <v>4</v>
      </c>
      <c r="C256" s="127" t="s">
        <v>32</v>
      </c>
      <c r="D256" s="14" t="s">
        <v>23</v>
      </c>
      <c r="E256" s="129">
        <f>42354+(7*364+7)</f>
        <v>44909</v>
      </c>
      <c r="F256" s="15">
        <v>340.95</v>
      </c>
      <c r="G256" s="130">
        <v>5</v>
      </c>
      <c r="H256" s="123">
        <f t="shared" si="4"/>
        <v>1704.75</v>
      </c>
      <c r="I256" s="16"/>
      <c r="J256" s="16"/>
      <c r="K256"/>
      <c r="L256"/>
      <c r="M256" s="16"/>
      <c r="N256" s="16"/>
      <c r="O256"/>
      <c r="P256"/>
      <c r="Q256"/>
      <c r="R256"/>
      <c r="S256"/>
      <c r="T256"/>
      <c r="U256"/>
      <c r="V256"/>
      <c r="W256" s="17"/>
    </row>
    <row r="257" spans="1:23">
      <c r="A257" s="125" t="s">
        <v>33</v>
      </c>
      <c r="B257" s="14" t="s">
        <v>2</v>
      </c>
      <c r="C257" s="127" t="s">
        <v>18</v>
      </c>
      <c r="D257" s="14" t="s">
        <v>20</v>
      </c>
      <c r="E257" s="129">
        <f>41894+(7*364+7)</f>
        <v>44449</v>
      </c>
      <c r="F257" s="15">
        <v>340.95</v>
      </c>
      <c r="G257" s="130">
        <v>3</v>
      </c>
      <c r="H257" s="123">
        <f t="shared" si="4"/>
        <v>1022.8499999999999</v>
      </c>
      <c r="I257" s="16"/>
      <c r="J257" s="16"/>
      <c r="K257"/>
      <c r="L257"/>
      <c r="M257" s="16"/>
      <c r="N257" s="16"/>
      <c r="O257"/>
      <c r="P257"/>
      <c r="Q257"/>
      <c r="R257"/>
      <c r="S257"/>
      <c r="T257"/>
      <c r="U257"/>
      <c r="V257"/>
      <c r="W257" s="17"/>
    </row>
    <row r="258" spans="1:23">
      <c r="A258" s="125" t="s">
        <v>6</v>
      </c>
      <c r="B258" s="14" t="s">
        <v>2</v>
      </c>
      <c r="C258" s="127" t="s">
        <v>29</v>
      </c>
      <c r="D258" s="14" t="s">
        <v>22</v>
      </c>
      <c r="E258" s="129">
        <f>42096+(7*364+7)</f>
        <v>44651</v>
      </c>
      <c r="F258" s="15">
        <v>340.95</v>
      </c>
      <c r="G258" s="130">
        <v>4</v>
      </c>
      <c r="H258" s="123">
        <f t="shared" si="4"/>
        <v>1363.8</v>
      </c>
      <c r="I258" s="16"/>
      <c r="J258" s="16"/>
      <c r="K258"/>
      <c r="L258"/>
      <c r="M258" s="16"/>
      <c r="N258" s="16"/>
      <c r="O258"/>
      <c r="P258"/>
      <c r="Q258"/>
      <c r="R258"/>
      <c r="S258"/>
      <c r="T258"/>
      <c r="U258"/>
      <c r="V258"/>
      <c r="W258" s="17"/>
    </row>
    <row r="259" spans="1:23">
      <c r="A259" s="125" t="s">
        <v>34</v>
      </c>
      <c r="B259" s="14" t="s">
        <v>3</v>
      </c>
      <c r="C259" s="127" t="s">
        <v>32</v>
      </c>
      <c r="D259" s="14" t="s">
        <v>19</v>
      </c>
      <c r="E259" s="129">
        <f>41689+(7*364+7)</f>
        <v>44244</v>
      </c>
      <c r="F259" s="15">
        <v>799.95</v>
      </c>
      <c r="G259" s="130">
        <v>14</v>
      </c>
      <c r="H259" s="123">
        <f t="shared" ref="H259:H322" si="5">F259*G259</f>
        <v>11199.300000000001</v>
      </c>
      <c r="I259" s="16"/>
      <c r="J259" s="16"/>
      <c r="K259"/>
      <c r="L259"/>
      <c r="M259" s="16"/>
      <c r="N259" s="16"/>
      <c r="O259"/>
      <c r="P259"/>
      <c r="Q259"/>
      <c r="R259"/>
      <c r="S259"/>
      <c r="T259"/>
      <c r="U259"/>
      <c r="V259"/>
      <c r="W259" s="17"/>
    </row>
    <row r="260" spans="1:23">
      <c r="A260" s="125" t="s">
        <v>17</v>
      </c>
      <c r="B260" s="14" t="s">
        <v>0</v>
      </c>
      <c r="C260" s="127" t="s">
        <v>18</v>
      </c>
      <c r="D260" s="14" t="s">
        <v>19</v>
      </c>
      <c r="E260" s="129">
        <f>42265+(7*364+7)</f>
        <v>44820</v>
      </c>
      <c r="F260" s="15">
        <v>168.95</v>
      </c>
      <c r="G260" s="130">
        <v>20</v>
      </c>
      <c r="H260" s="123">
        <f t="shared" si="5"/>
        <v>3379</v>
      </c>
      <c r="I260" s="16"/>
      <c r="J260" s="16"/>
      <c r="K260"/>
      <c r="L260"/>
      <c r="M260" s="16"/>
      <c r="N260" s="16"/>
      <c r="O260"/>
      <c r="P260"/>
      <c r="Q260"/>
      <c r="R260"/>
      <c r="S260"/>
      <c r="T260"/>
      <c r="U260"/>
      <c r="V260"/>
      <c r="W260" s="17"/>
    </row>
    <row r="261" spans="1:23">
      <c r="A261" s="125" t="s">
        <v>6</v>
      </c>
      <c r="B261" s="14" t="s">
        <v>2</v>
      </c>
      <c r="C261" s="127" t="s">
        <v>29</v>
      </c>
      <c r="D261" s="14" t="s">
        <v>23</v>
      </c>
      <c r="E261" s="129">
        <f>42330+(7*364+7)</f>
        <v>44885</v>
      </c>
      <c r="F261" s="15">
        <v>340.95</v>
      </c>
      <c r="G261" s="130">
        <v>7</v>
      </c>
      <c r="H261" s="123">
        <f t="shared" si="5"/>
        <v>2386.65</v>
      </c>
      <c r="I261" s="16"/>
      <c r="J261" s="16"/>
      <c r="K261"/>
      <c r="L261"/>
      <c r="M261" s="16"/>
      <c r="N261" s="16"/>
      <c r="O261"/>
      <c r="P261"/>
      <c r="Q261"/>
      <c r="R261"/>
      <c r="S261"/>
      <c r="T261"/>
      <c r="U261"/>
      <c r="V261"/>
      <c r="W261" s="17"/>
    </row>
    <row r="262" spans="1:23">
      <c r="A262" s="125" t="s">
        <v>35</v>
      </c>
      <c r="B262" s="14" t="s">
        <v>0</v>
      </c>
      <c r="C262" s="127" t="s">
        <v>29</v>
      </c>
      <c r="D262" s="14" t="s">
        <v>22</v>
      </c>
      <c r="E262" s="129">
        <f>41986+(7*364+7)</f>
        <v>44541</v>
      </c>
      <c r="F262" s="15">
        <v>168.95</v>
      </c>
      <c r="G262" s="130">
        <v>1</v>
      </c>
      <c r="H262" s="123">
        <f t="shared" si="5"/>
        <v>168.95</v>
      </c>
      <c r="I262" s="16"/>
      <c r="J262" s="16"/>
      <c r="K262"/>
      <c r="L262"/>
      <c r="M262" s="16"/>
      <c r="N262" s="16"/>
      <c r="O262"/>
      <c r="P262"/>
      <c r="Q262"/>
      <c r="R262"/>
      <c r="S262"/>
      <c r="T262"/>
      <c r="U262"/>
      <c r="V262"/>
      <c r="W262" s="17"/>
    </row>
    <row r="263" spans="1:23">
      <c r="A263" s="125" t="s">
        <v>30</v>
      </c>
      <c r="B263" s="14" t="s">
        <v>1</v>
      </c>
      <c r="C263" s="127" t="s">
        <v>18</v>
      </c>
      <c r="D263" s="14" t="s">
        <v>20</v>
      </c>
      <c r="E263" s="129">
        <f>41891+(7*364+7)</f>
        <v>44446</v>
      </c>
      <c r="F263" s="15">
        <v>79.989999999999995</v>
      </c>
      <c r="G263" s="130">
        <v>13</v>
      </c>
      <c r="H263" s="123">
        <f t="shared" si="5"/>
        <v>1039.8699999999999</v>
      </c>
      <c r="I263" s="16"/>
      <c r="J263" s="16"/>
      <c r="K263"/>
      <c r="L263"/>
      <c r="M263" s="16"/>
      <c r="N263" s="16"/>
      <c r="O263"/>
      <c r="P263"/>
      <c r="Q263"/>
      <c r="R263"/>
      <c r="S263"/>
      <c r="T263"/>
      <c r="U263"/>
      <c r="V263"/>
      <c r="W263" s="17"/>
    </row>
    <row r="264" spans="1:23">
      <c r="A264" s="125" t="s">
        <v>30</v>
      </c>
      <c r="B264" s="14" t="s">
        <v>1</v>
      </c>
      <c r="C264" s="127" t="s">
        <v>18</v>
      </c>
      <c r="D264" s="14" t="s">
        <v>20</v>
      </c>
      <c r="E264" s="129">
        <f>41739+(7*364+7)</f>
        <v>44294</v>
      </c>
      <c r="F264" s="15">
        <v>79.989999999999995</v>
      </c>
      <c r="G264" s="130">
        <v>13</v>
      </c>
      <c r="H264" s="123">
        <f t="shared" si="5"/>
        <v>1039.8699999999999</v>
      </c>
      <c r="I264" s="16"/>
      <c r="J264" s="16"/>
      <c r="K264"/>
      <c r="L264"/>
      <c r="M264" s="16"/>
      <c r="N264" s="16"/>
      <c r="O264"/>
      <c r="P264"/>
      <c r="Q264"/>
      <c r="R264"/>
      <c r="S264"/>
      <c r="T264"/>
      <c r="U264"/>
      <c r="V264"/>
      <c r="W264" s="17"/>
    </row>
    <row r="265" spans="1:23">
      <c r="A265" s="125" t="s">
        <v>34</v>
      </c>
      <c r="B265" s="14" t="s">
        <v>4</v>
      </c>
      <c r="C265" s="127" t="s">
        <v>32</v>
      </c>
      <c r="D265" s="14" t="s">
        <v>20</v>
      </c>
      <c r="E265" s="129">
        <f>41938+(7*364+7)</f>
        <v>44493</v>
      </c>
      <c r="F265" s="15">
        <v>340.95</v>
      </c>
      <c r="G265" s="130">
        <v>4</v>
      </c>
      <c r="H265" s="123">
        <f t="shared" si="5"/>
        <v>1363.8</v>
      </c>
      <c r="I265" s="16"/>
      <c r="J265" s="16"/>
      <c r="K265"/>
      <c r="L265"/>
      <c r="M265" s="16"/>
      <c r="N265" s="16"/>
      <c r="O265"/>
      <c r="P265"/>
      <c r="Q265"/>
      <c r="R265"/>
      <c r="S265"/>
      <c r="T265"/>
      <c r="U265"/>
      <c r="V265"/>
      <c r="W265" s="17"/>
    </row>
    <row r="266" spans="1:23">
      <c r="A266" s="125" t="s">
        <v>16</v>
      </c>
      <c r="B266" s="14" t="s">
        <v>1</v>
      </c>
      <c r="C266" s="127" t="s">
        <v>29</v>
      </c>
      <c r="D266" s="14" t="s">
        <v>23</v>
      </c>
      <c r="E266" s="129">
        <f>41672+(7*364+7)</f>
        <v>44227</v>
      </c>
      <c r="F266" s="15">
        <v>79.989999999999995</v>
      </c>
      <c r="G266" s="130">
        <v>5</v>
      </c>
      <c r="H266" s="123">
        <f t="shared" si="5"/>
        <v>399.95</v>
      </c>
      <c r="I266" s="16"/>
      <c r="J266" s="16"/>
      <c r="K266"/>
      <c r="L266"/>
      <c r="M266" s="16"/>
      <c r="N266" s="16"/>
      <c r="O266"/>
      <c r="P266"/>
      <c r="Q266"/>
      <c r="R266"/>
      <c r="S266"/>
      <c r="T266"/>
      <c r="U266"/>
      <c r="V266"/>
      <c r="W266" s="17"/>
    </row>
    <row r="267" spans="1:23">
      <c r="A267" s="125" t="s">
        <v>28</v>
      </c>
      <c r="B267" s="14" t="s">
        <v>0</v>
      </c>
      <c r="C267" s="127" t="s">
        <v>32</v>
      </c>
      <c r="D267" s="14" t="s">
        <v>19</v>
      </c>
      <c r="E267" s="129">
        <f>42193+(7*364+7)</f>
        <v>44748</v>
      </c>
      <c r="F267" s="15">
        <v>168.95</v>
      </c>
      <c r="G267" s="130">
        <v>17</v>
      </c>
      <c r="H267" s="123">
        <f t="shared" si="5"/>
        <v>2872.1499999999996</v>
      </c>
      <c r="I267" s="16"/>
      <c r="J267" s="16"/>
      <c r="K267"/>
      <c r="L267"/>
      <c r="M267" s="16"/>
      <c r="N267" s="16"/>
      <c r="O267"/>
      <c r="P267"/>
      <c r="Q267"/>
      <c r="R267"/>
      <c r="S267"/>
      <c r="T267"/>
      <c r="U267"/>
      <c r="V267"/>
      <c r="W267" s="17"/>
    </row>
    <row r="268" spans="1:23">
      <c r="A268" s="125" t="s">
        <v>34</v>
      </c>
      <c r="B268" s="14" t="s">
        <v>2</v>
      </c>
      <c r="C268" s="127" t="s">
        <v>32</v>
      </c>
      <c r="D268" s="14" t="s">
        <v>23</v>
      </c>
      <c r="E268" s="129">
        <f>41679+(7*364+7)</f>
        <v>44234</v>
      </c>
      <c r="F268" s="15">
        <v>340.95</v>
      </c>
      <c r="G268" s="130">
        <v>3</v>
      </c>
      <c r="H268" s="123">
        <f t="shared" si="5"/>
        <v>1022.8499999999999</v>
      </c>
      <c r="I268" s="16"/>
      <c r="J268" s="16"/>
      <c r="K268"/>
      <c r="L268"/>
      <c r="M268" s="16"/>
      <c r="N268" s="16"/>
      <c r="O268"/>
      <c r="P268"/>
      <c r="Q268"/>
      <c r="R268"/>
      <c r="S268"/>
      <c r="T268"/>
      <c r="U268"/>
      <c r="V268"/>
      <c r="W268" s="17"/>
    </row>
    <row r="269" spans="1:23">
      <c r="A269" s="125" t="s">
        <v>30</v>
      </c>
      <c r="B269" s="14" t="s">
        <v>4</v>
      </c>
      <c r="C269" s="127" t="s">
        <v>18</v>
      </c>
      <c r="D269" s="14" t="s">
        <v>23</v>
      </c>
      <c r="E269" s="129">
        <f>41963+(7*364+7)</f>
        <v>44518</v>
      </c>
      <c r="F269" s="15">
        <v>340.95</v>
      </c>
      <c r="G269" s="130">
        <v>7</v>
      </c>
      <c r="H269" s="123">
        <f t="shared" si="5"/>
        <v>2386.65</v>
      </c>
      <c r="I269" s="16"/>
      <c r="J269" s="16"/>
      <c r="K269"/>
      <c r="L269"/>
      <c r="M269" s="16"/>
      <c r="N269" s="16"/>
      <c r="O269"/>
      <c r="P269"/>
      <c r="Q269"/>
      <c r="R269"/>
      <c r="S269"/>
      <c r="T269"/>
      <c r="U269"/>
      <c r="V269"/>
      <c r="W269" s="17"/>
    </row>
    <row r="270" spans="1:23">
      <c r="A270" s="125" t="s">
        <v>16</v>
      </c>
      <c r="B270" s="14" t="s">
        <v>4</v>
      </c>
      <c r="C270" s="127" t="s">
        <v>29</v>
      </c>
      <c r="D270" s="14" t="s">
        <v>21</v>
      </c>
      <c r="E270" s="129">
        <f>42235+(7*364+7)</f>
        <v>44790</v>
      </c>
      <c r="F270" s="15">
        <v>340.95</v>
      </c>
      <c r="G270" s="130">
        <v>1</v>
      </c>
      <c r="H270" s="123">
        <f t="shared" si="5"/>
        <v>340.95</v>
      </c>
      <c r="I270" s="16"/>
      <c r="J270" s="16"/>
      <c r="K270"/>
      <c r="L270"/>
      <c r="M270" s="16"/>
      <c r="N270" s="16"/>
      <c r="O270"/>
      <c r="P270"/>
      <c r="Q270"/>
      <c r="R270"/>
      <c r="S270"/>
      <c r="T270"/>
      <c r="U270"/>
      <c r="V270"/>
      <c r="W270" s="17"/>
    </row>
    <row r="271" spans="1:23">
      <c r="A271" s="125" t="s">
        <v>34</v>
      </c>
      <c r="B271" s="14" t="s">
        <v>2</v>
      </c>
      <c r="C271" s="127" t="s">
        <v>32</v>
      </c>
      <c r="D271" s="14" t="s">
        <v>19</v>
      </c>
      <c r="E271" s="129">
        <f>41692+(7*364+7)</f>
        <v>44247</v>
      </c>
      <c r="F271" s="15">
        <v>340.95</v>
      </c>
      <c r="G271" s="130">
        <v>18</v>
      </c>
      <c r="H271" s="123">
        <f t="shared" si="5"/>
        <v>6137.0999999999995</v>
      </c>
      <c r="I271" s="16"/>
      <c r="J271" s="16"/>
      <c r="K271"/>
      <c r="L271"/>
      <c r="M271" s="16"/>
      <c r="N271" s="16"/>
      <c r="O271"/>
      <c r="P271"/>
      <c r="Q271"/>
      <c r="R271"/>
      <c r="S271"/>
      <c r="T271"/>
      <c r="U271"/>
      <c r="V271"/>
      <c r="W271" s="17"/>
    </row>
    <row r="272" spans="1:23">
      <c r="A272" s="125" t="s">
        <v>31</v>
      </c>
      <c r="B272" s="14" t="s">
        <v>3</v>
      </c>
      <c r="C272" s="127" t="s">
        <v>32</v>
      </c>
      <c r="D272" s="14" t="s">
        <v>23</v>
      </c>
      <c r="E272" s="129">
        <f>42151+(7*364+7)</f>
        <v>44706</v>
      </c>
      <c r="F272" s="15">
        <v>799.95</v>
      </c>
      <c r="G272" s="130">
        <v>2</v>
      </c>
      <c r="H272" s="123">
        <f t="shared" si="5"/>
        <v>1599.9</v>
      </c>
      <c r="I272" s="16"/>
      <c r="J272" s="16"/>
      <c r="K272"/>
      <c r="L272"/>
      <c r="M272" s="16"/>
      <c r="N272" s="16"/>
      <c r="O272"/>
      <c r="P272"/>
      <c r="Q272"/>
      <c r="R272"/>
      <c r="S272"/>
      <c r="T272"/>
      <c r="U272"/>
      <c r="V272"/>
      <c r="W272" s="17"/>
    </row>
    <row r="273" spans="1:23">
      <c r="A273" s="125" t="s">
        <v>31</v>
      </c>
      <c r="B273" s="14" t="s">
        <v>1</v>
      </c>
      <c r="C273" s="127" t="s">
        <v>32</v>
      </c>
      <c r="D273" s="14" t="s">
        <v>19</v>
      </c>
      <c r="E273" s="129">
        <f>42082+(7*364+7)</f>
        <v>44637</v>
      </c>
      <c r="F273" s="15">
        <v>79.989999999999995</v>
      </c>
      <c r="G273" s="130">
        <v>18</v>
      </c>
      <c r="H273" s="123">
        <f t="shared" si="5"/>
        <v>1439.82</v>
      </c>
      <c r="I273" s="16"/>
      <c r="J273" s="16"/>
      <c r="K273"/>
      <c r="L273"/>
      <c r="M273" s="16"/>
      <c r="N273" s="16"/>
      <c r="O273"/>
      <c r="P273"/>
      <c r="Q273"/>
      <c r="R273"/>
      <c r="S273"/>
      <c r="T273"/>
      <c r="U273"/>
      <c r="V273"/>
      <c r="W273" s="17"/>
    </row>
    <row r="274" spans="1:23">
      <c r="A274" s="125" t="s">
        <v>16</v>
      </c>
      <c r="B274" s="14" t="s">
        <v>1</v>
      </c>
      <c r="C274" s="127" t="s">
        <v>29</v>
      </c>
      <c r="D274" s="14" t="s">
        <v>22</v>
      </c>
      <c r="E274" s="129">
        <f>42098+(7*364+7)</f>
        <v>44653</v>
      </c>
      <c r="F274" s="15">
        <v>79.989999999999995</v>
      </c>
      <c r="G274" s="130">
        <v>2</v>
      </c>
      <c r="H274" s="123">
        <f t="shared" si="5"/>
        <v>159.97999999999999</v>
      </c>
      <c r="I274" s="16"/>
      <c r="J274" s="16"/>
      <c r="K274"/>
      <c r="L274"/>
      <c r="M274" s="16"/>
      <c r="N274" s="16"/>
      <c r="O274"/>
      <c r="P274"/>
      <c r="Q274"/>
      <c r="R274"/>
      <c r="S274"/>
      <c r="T274"/>
      <c r="U274"/>
      <c r="V274"/>
      <c r="W274" s="17"/>
    </row>
    <row r="275" spans="1:23">
      <c r="A275" s="125" t="s">
        <v>31</v>
      </c>
      <c r="B275" s="14" t="s">
        <v>3</v>
      </c>
      <c r="C275" s="127" t="s">
        <v>32</v>
      </c>
      <c r="D275" s="14" t="s">
        <v>19</v>
      </c>
      <c r="E275" s="129">
        <f>42187+(7*364+7)</f>
        <v>44742</v>
      </c>
      <c r="F275" s="15">
        <v>799.95</v>
      </c>
      <c r="G275" s="130">
        <v>10</v>
      </c>
      <c r="H275" s="123">
        <f t="shared" si="5"/>
        <v>7999.5</v>
      </c>
      <c r="I275" s="16"/>
      <c r="J275" s="16"/>
      <c r="K275"/>
      <c r="L275"/>
      <c r="M275" s="16"/>
      <c r="N275" s="16"/>
      <c r="O275"/>
      <c r="P275"/>
      <c r="Q275"/>
      <c r="R275"/>
      <c r="S275"/>
      <c r="T275"/>
      <c r="U275"/>
      <c r="V275"/>
      <c r="W275" s="17"/>
    </row>
    <row r="276" spans="1:23">
      <c r="A276" s="125" t="s">
        <v>25</v>
      </c>
      <c r="B276" s="14" t="s">
        <v>1</v>
      </c>
      <c r="C276" s="127" t="s">
        <v>32</v>
      </c>
      <c r="D276" s="14" t="s">
        <v>21</v>
      </c>
      <c r="E276" s="129">
        <f>41983+(7*364+7)</f>
        <v>44538</v>
      </c>
      <c r="F276" s="15">
        <v>79.989999999999995</v>
      </c>
      <c r="G276" s="130">
        <v>10</v>
      </c>
      <c r="H276" s="123">
        <f t="shared" si="5"/>
        <v>799.9</v>
      </c>
      <c r="I276" s="16"/>
      <c r="J276" s="16"/>
      <c r="K276"/>
      <c r="L276"/>
      <c r="M276" s="16"/>
      <c r="N276" s="16"/>
      <c r="O276"/>
      <c r="P276"/>
      <c r="Q276"/>
      <c r="R276"/>
      <c r="S276"/>
      <c r="T276"/>
      <c r="U276"/>
      <c r="V276"/>
      <c r="W276" s="17"/>
    </row>
    <row r="277" spans="1:23">
      <c r="A277" s="125" t="s">
        <v>35</v>
      </c>
      <c r="B277" s="14" t="s">
        <v>3</v>
      </c>
      <c r="C277" s="127" t="s">
        <v>29</v>
      </c>
      <c r="D277" s="14" t="s">
        <v>23</v>
      </c>
      <c r="E277" s="129">
        <f>42119+(7*364+7)</f>
        <v>44674</v>
      </c>
      <c r="F277" s="15">
        <v>799.95</v>
      </c>
      <c r="G277" s="130">
        <v>14</v>
      </c>
      <c r="H277" s="123">
        <f t="shared" si="5"/>
        <v>11199.300000000001</v>
      </c>
      <c r="I277" s="16"/>
      <c r="J277" s="16"/>
      <c r="K277"/>
      <c r="L277"/>
      <c r="M277" s="16"/>
      <c r="N277" s="16"/>
      <c r="O277"/>
      <c r="P277"/>
      <c r="Q277"/>
      <c r="R277"/>
      <c r="S277"/>
      <c r="T277"/>
      <c r="U277"/>
      <c r="V277"/>
      <c r="W277" s="17"/>
    </row>
    <row r="278" spans="1:23">
      <c r="A278" s="125" t="s">
        <v>17</v>
      </c>
      <c r="B278" s="14" t="s">
        <v>3</v>
      </c>
      <c r="C278" s="127" t="s">
        <v>18</v>
      </c>
      <c r="D278" s="14" t="s">
        <v>23</v>
      </c>
      <c r="E278" s="129">
        <f>41731+(7*364+7)</f>
        <v>44286</v>
      </c>
      <c r="F278" s="15">
        <v>799.95</v>
      </c>
      <c r="G278" s="130">
        <v>7</v>
      </c>
      <c r="H278" s="123">
        <f t="shared" si="5"/>
        <v>5599.6500000000005</v>
      </c>
      <c r="I278" s="16"/>
      <c r="J278" s="16"/>
      <c r="K278"/>
      <c r="L278"/>
      <c r="M278" s="16"/>
      <c r="N278" s="16"/>
      <c r="O278"/>
      <c r="P278"/>
      <c r="Q278"/>
      <c r="R278"/>
      <c r="S278"/>
      <c r="T278"/>
      <c r="U278"/>
      <c r="V278"/>
      <c r="W278" s="17"/>
    </row>
    <row r="279" spans="1:23">
      <c r="A279" s="125" t="s">
        <v>34</v>
      </c>
      <c r="B279" s="14" t="s">
        <v>1</v>
      </c>
      <c r="C279" s="127" t="s">
        <v>32</v>
      </c>
      <c r="D279" s="14" t="s">
        <v>20</v>
      </c>
      <c r="E279" s="129">
        <f>42193+(7*364+7)</f>
        <v>44748</v>
      </c>
      <c r="F279" s="15">
        <v>79.989999999999995</v>
      </c>
      <c r="G279" s="130">
        <v>3</v>
      </c>
      <c r="H279" s="123">
        <f t="shared" si="5"/>
        <v>239.96999999999997</v>
      </c>
      <c r="I279" s="16"/>
      <c r="J279" s="16"/>
      <c r="K279"/>
      <c r="L279"/>
      <c r="M279" s="16"/>
      <c r="N279" s="16"/>
      <c r="O279"/>
      <c r="P279"/>
      <c r="Q279"/>
      <c r="R279"/>
      <c r="S279"/>
      <c r="T279"/>
      <c r="U279"/>
      <c r="V279"/>
      <c r="W279" s="17"/>
    </row>
    <row r="280" spans="1:23">
      <c r="A280" s="125" t="s">
        <v>34</v>
      </c>
      <c r="B280" s="14" t="s">
        <v>4</v>
      </c>
      <c r="C280" s="127" t="s">
        <v>32</v>
      </c>
      <c r="D280" s="14" t="s">
        <v>21</v>
      </c>
      <c r="E280" s="129">
        <f>42362+(7*364+7)</f>
        <v>44917</v>
      </c>
      <c r="F280" s="15">
        <v>340.95</v>
      </c>
      <c r="G280" s="130">
        <v>15</v>
      </c>
      <c r="H280" s="123">
        <f t="shared" si="5"/>
        <v>5114.25</v>
      </c>
      <c r="I280" s="16"/>
      <c r="J280" s="16"/>
      <c r="K280"/>
      <c r="L280"/>
      <c r="M280" s="16"/>
      <c r="N280" s="16"/>
      <c r="O280"/>
      <c r="P280"/>
      <c r="Q280"/>
      <c r="R280"/>
      <c r="S280"/>
      <c r="T280"/>
      <c r="U280"/>
      <c r="V280"/>
      <c r="W280" s="17"/>
    </row>
    <row r="281" spans="1:23">
      <c r="A281" s="125" t="s">
        <v>35</v>
      </c>
      <c r="B281" s="14" t="s">
        <v>4</v>
      </c>
      <c r="C281" s="127" t="s">
        <v>29</v>
      </c>
      <c r="D281" s="14" t="s">
        <v>23</v>
      </c>
      <c r="E281" s="129">
        <f>42168+(7*364+7)</f>
        <v>44723</v>
      </c>
      <c r="F281" s="15">
        <v>340.95</v>
      </c>
      <c r="G281" s="130">
        <v>11</v>
      </c>
      <c r="H281" s="123">
        <f t="shared" si="5"/>
        <v>3750.45</v>
      </c>
      <c r="I281" s="16"/>
      <c r="J281" s="16"/>
      <c r="K281"/>
      <c r="L281"/>
      <c r="M281" s="16"/>
      <c r="N281" s="16"/>
      <c r="O281"/>
      <c r="P281"/>
      <c r="Q281"/>
      <c r="R281"/>
      <c r="S281"/>
      <c r="T281"/>
      <c r="U281"/>
      <c r="V281"/>
      <c r="W281" s="17"/>
    </row>
    <row r="282" spans="1:23">
      <c r="A282" s="125" t="s">
        <v>30</v>
      </c>
      <c r="B282" s="14" t="s">
        <v>2</v>
      </c>
      <c r="C282" s="127" t="s">
        <v>18</v>
      </c>
      <c r="D282" s="14" t="s">
        <v>23</v>
      </c>
      <c r="E282" s="129">
        <f>41737+(7*364+7)</f>
        <v>44292</v>
      </c>
      <c r="F282" s="15">
        <v>340.95</v>
      </c>
      <c r="G282" s="130">
        <v>3</v>
      </c>
      <c r="H282" s="123">
        <f t="shared" si="5"/>
        <v>1022.8499999999999</v>
      </c>
      <c r="I282" s="16"/>
      <c r="J282" s="16"/>
      <c r="K282"/>
      <c r="L282"/>
      <c r="M282" s="16"/>
      <c r="N282" s="16"/>
      <c r="O282"/>
      <c r="P282"/>
      <c r="Q282"/>
      <c r="R282"/>
      <c r="S282"/>
      <c r="T282"/>
      <c r="U282"/>
      <c r="V282"/>
      <c r="W282" s="17"/>
    </row>
    <row r="283" spans="1:23">
      <c r="A283" s="125" t="s">
        <v>7</v>
      </c>
      <c r="B283" s="14" t="s">
        <v>2</v>
      </c>
      <c r="C283" s="127" t="s">
        <v>27</v>
      </c>
      <c r="D283" s="14" t="s">
        <v>21</v>
      </c>
      <c r="E283" s="129">
        <f>42333+(7*364+7)</f>
        <v>44888</v>
      </c>
      <c r="F283" s="15">
        <v>340.95</v>
      </c>
      <c r="G283" s="130">
        <v>10</v>
      </c>
      <c r="H283" s="123">
        <f t="shared" si="5"/>
        <v>3409.5</v>
      </c>
      <c r="I283" s="16"/>
      <c r="J283" s="16"/>
      <c r="K283"/>
      <c r="L283"/>
      <c r="M283" s="16"/>
      <c r="N283" s="16"/>
      <c r="O283"/>
      <c r="P283"/>
      <c r="Q283"/>
      <c r="R283"/>
      <c r="S283"/>
      <c r="T283"/>
      <c r="U283"/>
      <c r="V283"/>
      <c r="W283" s="17"/>
    </row>
    <row r="284" spans="1:23">
      <c r="A284" s="125" t="s">
        <v>16</v>
      </c>
      <c r="B284" s="14" t="s">
        <v>4</v>
      </c>
      <c r="C284" s="127" t="s">
        <v>29</v>
      </c>
      <c r="D284" s="14" t="s">
        <v>22</v>
      </c>
      <c r="E284" s="129">
        <f>42028+(7*364+7)</f>
        <v>44583</v>
      </c>
      <c r="F284" s="15">
        <v>340.95</v>
      </c>
      <c r="G284" s="130">
        <v>11</v>
      </c>
      <c r="H284" s="123">
        <f t="shared" si="5"/>
        <v>3750.45</v>
      </c>
      <c r="I284" s="16"/>
      <c r="J284" s="16"/>
      <c r="K284"/>
      <c r="L284"/>
      <c r="M284" s="16"/>
      <c r="N284" s="16"/>
      <c r="O284"/>
      <c r="P284"/>
      <c r="Q284"/>
      <c r="R284"/>
      <c r="S284"/>
      <c r="T284"/>
      <c r="U284"/>
      <c r="V284"/>
      <c r="W284" s="17"/>
    </row>
    <row r="285" spans="1:23">
      <c r="A285" s="125" t="s">
        <v>25</v>
      </c>
      <c r="B285" s="14" t="s">
        <v>1</v>
      </c>
      <c r="C285" s="127" t="s">
        <v>32</v>
      </c>
      <c r="D285" s="14" t="s">
        <v>23</v>
      </c>
      <c r="E285" s="129">
        <f>42124+(7*364+7)</f>
        <v>44679</v>
      </c>
      <c r="F285" s="15">
        <v>79.989999999999995</v>
      </c>
      <c r="G285" s="130">
        <v>6</v>
      </c>
      <c r="H285" s="123">
        <f t="shared" si="5"/>
        <v>479.93999999999994</v>
      </c>
      <c r="I285" s="16"/>
      <c r="J285" s="16"/>
      <c r="K285"/>
      <c r="L285"/>
      <c r="M285" s="16"/>
      <c r="N285" s="16"/>
      <c r="O285"/>
      <c r="P285"/>
      <c r="Q285"/>
      <c r="R285"/>
      <c r="S285"/>
      <c r="T285"/>
      <c r="U285"/>
      <c r="V285"/>
      <c r="W285" s="17"/>
    </row>
    <row r="286" spans="1:23">
      <c r="A286" s="125" t="s">
        <v>25</v>
      </c>
      <c r="B286" s="14" t="s">
        <v>2</v>
      </c>
      <c r="C286" s="127" t="s">
        <v>32</v>
      </c>
      <c r="D286" s="14" t="s">
        <v>22</v>
      </c>
      <c r="E286" s="129">
        <f>42046+(7*364+7)</f>
        <v>44601</v>
      </c>
      <c r="F286" s="15">
        <v>340.95</v>
      </c>
      <c r="G286" s="130">
        <v>7</v>
      </c>
      <c r="H286" s="123">
        <f t="shared" si="5"/>
        <v>2386.65</v>
      </c>
      <c r="I286" s="16"/>
      <c r="J286" s="16"/>
      <c r="K286"/>
      <c r="L286"/>
      <c r="M286" s="16"/>
      <c r="N286" s="16"/>
      <c r="O286"/>
      <c r="P286"/>
      <c r="Q286"/>
      <c r="R286"/>
      <c r="S286"/>
      <c r="T286"/>
      <c r="U286"/>
      <c r="V286"/>
      <c r="W286" s="17"/>
    </row>
    <row r="287" spans="1:23">
      <c r="A287" s="125" t="s">
        <v>35</v>
      </c>
      <c r="B287" s="14" t="s">
        <v>0</v>
      </c>
      <c r="C287" s="127" t="s">
        <v>29</v>
      </c>
      <c r="D287" s="14" t="s">
        <v>22</v>
      </c>
      <c r="E287" s="129">
        <f>42136+(7*364+7)</f>
        <v>44691</v>
      </c>
      <c r="F287" s="15">
        <v>168.95</v>
      </c>
      <c r="G287" s="130">
        <v>14</v>
      </c>
      <c r="H287" s="123">
        <f t="shared" si="5"/>
        <v>2365.2999999999997</v>
      </c>
      <c r="I287" s="16"/>
      <c r="J287" s="16"/>
      <c r="K287"/>
      <c r="L287"/>
      <c r="M287" s="16"/>
      <c r="N287" s="16"/>
      <c r="O287"/>
      <c r="P287"/>
      <c r="Q287"/>
      <c r="R287"/>
      <c r="S287"/>
      <c r="T287"/>
      <c r="U287"/>
      <c r="V287"/>
      <c r="W287" s="17"/>
    </row>
    <row r="288" spans="1:23">
      <c r="A288" s="125" t="s">
        <v>7</v>
      </c>
      <c r="B288" s="14" t="s">
        <v>0</v>
      </c>
      <c r="C288" s="127" t="s">
        <v>27</v>
      </c>
      <c r="D288" s="14" t="s">
        <v>20</v>
      </c>
      <c r="E288" s="129">
        <f>41706+(7*364+7)</f>
        <v>44261</v>
      </c>
      <c r="F288" s="15">
        <v>168.95</v>
      </c>
      <c r="G288" s="130">
        <v>11</v>
      </c>
      <c r="H288" s="123">
        <f t="shared" si="5"/>
        <v>1858.4499999999998</v>
      </c>
      <c r="I288" s="16"/>
      <c r="J288" s="16"/>
      <c r="K288"/>
      <c r="L288"/>
      <c r="M288" s="16"/>
      <c r="N288" s="16"/>
      <c r="O288"/>
      <c r="P288"/>
      <c r="Q288"/>
      <c r="R288"/>
      <c r="S288"/>
      <c r="T288"/>
      <c r="U288"/>
      <c r="V288"/>
      <c r="W288" s="17"/>
    </row>
    <row r="289" spans="1:23">
      <c r="A289" s="125" t="s">
        <v>30</v>
      </c>
      <c r="B289" s="14" t="s">
        <v>0</v>
      </c>
      <c r="C289" s="127" t="s">
        <v>18</v>
      </c>
      <c r="D289" s="14" t="s">
        <v>21</v>
      </c>
      <c r="E289" s="129">
        <f>41965+(7*364+7)</f>
        <v>44520</v>
      </c>
      <c r="F289" s="15">
        <v>168.95</v>
      </c>
      <c r="G289" s="130">
        <v>3</v>
      </c>
      <c r="H289" s="123">
        <f t="shared" si="5"/>
        <v>506.84999999999997</v>
      </c>
      <c r="I289" s="16"/>
      <c r="J289" s="16"/>
      <c r="K289"/>
      <c r="L289"/>
      <c r="M289" s="16"/>
      <c r="N289" s="16"/>
      <c r="O289"/>
      <c r="P289"/>
      <c r="Q289"/>
      <c r="R289"/>
      <c r="S289"/>
      <c r="T289"/>
      <c r="U289"/>
      <c r="V289"/>
      <c r="W289" s="17"/>
    </row>
    <row r="290" spans="1:23">
      <c r="A290" s="125" t="s">
        <v>17</v>
      </c>
      <c r="B290" s="14" t="s">
        <v>0</v>
      </c>
      <c r="C290" s="127" t="s">
        <v>18</v>
      </c>
      <c r="D290" s="14" t="s">
        <v>19</v>
      </c>
      <c r="E290" s="129">
        <f>42190+(7*364+7)</f>
        <v>44745</v>
      </c>
      <c r="F290" s="15">
        <v>168.95</v>
      </c>
      <c r="G290" s="130">
        <v>8</v>
      </c>
      <c r="H290" s="123">
        <f t="shared" si="5"/>
        <v>1351.6</v>
      </c>
      <c r="I290" s="16"/>
      <c r="J290" s="16"/>
      <c r="K290"/>
      <c r="L290"/>
      <c r="M290" s="16"/>
      <c r="N290" s="16"/>
      <c r="O290"/>
      <c r="P290"/>
      <c r="Q290"/>
      <c r="R290"/>
      <c r="S290"/>
      <c r="T290"/>
      <c r="U290"/>
      <c r="V290"/>
      <c r="W290" s="17"/>
    </row>
    <row r="291" spans="1:23">
      <c r="A291" s="125" t="s">
        <v>7</v>
      </c>
      <c r="B291" s="14" t="s">
        <v>0</v>
      </c>
      <c r="C291" s="127" t="s">
        <v>27</v>
      </c>
      <c r="D291" s="14" t="s">
        <v>22</v>
      </c>
      <c r="E291" s="129">
        <f>42014+(7*364+7)</f>
        <v>44569</v>
      </c>
      <c r="F291" s="15">
        <v>168.95</v>
      </c>
      <c r="G291" s="130">
        <v>6</v>
      </c>
      <c r="H291" s="123">
        <f t="shared" si="5"/>
        <v>1013.6999999999999</v>
      </c>
      <c r="I291" s="16"/>
      <c r="J291" s="16"/>
      <c r="K291"/>
      <c r="L291"/>
      <c r="M291" s="16"/>
      <c r="N291" s="16"/>
      <c r="O291"/>
      <c r="P291"/>
      <c r="Q291"/>
      <c r="R291"/>
      <c r="S291"/>
      <c r="T291"/>
      <c r="U291"/>
      <c r="V291"/>
      <c r="W291" s="17"/>
    </row>
    <row r="292" spans="1:23">
      <c r="A292" s="125" t="s">
        <v>26</v>
      </c>
      <c r="B292" s="14" t="s">
        <v>0</v>
      </c>
      <c r="C292" s="127" t="s">
        <v>27</v>
      </c>
      <c r="D292" s="14" t="s">
        <v>19</v>
      </c>
      <c r="E292" s="129">
        <f>42015+(7*364+7)</f>
        <v>44570</v>
      </c>
      <c r="F292" s="15">
        <v>168.95</v>
      </c>
      <c r="G292" s="130">
        <v>6</v>
      </c>
      <c r="H292" s="123">
        <f t="shared" si="5"/>
        <v>1013.6999999999999</v>
      </c>
      <c r="I292" s="16"/>
      <c r="J292" s="16"/>
      <c r="K292"/>
      <c r="L292"/>
      <c r="M292" s="16"/>
      <c r="N292" s="16"/>
      <c r="O292"/>
      <c r="P292"/>
      <c r="Q292"/>
      <c r="R292"/>
      <c r="S292"/>
      <c r="T292"/>
      <c r="U292"/>
      <c r="V292"/>
      <c r="W292" s="17"/>
    </row>
    <row r="293" spans="1:23">
      <c r="A293" s="125" t="s">
        <v>31</v>
      </c>
      <c r="B293" s="14" t="s">
        <v>1</v>
      </c>
      <c r="C293" s="127" t="s">
        <v>32</v>
      </c>
      <c r="D293" s="14" t="s">
        <v>19</v>
      </c>
      <c r="E293" s="129">
        <f>41662+(7*364+7)</f>
        <v>44217</v>
      </c>
      <c r="F293" s="15">
        <v>79.989999999999995</v>
      </c>
      <c r="G293" s="130">
        <v>20</v>
      </c>
      <c r="H293" s="123">
        <f t="shared" si="5"/>
        <v>1599.8</v>
      </c>
      <c r="I293" s="16"/>
      <c r="J293" s="16"/>
      <c r="K293"/>
      <c r="L293"/>
      <c r="M293" s="16"/>
      <c r="N293" s="16"/>
      <c r="O293"/>
      <c r="P293"/>
      <c r="Q293"/>
      <c r="R293"/>
      <c r="S293"/>
      <c r="T293"/>
      <c r="U293"/>
      <c r="V293"/>
      <c r="W293" s="17"/>
    </row>
    <row r="294" spans="1:23">
      <c r="A294" s="125" t="s">
        <v>6</v>
      </c>
      <c r="B294" s="14" t="s">
        <v>3</v>
      </c>
      <c r="C294" s="127" t="s">
        <v>18</v>
      </c>
      <c r="D294" s="14" t="s">
        <v>21</v>
      </c>
      <c r="E294" s="129">
        <f>42265+(7*364+7)</f>
        <v>44820</v>
      </c>
      <c r="F294" s="15">
        <v>799.95</v>
      </c>
      <c r="G294" s="130">
        <v>9</v>
      </c>
      <c r="H294" s="123">
        <f t="shared" si="5"/>
        <v>7199.55</v>
      </c>
      <c r="I294" s="16"/>
      <c r="J294" s="16"/>
      <c r="K294"/>
      <c r="L294"/>
      <c r="M294" s="16"/>
      <c r="N294" s="16"/>
      <c r="O294"/>
      <c r="P294"/>
      <c r="Q294"/>
      <c r="R294"/>
      <c r="S294"/>
      <c r="T294"/>
      <c r="U294"/>
      <c r="V294"/>
      <c r="W294" s="17"/>
    </row>
    <row r="295" spans="1:23">
      <c r="A295" s="125" t="s">
        <v>6</v>
      </c>
      <c r="B295" s="14" t="s">
        <v>3</v>
      </c>
      <c r="C295" s="127" t="s">
        <v>18</v>
      </c>
      <c r="D295" s="14" t="s">
        <v>19</v>
      </c>
      <c r="E295" s="129">
        <f>42155+(7*364+7)</f>
        <v>44710</v>
      </c>
      <c r="F295" s="15">
        <v>799.95</v>
      </c>
      <c r="G295" s="130">
        <v>8</v>
      </c>
      <c r="H295" s="123">
        <f t="shared" si="5"/>
        <v>6399.6</v>
      </c>
      <c r="I295" s="16"/>
      <c r="J295" s="16"/>
      <c r="K295"/>
      <c r="L295"/>
      <c r="M295" s="16"/>
      <c r="N295" s="16"/>
      <c r="O295"/>
      <c r="P295"/>
      <c r="Q295"/>
      <c r="R295"/>
      <c r="S295"/>
      <c r="T295"/>
      <c r="U295"/>
      <c r="V295"/>
      <c r="W295" s="17"/>
    </row>
    <row r="296" spans="1:23">
      <c r="A296" s="125" t="s">
        <v>16</v>
      </c>
      <c r="B296" s="14" t="s">
        <v>3</v>
      </c>
      <c r="C296" s="127" t="s">
        <v>29</v>
      </c>
      <c r="D296" s="14" t="s">
        <v>21</v>
      </c>
      <c r="E296" s="129">
        <f>42155+(7*364+7)</f>
        <v>44710</v>
      </c>
      <c r="F296" s="15">
        <v>799.95</v>
      </c>
      <c r="G296" s="130">
        <v>12</v>
      </c>
      <c r="H296" s="123">
        <f t="shared" si="5"/>
        <v>9599.4000000000015</v>
      </c>
      <c r="I296" s="16"/>
      <c r="J296" s="16"/>
      <c r="K296"/>
      <c r="L296"/>
      <c r="M296" s="16"/>
      <c r="N296" s="16"/>
      <c r="O296"/>
      <c r="P296"/>
      <c r="Q296"/>
      <c r="R296"/>
      <c r="S296"/>
      <c r="T296"/>
      <c r="U296"/>
      <c r="V296"/>
      <c r="W296" s="17"/>
    </row>
    <row r="297" spans="1:23">
      <c r="A297" s="125" t="s">
        <v>16</v>
      </c>
      <c r="B297" s="14" t="s">
        <v>3</v>
      </c>
      <c r="C297" s="127" t="s">
        <v>29</v>
      </c>
      <c r="D297" s="14" t="s">
        <v>23</v>
      </c>
      <c r="E297" s="129">
        <f>42196+(7*364+7)</f>
        <v>44751</v>
      </c>
      <c r="F297" s="15">
        <v>799.95</v>
      </c>
      <c r="G297" s="130">
        <v>7</v>
      </c>
      <c r="H297" s="123">
        <f t="shared" si="5"/>
        <v>5599.6500000000005</v>
      </c>
      <c r="I297" s="16"/>
      <c r="J297" s="16"/>
      <c r="K297"/>
      <c r="L297"/>
      <c r="M297" s="16"/>
      <c r="N297" s="16"/>
      <c r="O297"/>
      <c r="P297"/>
      <c r="Q297"/>
      <c r="R297"/>
      <c r="S297"/>
      <c r="T297"/>
      <c r="U297"/>
      <c r="V297"/>
      <c r="W297" s="17"/>
    </row>
    <row r="298" spans="1:23">
      <c r="A298" s="125" t="s">
        <v>16</v>
      </c>
      <c r="B298" s="14" t="s">
        <v>1</v>
      </c>
      <c r="C298" s="127" t="s">
        <v>29</v>
      </c>
      <c r="D298" s="14" t="s">
        <v>20</v>
      </c>
      <c r="E298" s="129">
        <f>41646+(7*364+7)</f>
        <v>44201</v>
      </c>
      <c r="F298" s="15">
        <v>79.989999999999995</v>
      </c>
      <c r="G298" s="130">
        <v>7</v>
      </c>
      <c r="H298" s="123">
        <f t="shared" si="5"/>
        <v>559.92999999999995</v>
      </c>
      <c r="I298" s="16"/>
      <c r="J298" s="16"/>
      <c r="K298"/>
      <c r="L298"/>
      <c r="M298" s="16"/>
      <c r="N298" s="16"/>
      <c r="O298"/>
      <c r="P298"/>
      <c r="Q298"/>
      <c r="R298"/>
      <c r="S298"/>
      <c r="T298"/>
      <c r="U298"/>
      <c r="V298"/>
      <c r="W298" s="17"/>
    </row>
    <row r="299" spans="1:23">
      <c r="A299" s="125" t="s">
        <v>6</v>
      </c>
      <c r="B299" s="14" t="s">
        <v>4</v>
      </c>
      <c r="C299" s="127" t="s">
        <v>18</v>
      </c>
      <c r="D299" s="14" t="s">
        <v>22</v>
      </c>
      <c r="E299" s="129">
        <f>41752+(7*364+7)</f>
        <v>44307</v>
      </c>
      <c r="F299" s="15">
        <v>340.95</v>
      </c>
      <c r="G299" s="130">
        <v>1</v>
      </c>
      <c r="H299" s="123">
        <f t="shared" si="5"/>
        <v>340.95</v>
      </c>
      <c r="I299" s="16"/>
      <c r="J299" s="16"/>
      <c r="K299"/>
      <c r="L299"/>
      <c r="M299" s="16"/>
      <c r="N299" s="16"/>
      <c r="O299"/>
      <c r="P299"/>
      <c r="Q299"/>
      <c r="R299"/>
      <c r="S299"/>
      <c r="T299"/>
      <c r="U299"/>
      <c r="V299"/>
      <c r="W299" s="17"/>
    </row>
    <row r="300" spans="1:23">
      <c r="A300" s="125" t="s">
        <v>25</v>
      </c>
      <c r="B300" s="14" t="s">
        <v>1</v>
      </c>
      <c r="C300" s="127" t="s">
        <v>32</v>
      </c>
      <c r="D300" s="14" t="s">
        <v>19</v>
      </c>
      <c r="E300" s="129">
        <f>41752+(7*364+7)</f>
        <v>44307</v>
      </c>
      <c r="F300" s="15">
        <v>79.989999999999995</v>
      </c>
      <c r="G300" s="130">
        <v>11</v>
      </c>
      <c r="H300" s="123">
        <f t="shared" si="5"/>
        <v>879.89</v>
      </c>
      <c r="I300" s="16"/>
      <c r="J300" s="16"/>
      <c r="K300"/>
      <c r="L300"/>
      <c r="M300" s="16"/>
      <c r="N300" s="16"/>
      <c r="O300"/>
      <c r="P300"/>
      <c r="Q300"/>
      <c r="R300"/>
      <c r="S300"/>
      <c r="T300"/>
      <c r="U300"/>
      <c r="V300"/>
      <c r="W300" s="17"/>
    </row>
    <row r="301" spans="1:23">
      <c r="A301" s="125" t="s">
        <v>34</v>
      </c>
      <c r="B301" s="14" t="s">
        <v>4</v>
      </c>
      <c r="C301" s="127" t="s">
        <v>32</v>
      </c>
      <c r="D301" s="14" t="s">
        <v>23</v>
      </c>
      <c r="E301" s="129">
        <f>41663+(7*364+7)</f>
        <v>44218</v>
      </c>
      <c r="F301" s="15">
        <v>340.95</v>
      </c>
      <c r="G301" s="130">
        <v>8</v>
      </c>
      <c r="H301" s="123">
        <f t="shared" si="5"/>
        <v>2727.6</v>
      </c>
      <c r="I301" s="16"/>
      <c r="J301" s="16"/>
      <c r="K301"/>
      <c r="L301"/>
      <c r="M301" s="16"/>
      <c r="N301" s="16"/>
      <c r="O301"/>
      <c r="P301"/>
      <c r="Q301"/>
      <c r="R301"/>
      <c r="S301"/>
      <c r="T301"/>
      <c r="U301"/>
      <c r="V301"/>
      <c r="W301" s="17"/>
    </row>
    <row r="302" spans="1:23">
      <c r="A302" s="125" t="s">
        <v>7</v>
      </c>
      <c r="B302" s="14" t="s">
        <v>4</v>
      </c>
      <c r="C302" s="127" t="s">
        <v>27</v>
      </c>
      <c r="D302" s="14" t="s">
        <v>19</v>
      </c>
      <c r="E302" s="129">
        <f>42343+(7*364+7)</f>
        <v>44898</v>
      </c>
      <c r="F302" s="15">
        <v>340.95</v>
      </c>
      <c r="G302" s="130">
        <v>13</v>
      </c>
      <c r="H302" s="123">
        <f t="shared" si="5"/>
        <v>4432.3499999999995</v>
      </c>
      <c r="I302" s="16"/>
      <c r="J302" s="16"/>
      <c r="K302"/>
      <c r="L302"/>
      <c r="M302" s="16"/>
      <c r="N302" s="16"/>
      <c r="O302"/>
      <c r="P302"/>
      <c r="Q302"/>
      <c r="R302"/>
      <c r="S302"/>
      <c r="T302"/>
      <c r="U302"/>
      <c r="V302"/>
      <c r="W302" s="17"/>
    </row>
    <row r="303" spans="1:23">
      <c r="A303" s="125" t="s">
        <v>6</v>
      </c>
      <c r="B303" s="14" t="s">
        <v>1</v>
      </c>
      <c r="C303" s="127" t="s">
        <v>18</v>
      </c>
      <c r="D303" s="14" t="s">
        <v>19</v>
      </c>
      <c r="E303" s="129">
        <f>41818+(7*364+7)</f>
        <v>44373</v>
      </c>
      <c r="F303" s="15">
        <v>79.989999999999995</v>
      </c>
      <c r="G303" s="130">
        <v>12</v>
      </c>
      <c r="H303" s="123">
        <f t="shared" si="5"/>
        <v>959.87999999999988</v>
      </c>
      <c r="I303" s="16"/>
      <c r="J303" s="16"/>
      <c r="K303"/>
      <c r="L303"/>
      <c r="M303" s="16"/>
      <c r="N303" s="16"/>
      <c r="O303"/>
      <c r="P303"/>
      <c r="Q303"/>
      <c r="R303"/>
      <c r="S303"/>
      <c r="T303"/>
      <c r="U303"/>
      <c r="V303"/>
      <c r="W303" s="17"/>
    </row>
    <row r="304" spans="1:23">
      <c r="A304" s="125" t="s">
        <v>34</v>
      </c>
      <c r="B304" s="14" t="s">
        <v>3</v>
      </c>
      <c r="C304" s="127" t="s">
        <v>32</v>
      </c>
      <c r="D304" s="14" t="s">
        <v>23</v>
      </c>
      <c r="E304" s="129">
        <f>41899+(7*364+7)</f>
        <v>44454</v>
      </c>
      <c r="F304" s="15">
        <v>799.95</v>
      </c>
      <c r="G304" s="130">
        <v>10</v>
      </c>
      <c r="H304" s="123">
        <f t="shared" si="5"/>
        <v>7999.5</v>
      </c>
      <c r="I304" s="16"/>
      <c r="J304" s="16"/>
      <c r="K304"/>
      <c r="L304"/>
      <c r="M304" s="16"/>
      <c r="N304" s="16"/>
      <c r="O304"/>
      <c r="P304"/>
      <c r="Q304"/>
      <c r="R304"/>
      <c r="S304"/>
      <c r="T304"/>
      <c r="U304"/>
      <c r="V304"/>
      <c r="W304" s="17"/>
    </row>
    <row r="305" spans="1:23">
      <c r="A305" s="125" t="s">
        <v>33</v>
      </c>
      <c r="B305" s="14" t="s">
        <v>2</v>
      </c>
      <c r="C305" s="127" t="s">
        <v>18</v>
      </c>
      <c r="D305" s="14" t="s">
        <v>22</v>
      </c>
      <c r="E305" s="129">
        <f>41990+(7*364+7)</f>
        <v>44545</v>
      </c>
      <c r="F305" s="15">
        <v>340.95</v>
      </c>
      <c r="G305" s="130">
        <v>2</v>
      </c>
      <c r="H305" s="123">
        <f t="shared" si="5"/>
        <v>681.9</v>
      </c>
      <c r="I305" s="16"/>
      <c r="J305" s="16"/>
      <c r="K305"/>
      <c r="L305"/>
      <c r="M305" s="16"/>
      <c r="N305" s="16"/>
      <c r="O305"/>
      <c r="P305"/>
      <c r="Q305"/>
      <c r="R305"/>
      <c r="S305"/>
      <c r="T305"/>
      <c r="U305"/>
      <c r="V305"/>
      <c r="W305" s="17"/>
    </row>
    <row r="306" spans="1:23">
      <c r="A306" s="125" t="s">
        <v>33</v>
      </c>
      <c r="B306" s="14" t="s">
        <v>3</v>
      </c>
      <c r="C306" s="127" t="s">
        <v>18</v>
      </c>
      <c r="D306" s="14" t="s">
        <v>19</v>
      </c>
      <c r="E306" s="129">
        <f>41815+(7*364+7)</f>
        <v>44370</v>
      </c>
      <c r="F306" s="15">
        <v>799.95</v>
      </c>
      <c r="G306" s="130">
        <v>19</v>
      </c>
      <c r="H306" s="123">
        <f t="shared" si="5"/>
        <v>15199.050000000001</v>
      </c>
      <c r="I306" s="16"/>
      <c r="J306" s="16"/>
      <c r="K306"/>
      <c r="L306"/>
      <c r="M306" s="16"/>
      <c r="N306" s="16"/>
      <c r="O306"/>
      <c r="P306"/>
      <c r="Q306"/>
      <c r="R306"/>
      <c r="S306"/>
      <c r="T306"/>
      <c r="U306"/>
      <c r="V306"/>
      <c r="W306" s="17"/>
    </row>
    <row r="307" spans="1:23">
      <c r="A307" s="125" t="s">
        <v>16</v>
      </c>
      <c r="B307" s="14" t="s">
        <v>2</v>
      </c>
      <c r="C307" s="127" t="s">
        <v>29</v>
      </c>
      <c r="D307" s="14" t="s">
        <v>19</v>
      </c>
      <c r="E307" s="129">
        <f>41654+(7*364+7)</f>
        <v>44209</v>
      </c>
      <c r="F307" s="15">
        <v>340.95</v>
      </c>
      <c r="G307" s="130">
        <v>7</v>
      </c>
      <c r="H307" s="123">
        <f t="shared" si="5"/>
        <v>2386.65</v>
      </c>
      <c r="I307" s="16"/>
      <c r="J307" s="16"/>
      <c r="K307"/>
      <c r="L307"/>
      <c r="M307" s="16"/>
      <c r="N307" s="16"/>
      <c r="O307"/>
      <c r="P307"/>
      <c r="Q307"/>
      <c r="R307"/>
      <c r="S307"/>
      <c r="T307"/>
      <c r="U307"/>
      <c r="V307"/>
      <c r="W307" s="17"/>
    </row>
    <row r="308" spans="1:23">
      <c r="A308" s="125" t="s">
        <v>28</v>
      </c>
      <c r="B308" s="14" t="s">
        <v>0</v>
      </c>
      <c r="C308" s="127" t="s">
        <v>32</v>
      </c>
      <c r="D308" s="14" t="s">
        <v>19</v>
      </c>
      <c r="E308" s="129">
        <f>41784+(7*364+7)</f>
        <v>44339</v>
      </c>
      <c r="F308" s="15">
        <v>168.95</v>
      </c>
      <c r="G308" s="130">
        <v>9</v>
      </c>
      <c r="H308" s="123">
        <f t="shared" si="5"/>
        <v>1520.55</v>
      </c>
      <c r="I308" s="16"/>
      <c r="J308" s="16"/>
      <c r="K308"/>
      <c r="L308"/>
      <c r="M308" s="16"/>
      <c r="N308" s="16"/>
      <c r="O308"/>
      <c r="P308"/>
      <c r="Q308"/>
      <c r="R308"/>
      <c r="S308"/>
      <c r="T308"/>
      <c r="U308"/>
      <c r="V308"/>
      <c r="W308" s="17"/>
    </row>
    <row r="309" spans="1:23">
      <c r="A309" s="125" t="s">
        <v>6</v>
      </c>
      <c r="B309" s="14" t="s">
        <v>2</v>
      </c>
      <c r="C309" s="127" t="s">
        <v>29</v>
      </c>
      <c r="D309" s="14" t="s">
        <v>22</v>
      </c>
      <c r="E309" s="129">
        <f>42013+(7*364+7)</f>
        <v>44568</v>
      </c>
      <c r="F309" s="15">
        <v>340.95</v>
      </c>
      <c r="G309" s="130">
        <v>7</v>
      </c>
      <c r="H309" s="123">
        <f t="shared" si="5"/>
        <v>2386.65</v>
      </c>
      <c r="I309" s="16"/>
      <c r="J309" s="16"/>
      <c r="K309"/>
      <c r="L309"/>
      <c r="M309" s="16"/>
      <c r="N309" s="16"/>
      <c r="O309"/>
      <c r="P309"/>
      <c r="Q309"/>
      <c r="R309"/>
      <c r="S309"/>
      <c r="T309"/>
      <c r="U309"/>
      <c r="V309"/>
      <c r="W309" s="17"/>
    </row>
    <row r="310" spans="1:23">
      <c r="A310" s="125" t="s">
        <v>26</v>
      </c>
      <c r="B310" s="14" t="s">
        <v>4</v>
      </c>
      <c r="C310" s="127" t="s">
        <v>27</v>
      </c>
      <c r="D310" s="14" t="s">
        <v>23</v>
      </c>
      <c r="E310" s="129">
        <f>41645+(7*364+7)</f>
        <v>44200</v>
      </c>
      <c r="F310" s="15">
        <v>340.95</v>
      </c>
      <c r="G310" s="130">
        <v>2</v>
      </c>
      <c r="H310" s="123">
        <f t="shared" si="5"/>
        <v>681.9</v>
      </c>
      <c r="I310" s="16"/>
      <c r="J310" s="16"/>
      <c r="K310"/>
      <c r="L310"/>
      <c r="M310" s="16"/>
      <c r="N310" s="16"/>
      <c r="O310"/>
      <c r="P310"/>
      <c r="Q310"/>
      <c r="R310"/>
      <c r="S310"/>
      <c r="T310"/>
      <c r="U310"/>
      <c r="V310"/>
      <c r="W310" s="17"/>
    </row>
    <row r="311" spans="1:23">
      <c r="A311" s="125" t="s">
        <v>17</v>
      </c>
      <c r="B311" s="14" t="s">
        <v>3</v>
      </c>
      <c r="C311" s="127" t="s">
        <v>18</v>
      </c>
      <c r="D311" s="14" t="s">
        <v>20</v>
      </c>
      <c r="E311" s="129">
        <f>42025+(7*364+7)</f>
        <v>44580</v>
      </c>
      <c r="F311" s="15">
        <v>799.95</v>
      </c>
      <c r="G311" s="130">
        <v>3</v>
      </c>
      <c r="H311" s="123">
        <f t="shared" si="5"/>
        <v>2399.8500000000004</v>
      </c>
      <c r="I311" s="16"/>
      <c r="J311" s="16"/>
      <c r="K311"/>
      <c r="L311"/>
      <c r="M311" s="16"/>
      <c r="N311" s="16"/>
      <c r="O311"/>
      <c r="P311"/>
      <c r="Q311"/>
      <c r="R311"/>
      <c r="S311"/>
      <c r="T311"/>
      <c r="U311"/>
      <c r="V311"/>
      <c r="W311" s="17"/>
    </row>
    <row r="312" spans="1:23">
      <c r="A312" s="125" t="s">
        <v>16</v>
      </c>
      <c r="B312" s="14" t="s">
        <v>0</v>
      </c>
      <c r="C312" s="127" t="s">
        <v>29</v>
      </c>
      <c r="D312" s="14" t="s">
        <v>20</v>
      </c>
      <c r="E312" s="129">
        <f>41933+(7*364+7)</f>
        <v>44488</v>
      </c>
      <c r="F312" s="15">
        <v>168.95</v>
      </c>
      <c r="G312" s="130">
        <v>7</v>
      </c>
      <c r="H312" s="123">
        <f t="shared" si="5"/>
        <v>1182.6499999999999</v>
      </c>
      <c r="I312" s="16"/>
      <c r="J312" s="16"/>
      <c r="K312"/>
      <c r="L312"/>
      <c r="M312" s="16"/>
      <c r="N312" s="16"/>
      <c r="O312"/>
      <c r="P312"/>
      <c r="Q312"/>
      <c r="R312"/>
      <c r="S312"/>
      <c r="T312"/>
      <c r="U312"/>
      <c r="V312"/>
      <c r="W312" s="17"/>
    </row>
    <row r="313" spans="1:23">
      <c r="A313" s="125" t="s">
        <v>33</v>
      </c>
      <c r="B313" s="14" t="s">
        <v>0</v>
      </c>
      <c r="C313" s="127" t="s">
        <v>18</v>
      </c>
      <c r="D313" s="14" t="s">
        <v>23</v>
      </c>
      <c r="E313" s="129">
        <f>42090+(7*364+7)</f>
        <v>44645</v>
      </c>
      <c r="F313" s="15">
        <v>168.95</v>
      </c>
      <c r="G313" s="130">
        <v>9</v>
      </c>
      <c r="H313" s="123">
        <f t="shared" si="5"/>
        <v>1520.55</v>
      </c>
      <c r="I313" s="16"/>
      <c r="J313" s="16"/>
      <c r="K313"/>
      <c r="L313"/>
      <c r="M313" s="16"/>
      <c r="N313" s="16"/>
      <c r="O313"/>
      <c r="P313"/>
      <c r="Q313"/>
      <c r="R313"/>
      <c r="S313"/>
      <c r="T313"/>
      <c r="U313"/>
      <c r="V313"/>
      <c r="W313" s="17"/>
    </row>
    <row r="314" spans="1:23">
      <c r="A314" s="125" t="s">
        <v>17</v>
      </c>
      <c r="B314" s="14" t="s">
        <v>4</v>
      </c>
      <c r="C314" s="127" t="s">
        <v>18</v>
      </c>
      <c r="D314" s="14" t="s">
        <v>21</v>
      </c>
      <c r="E314" s="129">
        <f>42271+(7*364+7)</f>
        <v>44826</v>
      </c>
      <c r="F314" s="15">
        <v>340.95</v>
      </c>
      <c r="G314" s="130">
        <v>10</v>
      </c>
      <c r="H314" s="123">
        <f t="shared" si="5"/>
        <v>3409.5</v>
      </c>
      <c r="I314" s="16"/>
      <c r="J314" s="16"/>
      <c r="K314"/>
      <c r="L314"/>
      <c r="M314" s="16"/>
      <c r="N314" s="16"/>
      <c r="O314"/>
      <c r="P314"/>
      <c r="Q314"/>
      <c r="R314"/>
      <c r="S314"/>
      <c r="T314"/>
      <c r="U314"/>
      <c r="V314"/>
      <c r="W314" s="17"/>
    </row>
    <row r="315" spans="1:23">
      <c r="A315" s="125" t="s">
        <v>6</v>
      </c>
      <c r="B315" s="14" t="s">
        <v>0</v>
      </c>
      <c r="C315" s="127" t="s">
        <v>18</v>
      </c>
      <c r="D315" s="14" t="s">
        <v>23</v>
      </c>
      <c r="E315" s="129">
        <f>42150+(7*364+7)</f>
        <v>44705</v>
      </c>
      <c r="F315" s="15">
        <v>168.95</v>
      </c>
      <c r="G315" s="130">
        <v>13</v>
      </c>
      <c r="H315" s="123">
        <f t="shared" si="5"/>
        <v>2196.35</v>
      </c>
      <c r="I315" s="16"/>
      <c r="J315" s="16"/>
      <c r="K315"/>
      <c r="L315"/>
      <c r="M315" s="16"/>
      <c r="N315" s="16"/>
      <c r="O315"/>
      <c r="P315"/>
      <c r="Q315"/>
      <c r="R315"/>
      <c r="S315"/>
      <c r="T315"/>
      <c r="U315"/>
      <c r="V315"/>
      <c r="W315" s="17"/>
    </row>
    <row r="316" spans="1:23">
      <c r="A316" s="125" t="s">
        <v>17</v>
      </c>
      <c r="B316" s="14" t="s">
        <v>0</v>
      </c>
      <c r="C316" s="127" t="s">
        <v>18</v>
      </c>
      <c r="D316" s="14" t="s">
        <v>21</v>
      </c>
      <c r="E316" s="129">
        <f>42040+(7*364+7)</f>
        <v>44595</v>
      </c>
      <c r="F316" s="15">
        <v>168.95</v>
      </c>
      <c r="G316" s="130">
        <v>6</v>
      </c>
      <c r="H316" s="123">
        <f t="shared" si="5"/>
        <v>1013.6999999999999</v>
      </c>
      <c r="I316" s="16"/>
      <c r="J316" s="16"/>
      <c r="K316"/>
      <c r="L316"/>
      <c r="M316" s="16"/>
      <c r="N316" s="16"/>
      <c r="O316"/>
      <c r="P316"/>
      <c r="Q316"/>
      <c r="R316"/>
      <c r="S316"/>
      <c r="T316"/>
      <c r="U316"/>
      <c r="V316"/>
      <c r="W316" s="17"/>
    </row>
    <row r="317" spans="1:23">
      <c r="A317" s="125" t="s">
        <v>35</v>
      </c>
      <c r="B317" s="14" t="s">
        <v>2</v>
      </c>
      <c r="C317" s="127" t="s">
        <v>29</v>
      </c>
      <c r="D317" s="14" t="s">
        <v>20</v>
      </c>
      <c r="E317" s="129">
        <f>41805+(7*364+7)</f>
        <v>44360</v>
      </c>
      <c r="F317" s="15">
        <v>340.95</v>
      </c>
      <c r="G317" s="130">
        <v>6</v>
      </c>
      <c r="H317" s="123">
        <f t="shared" si="5"/>
        <v>2045.6999999999998</v>
      </c>
      <c r="I317" s="16"/>
      <c r="J317" s="16"/>
      <c r="K317"/>
      <c r="L317"/>
      <c r="M317" s="16"/>
      <c r="N317" s="16"/>
      <c r="O317"/>
      <c r="P317"/>
      <c r="Q317"/>
      <c r="R317"/>
      <c r="S317"/>
      <c r="T317"/>
      <c r="U317"/>
      <c r="V317"/>
      <c r="W317" s="17"/>
    </row>
    <row r="318" spans="1:23">
      <c r="A318" s="125" t="s">
        <v>25</v>
      </c>
      <c r="B318" s="14" t="s">
        <v>4</v>
      </c>
      <c r="C318" s="127" t="s">
        <v>32</v>
      </c>
      <c r="D318" s="14" t="s">
        <v>20</v>
      </c>
      <c r="E318" s="129">
        <f>41870+(7*364+7)</f>
        <v>44425</v>
      </c>
      <c r="F318" s="15">
        <v>340.95</v>
      </c>
      <c r="G318" s="130">
        <v>3</v>
      </c>
      <c r="H318" s="123">
        <f t="shared" si="5"/>
        <v>1022.8499999999999</v>
      </c>
      <c r="I318" s="16"/>
      <c r="J318" s="16"/>
      <c r="K318"/>
      <c r="L318"/>
      <c r="M318" s="16"/>
      <c r="N318" s="16"/>
      <c r="O318"/>
      <c r="P318"/>
      <c r="Q318"/>
      <c r="R318"/>
      <c r="S318"/>
      <c r="T318"/>
      <c r="U318"/>
      <c r="V318"/>
      <c r="W318" s="17"/>
    </row>
    <row r="319" spans="1:23">
      <c r="A319" s="125" t="s">
        <v>16</v>
      </c>
      <c r="B319" s="14" t="s">
        <v>2</v>
      </c>
      <c r="C319" s="127" t="s">
        <v>29</v>
      </c>
      <c r="D319" s="14" t="s">
        <v>21</v>
      </c>
      <c r="E319" s="129">
        <f>42040+(7*364+7)</f>
        <v>44595</v>
      </c>
      <c r="F319" s="15">
        <v>340.95</v>
      </c>
      <c r="G319" s="130">
        <v>9</v>
      </c>
      <c r="H319" s="123">
        <f t="shared" si="5"/>
        <v>3068.5499999999997</v>
      </c>
      <c r="I319" s="16"/>
      <c r="J319" s="16"/>
      <c r="K319"/>
      <c r="L319"/>
      <c r="M319" s="16"/>
      <c r="N319" s="16"/>
      <c r="O319"/>
      <c r="P319"/>
      <c r="Q319"/>
      <c r="R319"/>
      <c r="S319"/>
      <c r="T319"/>
      <c r="U319"/>
      <c r="V319"/>
      <c r="W319" s="17"/>
    </row>
    <row r="320" spans="1:23">
      <c r="A320" s="125" t="s">
        <v>34</v>
      </c>
      <c r="B320" s="14" t="s">
        <v>3</v>
      </c>
      <c r="C320" s="127" t="s">
        <v>32</v>
      </c>
      <c r="D320" s="14" t="s">
        <v>23</v>
      </c>
      <c r="E320" s="129">
        <f>41671+(7*364+7)</f>
        <v>44226</v>
      </c>
      <c r="F320" s="15">
        <v>799.95</v>
      </c>
      <c r="G320" s="130">
        <v>7</v>
      </c>
      <c r="H320" s="123">
        <f t="shared" si="5"/>
        <v>5599.6500000000005</v>
      </c>
      <c r="I320" s="16"/>
      <c r="J320" s="16"/>
      <c r="K320"/>
      <c r="L320"/>
      <c r="M320" s="16"/>
      <c r="N320" s="16"/>
      <c r="O320"/>
      <c r="P320"/>
      <c r="Q320"/>
      <c r="R320"/>
      <c r="S320"/>
      <c r="T320"/>
      <c r="U320"/>
      <c r="V320"/>
      <c r="W320" s="17"/>
    </row>
    <row r="321" spans="1:23">
      <c r="A321" s="125" t="s">
        <v>6</v>
      </c>
      <c r="B321" s="14" t="s">
        <v>1</v>
      </c>
      <c r="C321" s="127" t="s">
        <v>18</v>
      </c>
      <c r="D321" s="14" t="s">
        <v>22</v>
      </c>
      <c r="E321" s="129">
        <f>41997+(7*364+7)</f>
        <v>44552</v>
      </c>
      <c r="F321" s="15">
        <v>79.989999999999995</v>
      </c>
      <c r="G321" s="130">
        <v>3</v>
      </c>
      <c r="H321" s="123">
        <f t="shared" si="5"/>
        <v>239.96999999999997</v>
      </c>
      <c r="I321" s="16"/>
      <c r="J321" s="16"/>
      <c r="K321"/>
      <c r="L321"/>
      <c r="M321" s="16"/>
      <c r="N321" s="16"/>
      <c r="O321"/>
      <c r="P321"/>
      <c r="Q321"/>
      <c r="R321"/>
      <c r="S321"/>
      <c r="T321"/>
      <c r="U321"/>
      <c r="V321"/>
      <c r="W321" s="17"/>
    </row>
    <row r="322" spans="1:23">
      <c r="A322" s="125" t="s">
        <v>26</v>
      </c>
      <c r="B322" s="14" t="s">
        <v>0</v>
      </c>
      <c r="C322" s="127" t="s">
        <v>27</v>
      </c>
      <c r="D322" s="14" t="s">
        <v>20</v>
      </c>
      <c r="E322" s="129">
        <f>41647+(7*364+7)</f>
        <v>44202</v>
      </c>
      <c r="F322" s="15">
        <v>168.95</v>
      </c>
      <c r="G322" s="130">
        <v>3</v>
      </c>
      <c r="H322" s="123">
        <f t="shared" si="5"/>
        <v>506.84999999999997</v>
      </c>
      <c r="I322" s="16"/>
      <c r="J322" s="16"/>
      <c r="K322"/>
      <c r="L322"/>
      <c r="M322" s="16"/>
      <c r="N322" s="16"/>
      <c r="O322"/>
      <c r="P322"/>
      <c r="Q322"/>
      <c r="R322"/>
      <c r="S322"/>
      <c r="T322"/>
      <c r="U322"/>
      <c r="V322"/>
      <c r="W322" s="17"/>
    </row>
    <row r="323" spans="1:23">
      <c r="A323" s="125" t="s">
        <v>17</v>
      </c>
      <c r="B323" s="14" t="s">
        <v>2</v>
      </c>
      <c r="C323" s="127" t="s">
        <v>18</v>
      </c>
      <c r="D323" s="14" t="s">
        <v>21</v>
      </c>
      <c r="E323" s="129">
        <f>41735+(7*364+7)</f>
        <v>44290</v>
      </c>
      <c r="F323" s="15">
        <v>340.95</v>
      </c>
      <c r="G323" s="130">
        <v>5</v>
      </c>
      <c r="H323" s="123">
        <f t="shared" ref="H323:H386" si="6">F323*G323</f>
        <v>1704.75</v>
      </c>
      <c r="I323" s="16"/>
      <c r="J323" s="16"/>
      <c r="K323"/>
      <c r="L323"/>
      <c r="M323" s="16"/>
      <c r="N323" s="16"/>
      <c r="O323"/>
      <c r="P323"/>
      <c r="Q323"/>
      <c r="R323"/>
      <c r="S323"/>
      <c r="T323"/>
      <c r="U323"/>
      <c r="V323"/>
      <c r="W323" s="17"/>
    </row>
    <row r="324" spans="1:23">
      <c r="A324" s="125" t="s">
        <v>7</v>
      </c>
      <c r="B324" s="14" t="s">
        <v>2</v>
      </c>
      <c r="C324" s="127" t="s">
        <v>27</v>
      </c>
      <c r="D324" s="14" t="s">
        <v>19</v>
      </c>
      <c r="E324" s="129">
        <f>42362+(7*364+7)</f>
        <v>44917</v>
      </c>
      <c r="F324" s="15">
        <v>340.95</v>
      </c>
      <c r="G324" s="130">
        <v>18</v>
      </c>
      <c r="H324" s="123">
        <f t="shared" si="6"/>
        <v>6137.0999999999995</v>
      </c>
      <c r="I324" s="16"/>
      <c r="J324" s="16"/>
      <c r="K324"/>
      <c r="L324"/>
      <c r="M324" s="16"/>
      <c r="N324" s="16"/>
      <c r="O324"/>
      <c r="P324"/>
      <c r="Q324"/>
      <c r="R324"/>
      <c r="S324"/>
      <c r="T324"/>
      <c r="U324"/>
      <c r="V324"/>
      <c r="W324" s="17"/>
    </row>
    <row r="325" spans="1:23">
      <c r="A325" s="125" t="s">
        <v>6</v>
      </c>
      <c r="B325" s="14" t="s">
        <v>3</v>
      </c>
      <c r="C325" s="127" t="s">
        <v>18</v>
      </c>
      <c r="D325" s="14" t="s">
        <v>20</v>
      </c>
      <c r="E325" s="129">
        <f>41870+(7*364+7)</f>
        <v>44425</v>
      </c>
      <c r="F325" s="15">
        <v>799.95</v>
      </c>
      <c r="G325" s="130">
        <v>1</v>
      </c>
      <c r="H325" s="123">
        <f t="shared" si="6"/>
        <v>799.95</v>
      </c>
      <c r="I325" s="16"/>
      <c r="J325" s="16"/>
      <c r="K325"/>
      <c r="L325"/>
      <c r="M325" s="16"/>
      <c r="N325" s="16"/>
      <c r="O325"/>
      <c r="P325"/>
      <c r="Q325"/>
      <c r="R325"/>
      <c r="S325"/>
      <c r="T325"/>
      <c r="U325"/>
      <c r="V325"/>
      <c r="W325" s="17"/>
    </row>
    <row r="326" spans="1:23">
      <c r="A326" s="125" t="s">
        <v>28</v>
      </c>
      <c r="B326" s="14" t="s">
        <v>4</v>
      </c>
      <c r="C326" s="127" t="s">
        <v>32</v>
      </c>
      <c r="D326" s="14" t="s">
        <v>19</v>
      </c>
      <c r="E326" s="129">
        <f>42033+(7*364+7)</f>
        <v>44588</v>
      </c>
      <c r="F326" s="15">
        <v>340.95</v>
      </c>
      <c r="G326" s="130">
        <v>17</v>
      </c>
      <c r="H326" s="123">
        <f t="shared" si="6"/>
        <v>5796.15</v>
      </c>
      <c r="I326" s="16"/>
      <c r="J326" s="16"/>
      <c r="K326"/>
      <c r="L326"/>
      <c r="M326" s="16"/>
      <c r="N326" s="16"/>
      <c r="O326"/>
      <c r="P326"/>
      <c r="Q326"/>
      <c r="R326"/>
      <c r="S326"/>
      <c r="T326"/>
      <c r="U326"/>
      <c r="V326"/>
      <c r="W326" s="17"/>
    </row>
    <row r="327" spans="1:23">
      <c r="A327" s="125" t="s">
        <v>25</v>
      </c>
      <c r="B327" s="14" t="s">
        <v>4</v>
      </c>
      <c r="C327" s="127" t="s">
        <v>32</v>
      </c>
      <c r="D327" s="14" t="s">
        <v>19</v>
      </c>
      <c r="E327" s="129">
        <f>41727+(7*364+7)</f>
        <v>44282</v>
      </c>
      <c r="F327" s="15">
        <v>340.95</v>
      </c>
      <c r="G327" s="130">
        <v>20</v>
      </c>
      <c r="H327" s="123">
        <f t="shared" si="6"/>
        <v>6819</v>
      </c>
      <c r="I327" s="16"/>
      <c r="J327" s="16"/>
      <c r="K327"/>
      <c r="L327"/>
      <c r="M327" s="16"/>
      <c r="N327" s="16"/>
      <c r="O327"/>
      <c r="P327"/>
      <c r="Q327"/>
      <c r="R327"/>
      <c r="S327"/>
      <c r="T327"/>
      <c r="U327"/>
      <c r="V327"/>
      <c r="W327" s="17"/>
    </row>
    <row r="328" spans="1:23">
      <c r="A328" s="125" t="s">
        <v>16</v>
      </c>
      <c r="B328" s="14" t="s">
        <v>4</v>
      </c>
      <c r="C328" s="127" t="s">
        <v>29</v>
      </c>
      <c r="D328" s="14" t="s">
        <v>23</v>
      </c>
      <c r="E328" s="129">
        <f>42225+(7*364+7)</f>
        <v>44780</v>
      </c>
      <c r="F328" s="15">
        <v>340.95</v>
      </c>
      <c r="G328" s="130">
        <v>5</v>
      </c>
      <c r="H328" s="123">
        <f t="shared" si="6"/>
        <v>1704.75</v>
      </c>
      <c r="I328" s="16"/>
      <c r="J328" s="16"/>
      <c r="K328"/>
      <c r="L328"/>
      <c r="M328" s="16"/>
      <c r="N328" s="16"/>
      <c r="O328"/>
      <c r="P328"/>
      <c r="Q328"/>
      <c r="R328"/>
      <c r="S328"/>
      <c r="T328"/>
      <c r="U328"/>
      <c r="V328"/>
      <c r="W328" s="17"/>
    </row>
    <row r="329" spans="1:23">
      <c r="A329" s="125" t="s">
        <v>17</v>
      </c>
      <c r="B329" s="14" t="s">
        <v>2</v>
      </c>
      <c r="C329" s="127" t="s">
        <v>18</v>
      </c>
      <c r="D329" s="14" t="s">
        <v>20</v>
      </c>
      <c r="E329" s="129">
        <f>41760+(7*364+7)</f>
        <v>44315</v>
      </c>
      <c r="F329" s="15">
        <v>340.95</v>
      </c>
      <c r="G329" s="130">
        <v>8</v>
      </c>
      <c r="H329" s="123">
        <f t="shared" si="6"/>
        <v>2727.6</v>
      </c>
      <c r="I329" s="16"/>
      <c r="J329" s="16"/>
      <c r="K329"/>
      <c r="L329"/>
      <c r="M329" s="16"/>
      <c r="N329" s="16"/>
      <c r="O329"/>
      <c r="P329"/>
      <c r="Q329"/>
      <c r="R329"/>
      <c r="S329"/>
      <c r="T329"/>
      <c r="U329"/>
      <c r="V329"/>
      <c r="W329" s="17"/>
    </row>
    <row r="330" spans="1:23">
      <c r="A330" s="125" t="s">
        <v>35</v>
      </c>
      <c r="B330" s="14" t="s">
        <v>4</v>
      </c>
      <c r="C330" s="127" t="s">
        <v>29</v>
      </c>
      <c r="D330" s="14" t="s">
        <v>20</v>
      </c>
      <c r="E330" s="129">
        <f>42106+(7*364+7)</f>
        <v>44661</v>
      </c>
      <c r="F330" s="15">
        <v>340.95</v>
      </c>
      <c r="G330" s="130">
        <v>7</v>
      </c>
      <c r="H330" s="123">
        <f t="shared" si="6"/>
        <v>2386.65</v>
      </c>
      <c r="I330" s="16"/>
      <c r="J330" s="16"/>
      <c r="K330"/>
      <c r="L330"/>
      <c r="M330" s="16"/>
      <c r="N330" s="16"/>
      <c r="O330"/>
      <c r="P330"/>
      <c r="Q330"/>
      <c r="R330"/>
      <c r="S330"/>
      <c r="T330"/>
      <c r="U330"/>
      <c r="V330"/>
      <c r="W330" s="17"/>
    </row>
    <row r="331" spans="1:23">
      <c r="A331" s="125" t="s">
        <v>34</v>
      </c>
      <c r="B331" s="14" t="s">
        <v>0</v>
      </c>
      <c r="C331" s="127" t="s">
        <v>32</v>
      </c>
      <c r="D331" s="14" t="s">
        <v>22</v>
      </c>
      <c r="E331" s="129">
        <f>42117+(7*364+7)</f>
        <v>44672</v>
      </c>
      <c r="F331" s="15">
        <v>168.95</v>
      </c>
      <c r="G331" s="130">
        <v>12</v>
      </c>
      <c r="H331" s="123">
        <f t="shared" si="6"/>
        <v>2027.3999999999999</v>
      </c>
      <c r="I331" s="16"/>
      <c r="J331" s="16"/>
      <c r="K331"/>
      <c r="L331"/>
      <c r="M331" s="16"/>
      <c r="N331" s="16"/>
      <c r="O331"/>
      <c r="P331"/>
      <c r="Q331"/>
      <c r="R331"/>
      <c r="S331"/>
      <c r="T331"/>
      <c r="U331"/>
      <c r="V331"/>
      <c r="W331" s="17"/>
    </row>
    <row r="332" spans="1:23">
      <c r="A332" s="125" t="s">
        <v>34</v>
      </c>
      <c r="B332" s="14" t="s">
        <v>0</v>
      </c>
      <c r="C332" s="127" t="s">
        <v>32</v>
      </c>
      <c r="D332" s="14" t="s">
        <v>23</v>
      </c>
      <c r="E332" s="129">
        <f>42196+(7*364+7)</f>
        <v>44751</v>
      </c>
      <c r="F332" s="15">
        <v>168.95</v>
      </c>
      <c r="G332" s="130">
        <v>4</v>
      </c>
      <c r="H332" s="123">
        <f t="shared" si="6"/>
        <v>675.8</v>
      </c>
      <c r="I332" s="16"/>
      <c r="J332" s="16"/>
      <c r="K332"/>
      <c r="L332"/>
      <c r="M332" s="16"/>
      <c r="N332" s="16"/>
      <c r="O332"/>
      <c r="P332"/>
      <c r="Q332"/>
      <c r="R332"/>
      <c r="S332"/>
      <c r="T332"/>
      <c r="U332"/>
      <c r="V332"/>
      <c r="W332" s="17"/>
    </row>
    <row r="333" spans="1:23">
      <c r="A333" s="125" t="s">
        <v>17</v>
      </c>
      <c r="B333" s="14" t="s">
        <v>2</v>
      </c>
      <c r="C333" s="127" t="s">
        <v>18</v>
      </c>
      <c r="D333" s="14" t="s">
        <v>20</v>
      </c>
      <c r="E333" s="129">
        <f>42059+(7*364+7)</f>
        <v>44614</v>
      </c>
      <c r="F333" s="15">
        <v>340.95</v>
      </c>
      <c r="G333" s="130">
        <v>11</v>
      </c>
      <c r="H333" s="123">
        <f t="shared" si="6"/>
        <v>3750.45</v>
      </c>
      <c r="I333" s="16"/>
      <c r="J333" s="16"/>
      <c r="K333"/>
      <c r="L333"/>
      <c r="M333" s="16"/>
      <c r="N333" s="16"/>
      <c r="O333"/>
      <c r="P333"/>
      <c r="Q333"/>
      <c r="R333"/>
      <c r="S333"/>
      <c r="T333"/>
      <c r="U333"/>
      <c r="V333"/>
      <c r="W333" s="17"/>
    </row>
    <row r="334" spans="1:23">
      <c r="A334" s="125" t="s">
        <v>25</v>
      </c>
      <c r="B334" s="14" t="s">
        <v>3</v>
      </c>
      <c r="C334" s="127" t="s">
        <v>32</v>
      </c>
      <c r="D334" s="14" t="s">
        <v>21</v>
      </c>
      <c r="E334" s="129">
        <f>41811+(7*364+7)</f>
        <v>44366</v>
      </c>
      <c r="F334" s="15">
        <v>799.95</v>
      </c>
      <c r="G334" s="130">
        <v>6</v>
      </c>
      <c r="H334" s="123">
        <f t="shared" si="6"/>
        <v>4799.7000000000007</v>
      </c>
      <c r="I334" s="16"/>
      <c r="J334" s="16"/>
      <c r="K334"/>
      <c r="L334"/>
      <c r="M334" s="16"/>
      <c r="N334" s="16"/>
      <c r="O334"/>
      <c r="P334"/>
      <c r="Q334"/>
      <c r="R334"/>
      <c r="S334"/>
      <c r="T334"/>
      <c r="U334"/>
      <c r="V334"/>
      <c r="W334" s="17"/>
    </row>
    <row r="335" spans="1:23">
      <c r="A335" s="125" t="s">
        <v>34</v>
      </c>
      <c r="B335" s="14" t="s">
        <v>0</v>
      </c>
      <c r="C335" s="127" t="s">
        <v>32</v>
      </c>
      <c r="D335" s="14" t="s">
        <v>19</v>
      </c>
      <c r="E335" s="129">
        <f>42229+(7*364+7)</f>
        <v>44784</v>
      </c>
      <c r="F335" s="15">
        <v>168.95</v>
      </c>
      <c r="G335" s="130">
        <v>8</v>
      </c>
      <c r="H335" s="123">
        <f t="shared" si="6"/>
        <v>1351.6</v>
      </c>
      <c r="I335" s="16"/>
      <c r="J335" s="16"/>
      <c r="K335"/>
      <c r="L335"/>
      <c r="M335" s="16"/>
      <c r="N335" s="16"/>
      <c r="O335"/>
      <c r="P335"/>
      <c r="Q335"/>
      <c r="R335"/>
      <c r="S335"/>
      <c r="T335"/>
      <c r="U335"/>
      <c r="V335"/>
      <c r="W335" s="17"/>
    </row>
    <row r="336" spans="1:23">
      <c r="A336" s="125" t="s">
        <v>16</v>
      </c>
      <c r="B336" s="14" t="s">
        <v>0</v>
      </c>
      <c r="C336" s="127" t="s">
        <v>29</v>
      </c>
      <c r="D336" s="14" t="s">
        <v>19</v>
      </c>
      <c r="E336" s="129">
        <f>41888+(7*364+7)</f>
        <v>44443</v>
      </c>
      <c r="F336" s="15">
        <v>168.95</v>
      </c>
      <c r="G336" s="130">
        <v>9</v>
      </c>
      <c r="H336" s="123">
        <f t="shared" si="6"/>
        <v>1520.55</v>
      </c>
      <c r="I336" s="16"/>
      <c r="J336" s="16"/>
      <c r="K336"/>
      <c r="L336"/>
      <c r="M336" s="16"/>
      <c r="N336" s="16"/>
      <c r="O336"/>
      <c r="P336"/>
      <c r="Q336"/>
      <c r="R336"/>
      <c r="S336"/>
      <c r="T336"/>
      <c r="U336"/>
      <c r="V336"/>
      <c r="W336" s="17"/>
    </row>
    <row r="337" spans="1:23">
      <c r="A337" s="125" t="s">
        <v>25</v>
      </c>
      <c r="B337" s="14" t="s">
        <v>2</v>
      </c>
      <c r="C337" s="127" t="s">
        <v>32</v>
      </c>
      <c r="D337" s="14" t="s">
        <v>21</v>
      </c>
      <c r="E337" s="129">
        <f>41948+(7*364+7)</f>
        <v>44503</v>
      </c>
      <c r="F337" s="15">
        <v>340.95</v>
      </c>
      <c r="G337" s="130">
        <v>6</v>
      </c>
      <c r="H337" s="123">
        <f t="shared" si="6"/>
        <v>2045.6999999999998</v>
      </c>
      <c r="I337" s="16"/>
      <c r="J337" s="16"/>
      <c r="K337"/>
      <c r="L337"/>
      <c r="M337" s="16"/>
      <c r="N337" s="16"/>
      <c r="O337"/>
      <c r="P337"/>
      <c r="Q337"/>
      <c r="R337"/>
      <c r="S337"/>
      <c r="T337"/>
      <c r="U337"/>
      <c r="V337"/>
      <c r="W337" s="17"/>
    </row>
    <row r="338" spans="1:23">
      <c r="A338" s="125" t="s">
        <v>28</v>
      </c>
      <c r="B338" s="14" t="s">
        <v>0</v>
      </c>
      <c r="C338" s="127" t="s">
        <v>32</v>
      </c>
      <c r="D338" s="14" t="s">
        <v>21</v>
      </c>
      <c r="E338" s="129">
        <f>41745+(7*364+7)</f>
        <v>44300</v>
      </c>
      <c r="F338" s="15">
        <v>168.95</v>
      </c>
      <c r="G338" s="130">
        <v>12</v>
      </c>
      <c r="H338" s="123">
        <f t="shared" si="6"/>
        <v>2027.3999999999999</v>
      </c>
      <c r="I338" s="16"/>
      <c r="J338" s="16"/>
      <c r="K338"/>
      <c r="L338"/>
      <c r="M338" s="16"/>
      <c r="N338" s="16"/>
      <c r="O338"/>
      <c r="P338"/>
      <c r="Q338"/>
      <c r="R338"/>
      <c r="S338"/>
      <c r="T338"/>
      <c r="U338"/>
      <c r="V338"/>
      <c r="W338" s="17"/>
    </row>
    <row r="339" spans="1:23">
      <c r="A339" s="125" t="s">
        <v>28</v>
      </c>
      <c r="B339" s="14" t="s">
        <v>4</v>
      </c>
      <c r="C339" s="127" t="s">
        <v>32</v>
      </c>
      <c r="D339" s="14" t="s">
        <v>20</v>
      </c>
      <c r="E339" s="129">
        <f>41745+(7*364+7)</f>
        <v>44300</v>
      </c>
      <c r="F339" s="15">
        <v>340.95</v>
      </c>
      <c r="G339" s="130">
        <v>6</v>
      </c>
      <c r="H339" s="123">
        <f t="shared" si="6"/>
        <v>2045.6999999999998</v>
      </c>
      <c r="I339" s="16"/>
      <c r="J339" s="16"/>
      <c r="K339"/>
      <c r="L339"/>
      <c r="M339" s="16"/>
      <c r="N339" s="16"/>
      <c r="O339"/>
      <c r="P339"/>
      <c r="Q339"/>
      <c r="R339"/>
      <c r="S339"/>
      <c r="T339"/>
      <c r="U339"/>
      <c r="V339"/>
      <c r="W339" s="17"/>
    </row>
    <row r="340" spans="1:23">
      <c r="A340" s="125" t="s">
        <v>17</v>
      </c>
      <c r="B340" s="14" t="s">
        <v>2</v>
      </c>
      <c r="C340" s="127" t="s">
        <v>18</v>
      </c>
      <c r="D340" s="14" t="s">
        <v>19</v>
      </c>
      <c r="E340" s="129">
        <f>41645+(7*364+7)</f>
        <v>44200</v>
      </c>
      <c r="F340" s="15">
        <v>340.95</v>
      </c>
      <c r="G340" s="130">
        <v>9</v>
      </c>
      <c r="H340" s="123">
        <f t="shared" si="6"/>
        <v>3068.5499999999997</v>
      </c>
      <c r="I340" s="16"/>
      <c r="J340" s="16"/>
      <c r="K340"/>
      <c r="L340"/>
      <c r="M340" s="16"/>
      <c r="N340" s="16"/>
      <c r="O340"/>
      <c r="P340"/>
      <c r="Q340"/>
      <c r="R340"/>
      <c r="S340"/>
      <c r="T340"/>
      <c r="U340"/>
      <c r="V340"/>
      <c r="W340" s="17"/>
    </row>
    <row r="341" spans="1:23">
      <c r="A341" s="125" t="s">
        <v>25</v>
      </c>
      <c r="B341" s="14" t="s">
        <v>3</v>
      </c>
      <c r="C341" s="127" t="s">
        <v>32</v>
      </c>
      <c r="D341" s="14" t="s">
        <v>21</v>
      </c>
      <c r="E341" s="129">
        <f>42218+(7*364+7)</f>
        <v>44773</v>
      </c>
      <c r="F341" s="15">
        <v>799.95</v>
      </c>
      <c r="G341" s="130">
        <v>5</v>
      </c>
      <c r="H341" s="123">
        <f t="shared" si="6"/>
        <v>3999.75</v>
      </c>
      <c r="I341" s="16"/>
      <c r="J341" s="16"/>
      <c r="K341"/>
      <c r="L341"/>
      <c r="M341" s="16"/>
      <c r="N341" s="16"/>
      <c r="O341"/>
      <c r="P341"/>
      <c r="Q341"/>
      <c r="R341"/>
      <c r="S341"/>
      <c r="T341"/>
      <c r="U341"/>
      <c r="V341"/>
      <c r="W341" s="17"/>
    </row>
    <row r="342" spans="1:23">
      <c r="A342" s="125" t="s">
        <v>16</v>
      </c>
      <c r="B342" s="14" t="s">
        <v>1</v>
      </c>
      <c r="C342" s="127" t="s">
        <v>29</v>
      </c>
      <c r="D342" s="14" t="s">
        <v>20</v>
      </c>
      <c r="E342" s="129">
        <f>42262+(7*364+7)</f>
        <v>44817</v>
      </c>
      <c r="F342" s="15">
        <v>79.989999999999995</v>
      </c>
      <c r="G342" s="130">
        <v>7</v>
      </c>
      <c r="H342" s="123">
        <f t="shared" si="6"/>
        <v>559.92999999999995</v>
      </c>
      <c r="I342" s="16"/>
      <c r="J342" s="16"/>
      <c r="K342"/>
      <c r="L342"/>
      <c r="M342" s="16"/>
      <c r="N342" s="16"/>
      <c r="O342"/>
      <c r="P342"/>
      <c r="Q342"/>
      <c r="R342"/>
      <c r="S342"/>
      <c r="T342"/>
      <c r="U342"/>
      <c r="V342"/>
      <c r="W342" s="17"/>
    </row>
    <row r="343" spans="1:23">
      <c r="A343" s="125" t="s">
        <v>35</v>
      </c>
      <c r="B343" s="14" t="s">
        <v>2</v>
      </c>
      <c r="C343" s="127" t="s">
        <v>29</v>
      </c>
      <c r="D343" s="14" t="s">
        <v>22</v>
      </c>
      <c r="E343" s="129">
        <f>42074+(7*364+7)</f>
        <v>44629</v>
      </c>
      <c r="F343" s="15">
        <v>340.95</v>
      </c>
      <c r="G343" s="130">
        <v>2</v>
      </c>
      <c r="H343" s="123">
        <f t="shared" si="6"/>
        <v>681.9</v>
      </c>
      <c r="I343" s="16"/>
      <c r="J343" s="16"/>
      <c r="K343"/>
      <c r="L343"/>
      <c r="M343" s="16"/>
      <c r="N343" s="16"/>
      <c r="O343"/>
      <c r="P343"/>
      <c r="Q343"/>
      <c r="R343"/>
      <c r="S343"/>
      <c r="T343"/>
      <c r="U343"/>
      <c r="V343"/>
      <c r="W343" s="17"/>
    </row>
    <row r="344" spans="1:23">
      <c r="A344" s="125" t="s">
        <v>16</v>
      </c>
      <c r="B344" s="14" t="s">
        <v>2</v>
      </c>
      <c r="C344" s="127" t="s">
        <v>29</v>
      </c>
      <c r="D344" s="14" t="s">
        <v>20</v>
      </c>
      <c r="E344" s="129">
        <f>41667+(7*364+7)</f>
        <v>44222</v>
      </c>
      <c r="F344" s="15">
        <v>340.95</v>
      </c>
      <c r="G344" s="130">
        <v>13</v>
      </c>
      <c r="H344" s="123">
        <f t="shared" si="6"/>
        <v>4432.3499999999995</v>
      </c>
      <c r="I344" s="16"/>
      <c r="J344" s="16"/>
      <c r="K344"/>
      <c r="L344"/>
      <c r="M344" s="16"/>
      <c r="N344" s="16"/>
      <c r="O344"/>
      <c r="P344"/>
      <c r="Q344"/>
      <c r="R344"/>
      <c r="S344"/>
      <c r="T344"/>
      <c r="U344"/>
      <c r="V344"/>
      <c r="W344" s="17"/>
    </row>
    <row r="345" spans="1:23">
      <c r="A345" s="125" t="s">
        <v>17</v>
      </c>
      <c r="B345" s="14" t="s">
        <v>3</v>
      </c>
      <c r="C345" s="127" t="s">
        <v>18</v>
      </c>
      <c r="D345" s="14" t="s">
        <v>22</v>
      </c>
      <c r="E345" s="129">
        <f>42291+(7*364+7)</f>
        <v>44846</v>
      </c>
      <c r="F345" s="15">
        <v>799.95</v>
      </c>
      <c r="G345" s="130">
        <v>3</v>
      </c>
      <c r="H345" s="123">
        <f t="shared" si="6"/>
        <v>2399.8500000000004</v>
      </c>
      <c r="I345" s="16"/>
      <c r="J345" s="16"/>
      <c r="K345"/>
      <c r="L345"/>
      <c r="M345" s="16"/>
      <c r="N345" s="16"/>
      <c r="O345"/>
      <c r="P345"/>
      <c r="Q345"/>
      <c r="R345"/>
      <c r="S345"/>
      <c r="T345"/>
      <c r="U345"/>
      <c r="V345"/>
      <c r="W345" s="17"/>
    </row>
    <row r="346" spans="1:23">
      <c r="A346" s="125" t="s">
        <v>35</v>
      </c>
      <c r="B346" s="14" t="s">
        <v>4</v>
      </c>
      <c r="C346" s="127" t="s">
        <v>29</v>
      </c>
      <c r="D346" s="14" t="s">
        <v>21</v>
      </c>
      <c r="E346" s="129">
        <f>42018+(7*364+7)</f>
        <v>44573</v>
      </c>
      <c r="F346" s="15">
        <v>340.95</v>
      </c>
      <c r="G346" s="130">
        <v>15</v>
      </c>
      <c r="H346" s="123">
        <f t="shared" si="6"/>
        <v>5114.25</v>
      </c>
      <c r="I346" s="16"/>
      <c r="J346" s="16"/>
      <c r="K346"/>
      <c r="L346"/>
      <c r="M346" s="16"/>
      <c r="N346" s="16"/>
      <c r="O346"/>
      <c r="P346"/>
      <c r="Q346"/>
      <c r="R346"/>
      <c r="S346"/>
      <c r="T346"/>
      <c r="U346"/>
      <c r="V346"/>
      <c r="W346" s="17"/>
    </row>
    <row r="347" spans="1:23">
      <c r="A347" s="125" t="s">
        <v>16</v>
      </c>
      <c r="B347" s="14" t="s">
        <v>4</v>
      </c>
      <c r="C347" s="127" t="s">
        <v>29</v>
      </c>
      <c r="D347" s="14" t="s">
        <v>19</v>
      </c>
      <c r="E347" s="129">
        <f>42147+(7*364+7)</f>
        <v>44702</v>
      </c>
      <c r="F347" s="15">
        <v>340.95</v>
      </c>
      <c r="G347" s="130">
        <v>7</v>
      </c>
      <c r="H347" s="123">
        <f t="shared" si="6"/>
        <v>2386.65</v>
      </c>
      <c r="I347" s="16"/>
      <c r="J347" s="16"/>
      <c r="K347"/>
      <c r="L347"/>
      <c r="M347" s="16"/>
      <c r="N347" s="16"/>
      <c r="O347"/>
      <c r="P347"/>
      <c r="Q347"/>
      <c r="R347"/>
      <c r="S347"/>
      <c r="T347"/>
      <c r="U347"/>
      <c r="V347"/>
      <c r="W347" s="17"/>
    </row>
    <row r="348" spans="1:23">
      <c r="A348" s="125" t="s">
        <v>17</v>
      </c>
      <c r="B348" s="14" t="s">
        <v>1</v>
      </c>
      <c r="C348" s="127" t="s">
        <v>18</v>
      </c>
      <c r="D348" s="14" t="s">
        <v>22</v>
      </c>
      <c r="E348" s="129">
        <f>42136+(7*364+7)</f>
        <v>44691</v>
      </c>
      <c r="F348" s="15">
        <v>79.989999999999995</v>
      </c>
      <c r="G348" s="130">
        <v>10</v>
      </c>
      <c r="H348" s="123">
        <f t="shared" si="6"/>
        <v>799.9</v>
      </c>
      <c r="I348" s="16"/>
      <c r="J348" s="16"/>
      <c r="K348"/>
      <c r="L348"/>
      <c r="M348" s="16"/>
      <c r="N348" s="16"/>
      <c r="O348"/>
      <c r="P348"/>
      <c r="Q348"/>
      <c r="R348"/>
      <c r="S348"/>
      <c r="T348"/>
      <c r="U348"/>
      <c r="V348"/>
      <c r="W348" s="17"/>
    </row>
    <row r="349" spans="1:23">
      <c r="A349" s="125" t="s">
        <v>25</v>
      </c>
      <c r="B349" s="14" t="s">
        <v>4</v>
      </c>
      <c r="C349" s="127" t="s">
        <v>32</v>
      </c>
      <c r="D349" s="14" t="s">
        <v>21</v>
      </c>
      <c r="E349" s="129">
        <f>42167+(7*364+7)</f>
        <v>44722</v>
      </c>
      <c r="F349" s="15">
        <v>340.95</v>
      </c>
      <c r="G349" s="130">
        <v>9</v>
      </c>
      <c r="H349" s="123">
        <f t="shared" si="6"/>
        <v>3068.5499999999997</v>
      </c>
      <c r="I349" s="16"/>
      <c r="J349" s="16"/>
      <c r="K349"/>
      <c r="L349"/>
      <c r="M349" s="16"/>
      <c r="N349" s="16"/>
      <c r="O349"/>
      <c r="P349"/>
      <c r="Q349"/>
      <c r="R349"/>
      <c r="S349"/>
      <c r="T349"/>
      <c r="U349"/>
      <c r="V349"/>
      <c r="W349" s="17"/>
    </row>
    <row r="350" spans="1:23">
      <c r="A350" s="125" t="s">
        <v>16</v>
      </c>
      <c r="B350" s="14" t="s">
        <v>2</v>
      </c>
      <c r="C350" s="127" t="s">
        <v>29</v>
      </c>
      <c r="D350" s="14" t="s">
        <v>23</v>
      </c>
      <c r="E350" s="129">
        <f>42112+(7*364+7)</f>
        <v>44667</v>
      </c>
      <c r="F350" s="15">
        <v>340.95</v>
      </c>
      <c r="G350" s="130">
        <v>12</v>
      </c>
      <c r="H350" s="123">
        <f t="shared" si="6"/>
        <v>4091.3999999999996</v>
      </c>
      <c r="I350" s="16"/>
      <c r="J350" s="16"/>
      <c r="K350"/>
      <c r="L350"/>
      <c r="M350" s="16"/>
      <c r="N350" s="16"/>
      <c r="O350"/>
      <c r="P350"/>
      <c r="Q350"/>
      <c r="R350"/>
      <c r="S350"/>
      <c r="T350"/>
      <c r="U350"/>
      <c r="V350"/>
      <c r="W350" s="17"/>
    </row>
    <row r="351" spans="1:23">
      <c r="A351" s="125" t="s">
        <v>16</v>
      </c>
      <c r="B351" s="14" t="s">
        <v>0</v>
      </c>
      <c r="C351" s="127" t="s">
        <v>29</v>
      </c>
      <c r="D351" s="14" t="s">
        <v>22</v>
      </c>
      <c r="E351" s="129">
        <f>42244+(7*364+7)</f>
        <v>44799</v>
      </c>
      <c r="F351" s="15">
        <v>168.95</v>
      </c>
      <c r="G351" s="130">
        <v>13</v>
      </c>
      <c r="H351" s="123">
        <f t="shared" si="6"/>
        <v>2196.35</v>
      </c>
      <c r="I351" s="16"/>
      <c r="J351" s="16"/>
      <c r="K351"/>
      <c r="L351"/>
      <c r="M351" s="16"/>
      <c r="N351" s="16"/>
      <c r="O351"/>
      <c r="P351"/>
      <c r="Q351"/>
      <c r="R351"/>
      <c r="S351"/>
      <c r="T351"/>
      <c r="U351"/>
      <c r="V351"/>
      <c r="W351" s="17"/>
    </row>
    <row r="352" spans="1:23">
      <c r="A352" s="125" t="s">
        <v>17</v>
      </c>
      <c r="B352" s="14" t="s">
        <v>2</v>
      </c>
      <c r="C352" s="127" t="s">
        <v>18</v>
      </c>
      <c r="D352" s="14" t="s">
        <v>23</v>
      </c>
      <c r="E352" s="129">
        <f>42185+(7*364+7)</f>
        <v>44740</v>
      </c>
      <c r="F352" s="15">
        <v>340.95</v>
      </c>
      <c r="G352" s="130">
        <v>2</v>
      </c>
      <c r="H352" s="123">
        <f t="shared" si="6"/>
        <v>681.9</v>
      </c>
      <c r="I352" s="16"/>
      <c r="J352" s="16"/>
      <c r="K352"/>
      <c r="L352"/>
      <c r="M352" s="16"/>
      <c r="N352" s="16"/>
      <c r="O352"/>
      <c r="P352"/>
      <c r="Q352"/>
      <c r="R352"/>
      <c r="S352"/>
      <c r="T352"/>
      <c r="U352"/>
      <c r="V352"/>
      <c r="W352" s="17"/>
    </row>
    <row r="353" spans="1:23">
      <c r="A353" s="125" t="s">
        <v>25</v>
      </c>
      <c r="B353" s="14" t="s">
        <v>3</v>
      </c>
      <c r="C353" s="127" t="s">
        <v>32</v>
      </c>
      <c r="D353" s="14" t="s">
        <v>23</v>
      </c>
      <c r="E353" s="129">
        <f>42235+(7*364+7)</f>
        <v>44790</v>
      </c>
      <c r="F353" s="15">
        <v>799.95</v>
      </c>
      <c r="G353" s="130">
        <v>13</v>
      </c>
      <c r="H353" s="123">
        <f t="shared" si="6"/>
        <v>10399.35</v>
      </c>
      <c r="I353" s="16"/>
      <c r="J353" s="16"/>
      <c r="K353"/>
      <c r="L353"/>
      <c r="M353" s="16"/>
      <c r="N353" s="16"/>
      <c r="O353"/>
      <c r="P353"/>
      <c r="Q353"/>
      <c r="R353"/>
      <c r="S353"/>
      <c r="T353"/>
      <c r="U353"/>
      <c r="V353"/>
      <c r="W353" s="17"/>
    </row>
    <row r="354" spans="1:23">
      <c r="A354" s="125" t="s">
        <v>34</v>
      </c>
      <c r="B354" s="14" t="s">
        <v>2</v>
      </c>
      <c r="C354" s="127" t="s">
        <v>32</v>
      </c>
      <c r="D354" s="14" t="s">
        <v>22</v>
      </c>
      <c r="E354" s="129">
        <f>42137+(7*364+7)</f>
        <v>44692</v>
      </c>
      <c r="F354" s="15">
        <v>340.95</v>
      </c>
      <c r="G354" s="130">
        <v>12</v>
      </c>
      <c r="H354" s="123">
        <f t="shared" si="6"/>
        <v>4091.3999999999996</v>
      </c>
      <c r="I354" s="16"/>
      <c r="J354" s="16"/>
      <c r="K354"/>
      <c r="L354"/>
      <c r="M354" s="16"/>
      <c r="N354" s="16"/>
      <c r="O354"/>
      <c r="P354"/>
      <c r="Q354"/>
      <c r="R354"/>
      <c r="S354"/>
      <c r="T354"/>
      <c r="U354"/>
      <c r="V354"/>
      <c r="W354" s="17"/>
    </row>
    <row r="355" spans="1:23">
      <c r="A355" s="125" t="s">
        <v>26</v>
      </c>
      <c r="B355" s="14" t="s">
        <v>0</v>
      </c>
      <c r="C355" s="127" t="s">
        <v>27</v>
      </c>
      <c r="D355" s="14" t="s">
        <v>23</v>
      </c>
      <c r="E355" s="129">
        <f>42344+(7*364+7)</f>
        <v>44899</v>
      </c>
      <c r="F355" s="15">
        <v>168.95</v>
      </c>
      <c r="G355" s="130">
        <v>15</v>
      </c>
      <c r="H355" s="123">
        <f t="shared" si="6"/>
        <v>2534.25</v>
      </c>
      <c r="I355" s="16"/>
      <c r="J355" s="16"/>
      <c r="K355"/>
      <c r="L355"/>
      <c r="M355" s="16"/>
      <c r="N355" s="16"/>
      <c r="O355"/>
      <c r="P355"/>
      <c r="Q355"/>
      <c r="R355"/>
      <c r="S355"/>
      <c r="T355"/>
      <c r="U355"/>
      <c r="V355"/>
      <c r="W355" s="17"/>
    </row>
    <row r="356" spans="1:23">
      <c r="A356" s="125" t="s">
        <v>25</v>
      </c>
      <c r="B356" s="14" t="s">
        <v>2</v>
      </c>
      <c r="C356" s="127" t="s">
        <v>32</v>
      </c>
      <c r="D356" s="14" t="s">
        <v>20</v>
      </c>
      <c r="E356" s="129">
        <f>41754+(7*364+7)</f>
        <v>44309</v>
      </c>
      <c r="F356" s="15">
        <v>340.95</v>
      </c>
      <c r="G356" s="130">
        <v>8</v>
      </c>
      <c r="H356" s="123">
        <f t="shared" si="6"/>
        <v>2727.6</v>
      </c>
      <c r="I356" s="16"/>
      <c r="J356" s="16"/>
      <c r="K356"/>
      <c r="L356"/>
      <c r="M356" s="16"/>
      <c r="N356" s="16"/>
      <c r="O356"/>
      <c r="P356"/>
      <c r="Q356"/>
      <c r="R356"/>
      <c r="S356"/>
      <c r="T356"/>
      <c r="U356"/>
      <c r="V356"/>
      <c r="W356" s="17"/>
    </row>
    <row r="357" spans="1:23">
      <c r="A357" s="125" t="s">
        <v>30</v>
      </c>
      <c r="B357" s="14" t="s">
        <v>3</v>
      </c>
      <c r="C357" s="127" t="s">
        <v>18</v>
      </c>
      <c r="D357" s="14" t="s">
        <v>21</v>
      </c>
      <c r="E357" s="129">
        <f>41849+(7*364+7)</f>
        <v>44404</v>
      </c>
      <c r="F357" s="15">
        <v>799.95</v>
      </c>
      <c r="G357" s="130">
        <v>9</v>
      </c>
      <c r="H357" s="123">
        <f t="shared" si="6"/>
        <v>7199.55</v>
      </c>
      <c r="I357" s="16"/>
      <c r="J357" s="16"/>
      <c r="K357"/>
      <c r="L357"/>
      <c r="M357" s="16"/>
      <c r="N357" s="16"/>
      <c r="O357"/>
      <c r="P357"/>
      <c r="Q357"/>
      <c r="R357"/>
      <c r="S357"/>
      <c r="T357"/>
      <c r="U357"/>
      <c r="V357"/>
      <c r="W357" s="17"/>
    </row>
    <row r="358" spans="1:23">
      <c r="A358" s="125" t="s">
        <v>28</v>
      </c>
      <c r="B358" s="14" t="s">
        <v>4</v>
      </c>
      <c r="C358" s="127" t="s">
        <v>32</v>
      </c>
      <c r="D358" s="14" t="s">
        <v>21</v>
      </c>
      <c r="E358" s="129">
        <f>42312+(7*364+7)</f>
        <v>44867</v>
      </c>
      <c r="F358" s="15">
        <v>340.95</v>
      </c>
      <c r="G358" s="130">
        <v>11</v>
      </c>
      <c r="H358" s="123">
        <f t="shared" si="6"/>
        <v>3750.45</v>
      </c>
      <c r="I358" s="16"/>
      <c r="J358" s="16"/>
      <c r="K358"/>
      <c r="L358"/>
      <c r="M358" s="16"/>
      <c r="N358" s="16"/>
      <c r="O358"/>
      <c r="P358"/>
      <c r="Q358"/>
      <c r="R358"/>
      <c r="S358"/>
      <c r="T358"/>
      <c r="U358"/>
      <c r="V358"/>
      <c r="W358" s="17"/>
    </row>
    <row r="359" spans="1:23">
      <c r="A359" s="125" t="s">
        <v>30</v>
      </c>
      <c r="B359" s="14" t="s">
        <v>3</v>
      </c>
      <c r="C359" s="127" t="s">
        <v>18</v>
      </c>
      <c r="D359" s="14" t="s">
        <v>22</v>
      </c>
      <c r="E359" s="129">
        <f>41689+(7*364+7)</f>
        <v>44244</v>
      </c>
      <c r="F359" s="15">
        <v>799.95</v>
      </c>
      <c r="G359" s="130">
        <v>5</v>
      </c>
      <c r="H359" s="123">
        <f t="shared" si="6"/>
        <v>3999.75</v>
      </c>
      <c r="I359" s="16"/>
      <c r="J359" s="16"/>
      <c r="K359"/>
      <c r="L359"/>
      <c r="M359" s="16"/>
      <c r="N359" s="16"/>
      <c r="O359"/>
      <c r="P359"/>
      <c r="Q359"/>
      <c r="R359"/>
      <c r="S359"/>
      <c r="T359"/>
      <c r="U359"/>
      <c r="V359"/>
      <c r="W359" s="17"/>
    </row>
    <row r="360" spans="1:23">
      <c r="A360" s="125" t="s">
        <v>6</v>
      </c>
      <c r="B360" s="14" t="s">
        <v>4</v>
      </c>
      <c r="C360" s="127" t="s">
        <v>18</v>
      </c>
      <c r="D360" s="14" t="s">
        <v>21</v>
      </c>
      <c r="E360" s="129">
        <f>42014+(7*364+7)</f>
        <v>44569</v>
      </c>
      <c r="F360" s="15">
        <v>340.95</v>
      </c>
      <c r="G360" s="130">
        <v>11</v>
      </c>
      <c r="H360" s="123">
        <f t="shared" si="6"/>
        <v>3750.45</v>
      </c>
      <c r="I360" s="16"/>
      <c r="J360" s="16"/>
      <c r="K360"/>
      <c r="L360"/>
      <c r="M360" s="16"/>
      <c r="N360" s="16"/>
      <c r="O360"/>
      <c r="P360"/>
      <c r="Q360"/>
      <c r="R360"/>
      <c r="S360"/>
      <c r="T360"/>
      <c r="U360"/>
      <c r="V360"/>
      <c r="W360" s="17"/>
    </row>
    <row r="361" spans="1:23">
      <c r="A361" s="125" t="s">
        <v>33</v>
      </c>
      <c r="B361" s="14" t="s">
        <v>1</v>
      </c>
      <c r="C361" s="127" t="s">
        <v>18</v>
      </c>
      <c r="D361" s="14" t="s">
        <v>22</v>
      </c>
      <c r="E361" s="129">
        <f>42062+(7*364+7)</f>
        <v>44617</v>
      </c>
      <c r="F361" s="15">
        <v>79.989999999999995</v>
      </c>
      <c r="G361" s="130">
        <v>6</v>
      </c>
      <c r="H361" s="123">
        <f t="shared" si="6"/>
        <v>479.93999999999994</v>
      </c>
      <c r="I361" s="16"/>
      <c r="J361" s="16"/>
      <c r="K361"/>
      <c r="L361"/>
      <c r="M361" s="16"/>
      <c r="N361" s="16"/>
      <c r="O361"/>
      <c r="P361"/>
      <c r="Q361"/>
      <c r="R361"/>
      <c r="S361"/>
      <c r="T361"/>
      <c r="U361"/>
      <c r="V361"/>
      <c r="W361" s="17"/>
    </row>
    <row r="362" spans="1:23">
      <c r="A362" s="125" t="s">
        <v>17</v>
      </c>
      <c r="B362" s="14" t="s">
        <v>4</v>
      </c>
      <c r="C362" s="127" t="s">
        <v>18</v>
      </c>
      <c r="D362" s="14" t="s">
        <v>19</v>
      </c>
      <c r="E362" s="129">
        <f>42353+(7*364+7)</f>
        <v>44908</v>
      </c>
      <c r="F362" s="15">
        <v>340.95</v>
      </c>
      <c r="G362" s="130">
        <v>13</v>
      </c>
      <c r="H362" s="123">
        <f t="shared" si="6"/>
        <v>4432.3499999999995</v>
      </c>
      <c r="I362" s="16"/>
      <c r="J362" s="16"/>
      <c r="K362"/>
      <c r="L362"/>
      <c r="M362" s="16"/>
      <c r="N362" s="16"/>
      <c r="O362"/>
      <c r="P362"/>
      <c r="Q362"/>
      <c r="R362"/>
      <c r="S362"/>
      <c r="T362"/>
      <c r="U362"/>
      <c r="V362"/>
      <c r="W362" s="17"/>
    </row>
    <row r="363" spans="1:23">
      <c r="A363" s="125" t="s">
        <v>6</v>
      </c>
      <c r="B363" s="14" t="s">
        <v>4</v>
      </c>
      <c r="C363" s="127" t="s">
        <v>18</v>
      </c>
      <c r="D363" s="14" t="s">
        <v>23</v>
      </c>
      <c r="E363" s="129">
        <f>42126+(7*364+7)</f>
        <v>44681</v>
      </c>
      <c r="F363" s="15">
        <v>340.95</v>
      </c>
      <c r="G363" s="130">
        <v>4</v>
      </c>
      <c r="H363" s="123">
        <f t="shared" si="6"/>
        <v>1363.8</v>
      </c>
      <c r="I363" s="16"/>
      <c r="J363" s="16"/>
      <c r="K363"/>
      <c r="L363"/>
      <c r="M363" s="16"/>
      <c r="N363" s="16"/>
      <c r="O363"/>
      <c r="P363"/>
      <c r="Q363"/>
      <c r="R363"/>
      <c r="S363"/>
      <c r="T363"/>
      <c r="U363"/>
      <c r="V363"/>
      <c r="W363" s="17"/>
    </row>
    <row r="364" spans="1:23">
      <c r="A364" s="125" t="s">
        <v>7</v>
      </c>
      <c r="B364" s="14" t="s">
        <v>4</v>
      </c>
      <c r="C364" s="127" t="s">
        <v>27</v>
      </c>
      <c r="D364" s="14" t="s">
        <v>22</v>
      </c>
      <c r="E364" s="129">
        <f>41877+(7*364+7)</f>
        <v>44432</v>
      </c>
      <c r="F364" s="15">
        <v>340.95</v>
      </c>
      <c r="G364" s="130">
        <v>8</v>
      </c>
      <c r="H364" s="123">
        <f t="shared" si="6"/>
        <v>2727.6</v>
      </c>
      <c r="I364" s="16"/>
      <c r="J364" s="16"/>
      <c r="K364"/>
      <c r="L364"/>
      <c r="M364" s="16"/>
      <c r="N364" s="16"/>
      <c r="O364"/>
      <c r="P364"/>
      <c r="Q364"/>
      <c r="R364"/>
      <c r="S364"/>
      <c r="T364"/>
      <c r="U364"/>
      <c r="V364"/>
      <c r="W364" s="17"/>
    </row>
    <row r="365" spans="1:23">
      <c r="A365" s="125" t="s">
        <v>26</v>
      </c>
      <c r="B365" s="14" t="s">
        <v>3</v>
      </c>
      <c r="C365" s="127" t="s">
        <v>27</v>
      </c>
      <c r="D365" s="14" t="s">
        <v>23</v>
      </c>
      <c r="E365" s="129">
        <f>42055+(7*364+7)</f>
        <v>44610</v>
      </c>
      <c r="F365" s="15">
        <v>799.95</v>
      </c>
      <c r="G365" s="130">
        <v>4</v>
      </c>
      <c r="H365" s="123">
        <f t="shared" si="6"/>
        <v>3199.8</v>
      </c>
      <c r="I365" s="16"/>
      <c r="J365" s="16"/>
      <c r="K365"/>
      <c r="L365"/>
      <c r="M365" s="16"/>
      <c r="N365" s="16"/>
      <c r="O365"/>
      <c r="P365"/>
      <c r="Q365"/>
      <c r="R365"/>
      <c r="S365"/>
      <c r="T365"/>
      <c r="U365"/>
      <c r="V365"/>
      <c r="W365" s="17"/>
    </row>
    <row r="366" spans="1:23">
      <c r="A366" s="125" t="s">
        <v>35</v>
      </c>
      <c r="B366" s="14" t="s">
        <v>1</v>
      </c>
      <c r="C366" s="127" t="s">
        <v>29</v>
      </c>
      <c r="D366" s="14" t="s">
        <v>21</v>
      </c>
      <c r="E366" s="129">
        <f>42217+(7*364+7)</f>
        <v>44772</v>
      </c>
      <c r="F366" s="15">
        <v>79.989999999999995</v>
      </c>
      <c r="G366" s="130">
        <v>9</v>
      </c>
      <c r="H366" s="123">
        <f t="shared" si="6"/>
        <v>719.91</v>
      </c>
      <c r="I366" s="16"/>
      <c r="J366" s="16"/>
      <c r="K366"/>
      <c r="L366"/>
      <c r="M366" s="16"/>
      <c r="N366" s="16"/>
      <c r="O366"/>
      <c r="P366"/>
      <c r="Q366"/>
      <c r="R366"/>
      <c r="S366"/>
      <c r="T366"/>
      <c r="U366"/>
      <c r="V366"/>
      <c r="W366" s="17"/>
    </row>
    <row r="367" spans="1:23">
      <c r="A367" s="125" t="s">
        <v>33</v>
      </c>
      <c r="B367" s="14" t="s">
        <v>0</v>
      </c>
      <c r="C367" s="127" t="s">
        <v>18</v>
      </c>
      <c r="D367" s="14" t="s">
        <v>19</v>
      </c>
      <c r="E367" s="129">
        <f>41793+(7*364+7)</f>
        <v>44348</v>
      </c>
      <c r="F367" s="15">
        <v>168.95</v>
      </c>
      <c r="G367" s="130">
        <v>14</v>
      </c>
      <c r="H367" s="123">
        <f t="shared" si="6"/>
        <v>2365.2999999999997</v>
      </c>
      <c r="I367" s="16"/>
      <c r="J367" s="16"/>
      <c r="K367"/>
      <c r="L367"/>
      <c r="M367" s="16"/>
      <c r="N367" s="16"/>
      <c r="O367"/>
      <c r="P367"/>
      <c r="Q367"/>
      <c r="R367"/>
      <c r="S367"/>
      <c r="T367"/>
      <c r="U367"/>
      <c r="V367"/>
      <c r="W367" s="17"/>
    </row>
    <row r="368" spans="1:23">
      <c r="A368" s="125" t="s">
        <v>6</v>
      </c>
      <c r="B368" s="14" t="s">
        <v>4</v>
      </c>
      <c r="C368" s="127" t="s">
        <v>18</v>
      </c>
      <c r="D368" s="14" t="s">
        <v>23</v>
      </c>
      <c r="E368" s="129">
        <f>41928+(7*364+7)</f>
        <v>44483</v>
      </c>
      <c r="F368" s="15">
        <v>340.95</v>
      </c>
      <c r="G368" s="130">
        <v>3</v>
      </c>
      <c r="H368" s="123">
        <f t="shared" si="6"/>
        <v>1022.8499999999999</v>
      </c>
      <c r="I368" s="16"/>
      <c r="J368" s="16"/>
      <c r="K368"/>
      <c r="L368"/>
      <c r="M368" s="16"/>
      <c r="N368" s="16"/>
      <c r="O368"/>
      <c r="P368"/>
      <c r="Q368"/>
      <c r="R368"/>
      <c r="S368"/>
      <c r="T368"/>
      <c r="U368"/>
      <c r="V368"/>
      <c r="W368" s="17"/>
    </row>
    <row r="369" spans="1:23">
      <c r="A369" s="125" t="s">
        <v>34</v>
      </c>
      <c r="B369" s="14" t="s">
        <v>2</v>
      </c>
      <c r="C369" s="127" t="s">
        <v>32</v>
      </c>
      <c r="D369" s="14" t="s">
        <v>23</v>
      </c>
      <c r="E369" s="129">
        <f>41679+(7*364+7)</f>
        <v>44234</v>
      </c>
      <c r="F369" s="15">
        <v>340.95</v>
      </c>
      <c r="G369" s="130">
        <v>1</v>
      </c>
      <c r="H369" s="123">
        <f t="shared" si="6"/>
        <v>340.95</v>
      </c>
      <c r="I369" s="16"/>
      <c r="J369" s="16"/>
      <c r="K369"/>
      <c r="L369"/>
      <c r="M369" s="16"/>
      <c r="N369" s="16"/>
      <c r="O369"/>
      <c r="P369"/>
      <c r="Q369"/>
      <c r="R369"/>
      <c r="S369"/>
      <c r="T369"/>
      <c r="U369"/>
      <c r="V369"/>
      <c r="W369" s="17"/>
    </row>
    <row r="370" spans="1:23">
      <c r="A370" s="125" t="s">
        <v>26</v>
      </c>
      <c r="B370" s="14" t="s">
        <v>2</v>
      </c>
      <c r="C370" s="127" t="s">
        <v>27</v>
      </c>
      <c r="D370" s="14" t="s">
        <v>19</v>
      </c>
      <c r="E370" s="129">
        <f>42167+(7*364+7)</f>
        <v>44722</v>
      </c>
      <c r="F370" s="15">
        <v>340.95</v>
      </c>
      <c r="G370" s="130">
        <v>8</v>
      </c>
      <c r="H370" s="123">
        <f t="shared" si="6"/>
        <v>2727.6</v>
      </c>
      <c r="I370" s="16"/>
      <c r="J370" s="16"/>
      <c r="K370"/>
      <c r="L370"/>
      <c r="M370" s="16"/>
      <c r="N370" s="16"/>
      <c r="O370"/>
      <c r="P370"/>
      <c r="Q370"/>
      <c r="R370"/>
      <c r="S370"/>
      <c r="T370"/>
      <c r="U370"/>
      <c r="V370"/>
      <c r="W370" s="17"/>
    </row>
    <row r="371" spans="1:23">
      <c r="A371" s="125" t="s">
        <v>16</v>
      </c>
      <c r="B371" s="14" t="s">
        <v>2</v>
      </c>
      <c r="C371" s="127" t="s">
        <v>29</v>
      </c>
      <c r="D371" s="14" t="s">
        <v>19</v>
      </c>
      <c r="E371" s="129">
        <f>41971+(7*364+7)</f>
        <v>44526</v>
      </c>
      <c r="F371" s="15">
        <v>340.95</v>
      </c>
      <c r="G371" s="130">
        <v>14</v>
      </c>
      <c r="H371" s="123">
        <f t="shared" si="6"/>
        <v>4773.3</v>
      </c>
      <c r="I371" s="16"/>
      <c r="J371" s="16"/>
      <c r="K371"/>
      <c r="L371"/>
      <c r="M371" s="16"/>
      <c r="N371" s="16"/>
      <c r="O371"/>
      <c r="P371"/>
      <c r="Q371"/>
      <c r="R371"/>
      <c r="S371"/>
      <c r="T371"/>
      <c r="U371"/>
      <c r="V371"/>
      <c r="W371" s="17"/>
    </row>
    <row r="372" spans="1:23">
      <c r="A372" s="125" t="s">
        <v>26</v>
      </c>
      <c r="B372" s="14" t="s">
        <v>4</v>
      </c>
      <c r="C372" s="127" t="s">
        <v>27</v>
      </c>
      <c r="D372" s="14" t="s">
        <v>22</v>
      </c>
      <c r="E372" s="129">
        <f>41857+(7*364+7)</f>
        <v>44412</v>
      </c>
      <c r="F372" s="15">
        <v>340.95</v>
      </c>
      <c r="G372" s="130">
        <v>4</v>
      </c>
      <c r="H372" s="123">
        <f t="shared" si="6"/>
        <v>1363.8</v>
      </c>
      <c r="I372" s="16"/>
      <c r="J372" s="16"/>
      <c r="K372"/>
      <c r="L372"/>
      <c r="M372" s="16"/>
      <c r="N372" s="16"/>
      <c r="O372"/>
      <c r="P372"/>
      <c r="Q372"/>
      <c r="R372"/>
      <c r="S372"/>
      <c r="T372"/>
      <c r="U372"/>
      <c r="V372"/>
      <c r="W372" s="17"/>
    </row>
    <row r="373" spans="1:23">
      <c r="A373" s="125" t="s">
        <v>34</v>
      </c>
      <c r="B373" s="14" t="s">
        <v>3</v>
      </c>
      <c r="C373" s="127" t="s">
        <v>32</v>
      </c>
      <c r="D373" s="14" t="s">
        <v>23</v>
      </c>
      <c r="E373" s="129">
        <f>41724+(7*364+7)</f>
        <v>44279</v>
      </c>
      <c r="F373" s="15">
        <v>799.95</v>
      </c>
      <c r="G373" s="130">
        <v>8</v>
      </c>
      <c r="H373" s="123">
        <f t="shared" si="6"/>
        <v>6399.6</v>
      </c>
      <c r="I373" s="16"/>
      <c r="J373" s="16"/>
      <c r="K373"/>
      <c r="L373"/>
      <c r="M373" s="16"/>
      <c r="N373" s="16"/>
      <c r="O373"/>
      <c r="P373"/>
      <c r="Q373"/>
      <c r="R373"/>
      <c r="S373"/>
      <c r="T373"/>
      <c r="U373"/>
      <c r="V373"/>
      <c r="W373" s="17"/>
    </row>
    <row r="374" spans="1:23">
      <c r="A374" s="125" t="s">
        <v>16</v>
      </c>
      <c r="B374" s="14" t="s">
        <v>3</v>
      </c>
      <c r="C374" s="127" t="s">
        <v>29</v>
      </c>
      <c r="D374" s="14" t="s">
        <v>19</v>
      </c>
      <c r="E374" s="129">
        <f>41745+(7*364+7)</f>
        <v>44300</v>
      </c>
      <c r="F374" s="15">
        <v>799.95</v>
      </c>
      <c r="G374" s="130">
        <v>7</v>
      </c>
      <c r="H374" s="123">
        <f t="shared" si="6"/>
        <v>5599.6500000000005</v>
      </c>
      <c r="I374" s="16"/>
      <c r="J374" s="16"/>
      <c r="K374"/>
      <c r="L374"/>
      <c r="M374" s="16"/>
      <c r="N374" s="16"/>
      <c r="O374"/>
      <c r="P374"/>
      <c r="Q374"/>
      <c r="R374"/>
      <c r="S374"/>
      <c r="T374"/>
      <c r="U374"/>
      <c r="V374"/>
      <c r="W374" s="17"/>
    </row>
    <row r="375" spans="1:23">
      <c r="A375" s="125" t="s">
        <v>31</v>
      </c>
      <c r="B375" s="14" t="s">
        <v>2</v>
      </c>
      <c r="C375" s="127" t="s">
        <v>32</v>
      </c>
      <c r="D375" s="14" t="s">
        <v>20</v>
      </c>
      <c r="E375" s="129">
        <f>42256+(7*364+7)</f>
        <v>44811</v>
      </c>
      <c r="F375" s="15">
        <v>340.95</v>
      </c>
      <c r="G375" s="130">
        <v>9</v>
      </c>
      <c r="H375" s="123">
        <f t="shared" si="6"/>
        <v>3068.5499999999997</v>
      </c>
      <c r="I375" s="16"/>
      <c r="J375" s="16"/>
      <c r="K375"/>
      <c r="L375"/>
      <c r="M375" s="16"/>
      <c r="N375" s="16"/>
      <c r="O375"/>
      <c r="P375"/>
      <c r="Q375"/>
      <c r="R375"/>
      <c r="S375"/>
      <c r="T375"/>
      <c r="U375"/>
      <c r="V375"/>
      <c r="W375" s="17"/>
    </row>
    <row r="376" spans="1:23">
      <c r="A376" s="125" t="s">
        <v>7</v>
      </c>
      <c r="B376" s="14" t="s">
        <v>0</v>
      </c>
      <c r="C376" s="127" t="s">
        <v>27</v>
      </c>
      <c r="D376" s="14" t="s">
        <v>19</v>
      </c>
      <c r="E376" s="129">
        <f>42305+(7*364+7)</f>
        <v>44860</v>
      </c>
      <c r="F376" s="15">
        <v>168.95</v>
      </c>
      <c r="G376" s="130">
        <v>18</v>
      </c>
      <c r="H376" s="123">
        <f t="shared" si="6"/>
        <v>3041.1</v>
      </c>
      <c r="I376" s="16"/>
      <c r="J376" s="16"/>
      <c r="K376"/>
      <c r="L376"/>
      <c r="M376" s="16"/>
      <c r="N376" s="16"/>
      <c r="O376"/>
      <c r="P376"/>
      <c r="Q376"/>
      <c r="R376"/>
      <c r="S376"/>
      <c r="T376"/>
      <c r="U376"/>
      <c r="V376"/>
      <c r="W376" s="17"/>
    </row>
    <row r="377" spans="1:23">
      <c r="A377" s="125" t="s">
        <v>25</v>
      </c>
      <c r="B377" s="14" t="s">
        <v>4</v>
      </c>
      <c r="C377" s="127" t="s">
        <v>32</v>
      </c>
      <c r="D377" s="14" t="s">
        <v>20</v>
      </c>
      <c r="E377" s="129">
        <f>42270+(7*364+7)</f>
        <v>44825</v>
      </c>
      <c r="F377" s="15">
        <v>340.95</v>
      </c>
      <c r="G377" s="130">
        <v>8</v>
      </c>
      <c r="H377" s="123">
        <f t="shared" si="6"/>
        <v>2727.6</v>
      </c>
      <c r="I377" s="16"/>
      <c r="J377" s="16"/>
      <c r="K377"/>
      <c r="L377"/>
      <c r="M377" s="16"/>
      <c r="N377" s="16"/>
      <c r="O377"/>
      <c r="P377"/>
      <c r="Q377"/>
      <c r="R377"/>
      <c r="S377"/>
      <c r="T377"/>
      <c r="U377"/>
      <c r="V377"/>
      <c r="W377" s="17"/>
    </row>
    <row r="378" spans="1:23">
      <c r="A378" s="125" t="s">
        <v>28</v>
      </c>
      <c r="B378" s="14" t="s">
        <v>3</v>
      </c>
      <c r="C378" s="127" t="s">
        <v>32</v>
      </c>
      <c r="D378" s="14" t="s">
        <v>20</v>
      </c>
      <c r="E378" s="129">
        <f>41944+(7*364+7)</f>
        <v>44499</v>
      </c>
      <c r="F378" s="15">
        <v>799.95</v>
      </c>
      <c r="G378" s="130">
        <v>10</v>
      </c>
      <c r="H378" s="123">
        <f t="shared" si="6"/>
        <v>7999.5</v>
      </c>
      <c r="I378" s="16"/>
      <c r="J378" s="16"/>
      <c r="K378"/>
      <c r="L378"/>
      <c r="M378" s="16"/>
      <c r="N378" s="16"/>
      <c r="O378"/>
      <c r="P378"/>
      <c r="Q378"/>
      <c r="R378"/>
      <c r="S378"/>
      <c r="T378"/>
      <c r="U378"/>
      <c r="V378"/>
      <c r="W378" s="17"/>
    </row>
    <row r="379" spans="1:23">
      <c r="A379" s="125" t="s">
        <v>16</v>
      </c>
      <c r="B379" s="14" t="s">
        <v>1</v>
      </c>
      <c r="C379" s="127" t="s">
        <v>29</v>
      </c>
      <c r="D379" s="14" t="s">
        <v>21</v>
      </c>
      <c r="E379" s="129">
        <f>41803+(7*364+7)</f>
        <v>44358</v>
      </c>
      <c r="F379" s="15">
        <v>79.989999999999995</v>
      </c>
      <c r="G379" s="130">
        <v>9</v>
      </c>
      <c r="H379" s="123">
        <f t="shared" si="6"/>
        <v>719.91</v>
      </c>
      <c r="I379" s="16"/>
      <c r="J379" s="16"/>
      <c r="K379"/>
      <c r="L379"/>
      <c r="M379" s="16"/>
      <c r="N379" s="16"/>
      <c r="O379"/>
      <c r="P379"/>
      <c r="Q379"/>
      <c r="R379"/>
      <c r="S379"/>
      <c r="T379"/>
      <c r="U379"/>
      <c r="V379"/>
      <c r="W379" s="17"/>
    </row>
    <row r="380" spans="1:23">
      <c r="A380" s="125" t="s">
        <v>28</v>
      </c>
      <c r="B380" s="14" t="s">
        <v>4</v>
      </c>
      <c r="C380" s="127" t="s">
        <v>32</v>
      </c>
      <c r="D380" s="14" t="s">
        <v>19</v>
      </c>
      <c r="E380" s="129">
        <f>41990+(7*364+7)</f>
        <v>44545</v>
      </c>
      <c r="F380" s="15">
        <v>340.95</v>
      </c>
      <c r="G380" s="130">
        <v>13</v>
      </c>
      <c r="H380" s="123">
        <f t="shared" si="6"/>
        <v>4432.3499999999995</v>
      </c>
      <c r="I380" s="16"/>
      <c r="J380" s="16"/>
      <c r="K380"/>
      <c r="L380"/>
      <c r="M380" s="16"/>
      <c r="N380" s="16"/>
      <c r="O380"/>
      <c r="P380"/>
      <c r="Q380"/>
      <c r="R380"/>
      <c r="S380"/>
      <c r="T380"/>
      <c r="U380"/>
      <c r="V380"/>
      <c r="W380" s="17"/>
    </row>
    <row r="381" spans="1:23">
      <c r="A381" s="125" t="s">
        <v>34</v>
      </c>
      <c r="B381" s="14" t="s">
        <v>4</v>
      </c>
      <c r="C381" s="127" t="s">
        <v>32</v>
      </c>
      <c r="D381" s="14" t="s">
        <v>19</v>
      </c>
      <c r="E381" s="129">
        <f>42106+(7*364+7)</f>
        <v>44661</v>
      </c>
      <c r="F381" s="15">
        <v>340.95</v>
      </c>
      <c r="G381" s="130">
        <v>15</v>
      </c>
      <c r="H381" s="123">
        <f t="shared" si="6"/>
        <v>5114.25</v>
      </c>
      <c r="I381" s="16"/>
      <c r="J381" s="16"/>
      <c r="K381"/>
      <c r="L381"/>
      <c r="M381" s="16"/>
      <c r="N381" s="16"/>
      <c r="O381"/>
      <c r="P381"/>
      <c r="Q381"/>
      <c r="R381"/>
      <c r="S381"/>
      <c r="T381"/>
      <c r="U381"/>
      <c r="V381"/>
      <c r="W381" s="17"/>
    </row>
    <row r="382" spans="1:23">
      <c r="A382" s="125" t="s">
        <v>33</v>
      </c>
      <c r="B382" s="14" t="s">
        <v>2</v>
      </c>
      <c r="C382" s="127" t="s">
        <v>18</v>
      </c>
      <c r="D382" s="14" t="s">
        <v>19</v>
      </c>
      <c r="E382" s="129">
        <f>41832+(7*364+7)</f>
        <v>44387</v>
      </c>
      <c r="F382" s="15">
        <v>340.95</v>
      </c>
      <c r="G382" s="130">
        <v>9</v>
      </c>
      <c r="H382" s="123">
        <f t="shared" si="6"/>
        <v>3068.5499999999997</v>
      </c>
      <c r="I382" s="16"/>
      <c r="J382" s="16"/>
      <c r="K382"/>
      <c r="L382"/>
      <c r="M382" s="16"/>
      <c r="N382" s="16"/>
      <c r="O382"/>
      <c r="P382"/>
      <c r="Q382"/>
      <c r="R382"/>
      <c r="S382"/>
      <c r="T382"/>
      <c r="U382"/>
      <c r="V382"/>
      <c r="W382" s="17"/>
    </row>
    <row r="383" spans="1:23">
      <c r="A383" s="125" t="s">
        <v>16</v>
      </c>
      <c r="B383" s="14" t="s">
        <v>3</v>
      </c>
      <c r="C383" s="127" t="s">
        <v>29</v>
      </c>
      <c r="D383" s="14" t="s">
        <v>19</v>
      </c>
      <c r="E383" s="129">
        <f>42180+(7*364+7)</f>
        <v>44735</v>
      </c>
      <c r="F383" s="15">
        <v>799.95</v>
      </c>
      <c r="G383" s="130">
        <v>16</v>
      </c>
      <c r="H383" s="123">
        <f t="shared" si="6"/>
        <v>12799.2</v>
      </c>
      <c r="I383" s="16"/>
      <c r="J383" s="16"/>
      <c r="K383"/>
      <c r="L383"/>
      <c r="M383" s="16"/>
      <c r="N383" s="16"/>
      <c r="O383"/>
      <c r="P383"/>
      <c r="Q383"/>
      <c r="R383"/>
      <c r="S383"/>
      <c r="T383"/>
      <c r="U383"/>
      <c r="V383"/>
      <c r="W383" s="17"/>
    </row>
    <row r="384" spans="1:23">
      <c r="A384" s="125" t="s">
        <v>26</v>
      </c>
      <c r="B384" s="14" t="s">
        <v>1</v>
      </c>
      <c r="C384" s="127" t="s">
        <v>27</v>
      </c>
      <c r="D384" s="14" t="s">
        <v>20</v>
      </c>
      <c r="E384" s="129">
        <f>42349+(7*364+7)</f>
        <v>44904</v>
      </c>
      <c r="F384" s="15">
        <v>79.989999999999995</v>
      </c>
      <c r="G384" s="130">
        <v>15</v>
      </c>
      <c r="H384" s="123">
        <f t="shared" si="6"/>
        <v>1199.8499999999999</v>
      </c>
      <c r="I384" s="16"/>
      <c r="J384" s="16"/>
      <c r="K384"/>
      <c r="L384"/>
      <c r="M384" s="16"/>
      <c r="N384" s="16"/>
      <c r="O384"/>
      <c r="P384"/>
      <c r="Q384"/>
      <c r="R384"/>
      <c r="S384"/>
      <c r="T384"/>
      <c r="U384"/>
      <c r="V384"/>
      <c r="W384" s="17"/>
    </row>
    <row r="385" spans="1:23">
      <c r="A385" s="125" t="s">
        <v>34</v>
      </c>
      <c r="B385" s="14" t="s">
        <v>3</v>
      </c>
      <c r="C385" s="127" t="s">
        <v>32</v>
      </c>
      <c r="D385" s="14" t="s">
        <v>21</v>
      </c>
      <c r="E385" s="129">
        <f>42180+(7*364+7)</f>
        <v>44735</v>
      </c>
      <c r="F385" s="15">
        <v>799.95</v>
      </c>
      <c r="G385" s="130">
        <v>8</v>
      </c>
      <c r="H385" s="123">
        <f t="shared" si="6"/>
        <v>6399.6</v>
      </c>
      <c r="I385" s="16"/>
      <c r="J385" s="16"/>
      <c r="K385"/>
      <c r="L385"/>
      <c r="M385" s="16"/>
      <c r="N385" s="16"/>
      <c r="O385"/>
      <c r="P385"/>
      <c r="Q385"/>
      <c r="R385"/>
      <c r="S385"/>
      <c r="T385"/>
      <c r="U385"/>
      <c r="V385"/>
      <c r="W385" s="17"/>
    </row>
    <row r="386" spans="1:23">
      <c r="A386" s="125" t="s">
        <v>17</v>
      </c>
      <c r="B386" s="14" t="s">
        <v>1</v>
      </c>
      <c r="C386" s="127" t="s">
        <v>18</v>
      </c>
      <c r="D386" s="14" t="s">
        <v>20</v>
      </c>
      <c r="E386" s="129">
        <f>41846+(7*364+7)</f>
        <v>44401</v>
      </c>
      <c r="F386" s="15">
        <v>79.989999999999995</v>
      </c>
      <c r="G386" s="130">
        <v>9</v>
      </c>
      <c r="H386" s="123">
        <f t="shared" si="6"/>
        <v>719.91</v>
      </c>
      <c r="I386" s="16"/>
      <c r="J386" s="16"/>
      <c r="K386"/>
      <c r="L386"/>
      <c r="M386" s="16"/>
      <c r="N386" s="16"/>
      <c r="O386"/>
      <c r="P386"/>
      <c r="Q386"/>
      <c r="R386"/>
      <c r="S386"/>
      <c r="T386"/>
      <c r="U386"/>
      <c r="V386"/>
      <c r="W386" s="17"/>
    </row>
    <row r="387" spans="1:23">
      <c r="A387" s="125" t="s">
        <v>26</v>
      </c>
      <c r="B387" s="14" t="s">
        <v>4</v>
      </c>
      <c r="C387" s="127" t="s">
        <v>27</v>
      </c>
      <c r="D387" s="14" t="s">
        <v>19</v>
      </c>
      <c r="E387" s="129">
        <f>42006+(7*364+7)</f>
        <v>44561</v>
      </c>
      <c r="F387" s="15">
        <v>340.95</v>
      </c>
      <c r="G387" s="130">
        <v>12</v>
      </c>
      <c r="H387" s="123">
        <f t="shared" ref="H387:H450" si="7">F387*G387</f>
        <v>4091.3999999999996</v>
      </c>
      <c r="I387" s="16"/>
      <c r="J387" s="16"/>
      <c r="K387"/>
      <c r="L387"/>
      <c r="M387" s="16"/>
      <c r="N387" s="16"/>
      <c r="O387"/>
      <c r="P387"/>
      <c r="Q387"/>
      <c r="R387"/>
      <c r="S387"/>
      <c r="T387"/>
      <c r="U387"/>
      <c r="V387"/>
      <c r="W387" s="17"/>
    </row>
    <row r="388" spans="1:23">
      <c r="A388" s="125" t="s">
        <v>34</v>
      </c>
      <c r="B388" s="14" t="s">
        <v>4</v>
      </c>
      <c r="C388" s="127" t="s">
        <v>32</v>
      </c>
      <c r="D388" s="14" t="s">
        <v>19</v>
      </c>
      <c r="E388" s="129">
        <f>42155+(7*364+7)</f>
        <v>44710</v>
      </c>
      <c r="F388" s="15">
        <v>340.95</v>
      </c>
      <c r="G388" s="130">
        <v>20</v>
      </c>
      <c r="H388" s="123">
        <f t="shared" si="7"/>
        <v>6819</v>
      </c>
      <c r="I388" s="16"/>
      <c r="J388" s="16"/>
      <c r="K388"/>
      <c r="L388"/>
      <c r="M388" s="16"/>
      <c r="N388" s="16"/>
      <c r="O388"/>
      <c r="P388"/>
      <c r="Q388"/>
      <c r="R388"/>
      <c r="S388"/>
      <c r="T388"/>
      <c r="U388"/>
      <c r="V388"/>
      <c r="W388" s="17"/>
    </row>
    <row r="389" spans="1:23">
      <c r="A389" s="125" t="s">
        <v>26</v>
      </c>
      <c r="B389" s="14" t="s">
        <v>4</v>
      </c>
      <c r="C389" s="127" t="s">
        <v>27</v>
      </c>
      <c r="D389" s="14" t="s">
        <v>23</v>
      </c>
      <c r="E389" s="129">
        <f>41650+(7*364+7)</f>
        <v>44205</v>
      </c>
      <c r="F389" s="15">
        <v>340.95</v>
      </c>
      <c r="G389" s="130">
        <v>6</v>
      </c>
      <c r="H389" s="123">
        <f t="shared" si="7"/>
        <v>2045.6999999999998</v>
      </c>
      <c r="I389" s="16"/>
      <c r="J389" s="16"/>
      <c r="K389"/>
      <c r="L389"/>
      <c r="M389" s="16"/>
      <c r="N389" s="16"/>
      <c r="O389"/>
      <c r="P389"/>
      <c r="Q389"/>
      <c r="R389"/>
      <c r="S389"/>
      <c r="T389"/>
      <c r="U389"/>
      <c r="V389"/>
      <c r="W389" s="17"/>
    </row>
    <row r="390" spans="1:23">
      <c r="A390" s="125" t="s">
        <v>17</v>
      </c>
      <c r="B390" s="14" t="s">
        <v>1</v>
      </c>
      <c r="C390" s="127" t="s">
        <v>18</v>
      </c>
      <c r="D390" s="14" t="s">
        <v>19</v>
      </c>
      <c r="E390" s="129">
        <f>42005+(7*364+7)</f>
        <v>44560</v>
      </c>
      <c r="F390" s="15">
        <v>79.989999999999995</v>
      </c>
      <c r="G390" s="130">
        <v>9</v>
      </c>
      <c r="H390" s="123">
        <f t="shared" si="7"/>
        <v>719.91</v>
      </c>
      <c r="I390" s="16"/>
      <c r="J390" s="16"/>
      <c r="K390"/>
      <c r="L390"/>
      <c r="M390" s="16"/>
      <c r="N390" s="16"/>
      <c r="O390"/>
      <c r="P390"/>
      <c r="Q390"/>
      <c r="R390"/>
      <c r="S390"/>
      <c r="T390"/>
      <c r="U390"/>
      <c r="V390"/>
      <c r="W390" s="17"/>
    </row>
    <row r="391" spans="1:23">
      <c r="A391" s="125" t="s">
        <v>6</v>
      </c>
      <c r="B391" s="14" t="s">
        <v>0</v>
      </c>
      <c r="C391" s="127" t="s">
        <v>18</v>
      </c>
      <c r="D391" s="14" t="s">
        <v>23</v>
      </c>
      <c r="E391" s="129">
        <f>42319+(7*364+7)</f>
        <v>44874</v>
      </c>
      <c r="F391" s="15">
        <v>168.95</v>
      </c>
      <c r="G391" s="130">
        <v>13</v>
      </c>
      <c r="H391" s="123">
        <f t="shared" si="7"/>
        <v>2196.35</v>
      </c>
      <c r="I391" s="16"/>
      <c r="J391" s="16"/>
      <c r="K391"/>
      <c r="L391"/>
      <c r="M391" s="16"/>
      <c r="N391" s="16"/>
      <c r="O391"/>
      <c r="P391"/>
      <c r="Q391"/>
      <c r="R391"/>
      <c r="S391"/>
      <c r="T391"/>
      <c r="U391"/>
      <c r="V391"/>
      <c r="W391" s="17"/>
    </row>
    <row r="392" spans="1:23">
      <c r="A392" s="125" t="s">
        <v>34</v>
      </c>
      <c r="B392" s="14" t="s">
        <v>2</v>
      </c>
      <c r="C392" s="127" t="s">
        <v>32</v>
      </c>
      <c r="D392" s="14" t="s">
        <v>23</v>
      </c>
      <c r="E392" s="129">
        <f>41962+(7*364+7)</f>
        <v>44517</v>
      </c>
      <c r="F392" s="15">
        <v>340.95</v>
      </c>
      <c r="G392" s="130">
        <v>10</v>
      </c>
      <c r="H392" s="123">
        <f t="shared" si="7"/>
        <v>3409.5</v>
      </c>
      <c r="I392" s="16"/>
      <c r="J392" s="16"/>
      <c r="K392"/>
      <c r="L392"/>
      <c r="M392" s="16"/>
      <c r="N392" s="16"/>
      <c r="O392"/>
      <c r="P392"/>
      <c r="Q392"/>
      <c r="R392"/>
      <c r="S392"/>
      <c r="T392"/>
      <c r="U392"/>
      <c r="V392"/>
      <c r="W392" s="17"/>
    </row>
    <row r="393" spans="1:23">
      <c r="A393" s="125" t="s">
        <v>16</v>
      </c>
      <c r="B393" s="14" t="s">
        <v>4</v>
      </c>
      <c r="C393" s="127" t="s">
        <v>29</v>
      </c>
      <c r="D393" s="14" t="s">
        <v>23</v>
      </c>
      <c r="E393" s="129">
        <f>42249+(7*364+7)</f>
        <v>44804</v>
      </c>
      <c r="F393" s="15">
        <v>340.95</v>
      </c>
      <c r="G393" s="130">
        <v>5</v>
      </c>
      <c r="H393" s="123">
        <f t="shared" si="7"/>
        <v>1704.75</v>
      </c>
      <c r="I393" s="16"/>
      <c r="J393" s="16"/>
      <c r="K393"/>
      <c r="L393"/>
      <c r="M393" s="16"/>
      <c r="N393" s="16"/>
      <c r="O393"/>
      <c r="P393"/>
      <c r="Q393"/>
      <c r="R393"/>
      <c r="S393"/>
      <c r="T393"/>
      <c r="U393"/>
      <c r="V393"/>
      <c r="W393" s="17"/>
    </row>
    <row r="394" spans="1:23">
      <c r="A394" s="125" t="s">
        <v>6</v>
      </c>
      <c r="B394" s="14" t="s">
        <v>1</v>
      </c>
      <c r="C394" s="127" t="s">
        <v>18</v>
      </c>
      <c r="D394" s="14" t="s">
        <v>20</v>
      </c>
      <c r="E394" s="129">
        <f>42236+(7*364+7)</f>
        <v>44791</v>
      </c>
      <c r="F394" s="15">
        <v>79.989999999999995</v>
      </c>
      <c r="G394" s="130">
        <v>13</v>
      </c>
      <c r="H394" s="123">
        <f t="shared" si="7"/>
        <v>1039.8699999999999</v>
      </c>
      <c r="I394" s="16"/>
      <c r="J394" s="16"/>
      <c r="K394"/>
      <c r="L394"/>
      <c r="M394" s="16"/>
      <c r="N394" s="16"/>
      <c r="O394"/>
      <c r="P394"/>
      <c r="Q394"/>
      <c r="R394"/>
      <c r="S394"/>
      <c r="T394"/>
      <c r="U394"/>
      <c r="V394"/>
      <c r="W394" s="17"/>
    </row>
    <row r="395" spans="1:23">
      <c r="A395" s="125" t="s">
        <v>34</v>
      </c>
      <c r="B395" s="14" t="s">
        <v>4</v>
      </c>
      <c r="C395" s="127" t="s">
        <v>32</v>
      </c>
      <c r="D395" s="14" t="s">
        <v>20</v>
      </c>
      <c r="E395" s="129">
        <f>42054+(7*364+7)</f>
        <v>44609</v>
      </c>
      <c r="F395" s="15">
        <v>340.95</v>
      </c>
      <c r="G395" s="130">
        <v>7</v>
      </c>
      <c r="H395" s="123">
        <f t="shared" si="7"/>
        <v>2386.65</v>
      </c>
      <c r="I395" s="16"/>
      <c r="J395" s="16"/>
      <c r="K395"/>
      <c r="L395"/>
      <c r="M395" s="16"/>
      <c r="N395" s="16"/>
      <c r="O395"/>
      <c r="P395"/>
      <c r="Q395"/>
      <c r="R395"/>
      <c r="S395"/>
      <c r="T395"/>
      <c r="U395"/>
      <c r="V395"/>
      <c r="W395" s="17"/>
    </row>
    <row r="396" spans="1:23">
      <c r="A396" s="125" t="s">
        <v>7</v>
      </c>
      <c r="B396" s="14" t="s">
        <v>3</v>
      </c>
      <c r="C396" s="127" t="s">
        <v>27</v>
      </c>
      <c r="D396" s="14" t="s">
        <v>21</v>
      </c>
      <c r="E396" s="129">
        <f>41948+(7*364+7)</f>
        <v>44503</v>
      </c>
      <c r="F396" s="15">
        <v>799.95</v>
      </c>
      <c r="G396" s="130">
        <v>7</v>
      </c>
      <c r="H396" s="123">
        <f t="shared" si="7"/>
        <v>5599.6500000000005</v>
      </c>
      <c r="I396" s="16"/>
      <c r="J396" s="16"/>
      <c r="K396"/>
      <c r="L396"/>
      <c r="M396" s="16"/>
      <c r="N396" s="16"/>
      <c r="O396"/>
      <c r="P396"/>
      <c r="Q396"/>
      <c r="R396"/>
      <c r="S396"/>
      <c r="T396"/>
      <c r="U396"/>
      <c r="V396"/>
      <c r="W396" s="17"/>
    </row>
    <row r="397" spans="1:23">
      <c r="A397" s="125" t="s">
        <v>28</v>
      </c>
      <c r="B397" s="14" t="s">
        <v>4</v>
      </c>
      <c r="C397" s="127" t="s">
        <v>32</v>
      </c>
      <c r="D397" s="14" t="s">
        <v>20</v>
      </c>
      <c r="E397" s="129">
        <f>41845+(7*364+7)</f>
        <v>44400</v>
      </c>
      <c r="F397" s="15">
        <v>340.95</v>
      </c>
      <c r="G397" s="130">
        <v>14</v>
      </c>
      <c r="H397" s="123">
        <f t="shared" si="7"/>
        <v>4773.3</v>
      </c>
      <c r="I397" s="16"/>
      <c r="J397" s="16"/>
      <c r="K397"/>
      <c r="L397"/>
      <c r="M397" s="16"/>
      <c r="N397" s="16"/>
      <c r="O397"/>
      <c r="P397"/>
      <c r="Q397"/>
      <c r="R397"/>
      <c r="S397"/>
      <c r="T397"/>
      <c r="U397"/>
      <c r="V397"/>
      <c r="W397" s="17"/>
    </row>
    <row r="398" spans="1:23">
      <c r="A398" s="125" t="s">
        <v>31</v>
      </c>
      <c r="B398" s="14" t="s">
        <v>3</v>
      </c>
      <c r="C398" s="127" t="s">
        <v>32</v>
      </c>
      <c r="D398" s="14" t="s">
        <v>22</v>
      </c>
      <c r="E398" s="129">
        <f>42046+(7*364+7)</f>
        <v>44601</v>
      </c>
      <c r="F398" s="15">
        <v>799.95</v>
      </c>
      <c r="G398" s="130">
        <v>11</v>
      </c>
      <c r="H398" s="123">
        <f t="shared" si="7"/>
        <v>8799.4500000000007</v>
      </c>
      <c r="I398" s="16"/>
      <c r="J398" s="16"/>
      <c r="K398"/>
      <c r="L398"/>
      <c r="M398" s="16"/>
      <c r="N398" s="16"/>
      <c r="O398"/>
      <c r="P398"/>
      <c r="Q398"/>
      <c r="R398"/>
      <c r="S398"/>
      <c r="T398"/>
      <c r="U398"/>
      <c r="V398"/>
      <c r="W398" s="17"/>
    </row>
    <row r="399" spans="1:23">
      <c r="A399" s="125" t="s">
        <v>34</v>
      </c>
      <c r="B399" s="14" t="s">
        <v>0</v>
      </c>
      <c r="C399" s="127" t="s">
        <v>32</v>
      </c>
      <c r="D399" s="14" t="s">
        <v>19</v>
      </c>
      <c r="E399" s="129">
        <f>41997+(7*364+7)</f>
        <v>44552</v>
      </c>
      <c r="F399" s="15">
        <v>168.95</v>
      </c>
      <c r="G399" s="130">
        <v>19</v>
      </c>
      <c r="H399" s="123">
        <f t="shared" si="7"/>
        <v>3210.0499999999997</v>
      </c>
      <c r="I399" s="16"/>
      <c r="J399" s="16"/>
      <c r="K399"/>
      <c r="L399"/>
      <c r="M399" s="16"/>
      <c r="N399" s="16"/>
      <c r="O399"/>
      <c r="P399"/>
      <c r="Q399"/>
      <c r="R399"/>
      <c r="S399"/>
      <c r="T399"/>
      <c r="U399"/>
      <c r="V399"/>
      <c r="W399" s="17"/>
    </row>
    <row r="400" spans="1:23">
      <c r="A400" s="125" t="s">
        <v>33</v>
      </c>
      <c r="B400" s="14" t="s">
        <v>2</v>
      </c>
      <c r="C400" s="127" t="s">
        <v>18</v>
      </c>
      <c r="D400" s="14" t="s">
        <v>20</v>
      </c>
      <c r="E400" s="129">
        <f>41899+(7*364+7)</f>
        <v>44454</v>
      </c>
      <c r="F400" s="15">
        <v>340.95</v>
      </c>
      <c r="G400" s="130">
        <v>8</v>
      </c>
      <c r="H400" s="123">
        <f t="shared" si="7"/>
        <v>2727.6</v>
      </c>
      <c r="I400" s="16"/>
      <c r="J400" s="16"/>
      <c r="K400"/>
      <c r="L400"/>
      <c r="M400" s="16"/>
      <c r="N400" s="16"/>
      <c r="O400"/>
      <c r="P400"/>
      <c r="Q400"/>
      <c r="R400"/>
      <c r="S400"/>
      <c r="T400"/>
      <c r="U400"/>
      <c r="V400"/>
      <c r="W400" s="17"/>
    </row>
    <row r="401" spans="1:23">
      <c r="A401" s="125" t="s">
        <v>33</v>
      </c>
      <c r="B401" s="14" t="s">
        <v>0</v>
      </c>
      <c r="C401" s="127" t="s">
        <v>18</v>
      </c>
      <c r="D401" s="14" t="s">
        <v>21</v>
      </c>
      <c r="E401" s="129">
        <f>42231+(7*364+7)</f>
        <v>44786</v>
      </c>
      <c r="F401" s="15">
        <v>168.95</v>
      </c>
      <c r="G401" s="130">
        <v>5</v>
      </c>
      <c r="H401" s="123">
        <f t="shared" si="7"/>
        <v>844.75</v>
      </c>
      <c r="I401" s="16"/>
      <c r="J401" s="16"/>
      <c r="K401"/>
      <c r="L401"/>
      <c r="M401" s="16"/>
      <c r="N401" s="16"/>
      <c r="O401"/>
      <c r="P401"/>
      <c r="Q401"/>
      <c r="R401"/>
      <c r="S401"/>
      <c r="T401"/>
      <c r="U401"/>
      <c r="V401"/>
      <c r="W401" s="17"/>
    </row>
    <row r="402" spans="1:23">
      <c r="A402" s="125" t="s">
        <v>34</v>
      </c>
      <c r="B402" s="14" t="s">
        <v>4</v>
      </c>
      <c r="C402" s="127" t="s">
        <v>32</v>
      </c>
      <c r="D402" s="14" t="s">
        <v>22</v>
      </c>
      <c r="E402" s="129">
        <f>41759+(7*364+7)</f>
        <v>44314</v>
      </c>
      <c r="F402" s="15">
        <v>340.95</v>
      </c>
      <c r="G402" s="130">
        <v>11</v>
      </c>
      <c r="H402" s="123">
        <f t="shared" si="7"/>
        <v>3750.45</v>
      </c>
      <c r="I402" s="16"/>
      <c r="J402" s="16"/>
      <c r="K402"/>
      <c r="L402"/>
      <c r="M402" s="16"/>
      <c r="N402" s="16"/>
      <c r="O402"/>
      <c r="P402"/>
      <c r="Q402"/>
      <c r="R402"/>
      <c r="S402"/>
      <c r="T402"/>
      <c r="U402"/>
      <c r="V402"/>
      <c r="W402" s="17"/>
    </row>
    <row r="403" spans="1:23">
      <c r="A403" s="125" t="s">
        <v>34</v>
      </c>
      <c r="B403" s="14" t="s">
        <v>4</v>
      </c>
      <c r="C403" s="127" t="s">
        <v>32</v>
      </c>
      <c r="D403" s="14" t="s">
        <v>22</v>
      </c>
      <c r="E403" s="129">
        <f>42053+(7*364+7)</f>
        <v>44608</v>
      </c>
      <c r="F403" s="15">
        <v>340.95</v>
      </c>
      <c r="G403" s="130">
        <v>2</v>
      </c>
      <c r="H403" s="123">
        <f t="shared" si="7"/>
        <v>681.9</v>
      </c>
      <c r="I403" s="16"/>
      <c r="J403" s="16"/>
      <c r="K403"/>
      <c r="L403"/>
      <c r="M403" s="16"/>
      <c r="N403" s="16"/>
      <c r="O403"/>
      <c r="P403"/>
      <c r="Q403"/>
      <c r="R403"/>
      <c r="S403"/>
      <c r="T403"/>
      <c r="U403"/>
      <c r="V403"/>
      <c r="W403" s="17"/>
    </row>
    <row r="404" spans="1:23">
      <c r="A404" s="125" t="s">
        <v>26</v>
      </c>
      <c r="B404" s="14" t="s">
        <v>0</v>
      </c>
      <c r="C404" s="127" t="s">
        <v>27</v>
      </c>
      <c r="D404" s="14" t="s">
        <v>22</v>
      </c>
      <c r="E404" s="129">
        <f>42011+(7*364+7)</f>
        <v>44566</v>
      </c>
      <c r="F404" s="15">
        <v>168.95</v>
      </c>
      <c r="G404" s="130">
        <v>15</v>
      </c>
      <c r="H404" s="123">
        <f t="shared" si="7"/>
        <v>2534.25</v>
      </c>
      <c r="I404" s="16"/>
      <c r="J404" s="16"/>
      <c r="K404"/>
      <c r="L404"/>
      <c r="M404" s="16"/>
      <c r="N404" s="16"/>
      <c r="O404"/>
      <c r="P404"/>
      <c r="Q404"/>
      <c r="R404"/>
      <c r="S404"/>
      <c r="T404"/>
      <c r="U404"/>
      <c r="V404"/>
      <c r="W404" s="17"/>
    </row>
    <row r="405" spans="1:23">
      <c r="A405" s="125" t="s">
        <v>25</v>
      </c>
      <c r="B405" s="14" t="s">
        <v>4</v>
      </c>
      <c r="C405" s="127" t="s">
        <v>32</v>
      </c>
      <c r="D405" s="14" t="s">
        <v>20</v>
      </c>
      <c r="E405" s="129">
        <f>41782+(7*364+7)</f>
        <v>44337</v>
      </c>
      <c r="F405" s="15">
        <v>340.95</v>
      </c>
      <c r="G405" s="130">
        <v>3</v>
      </c>
      <c r="H405" s="123">
        <f t="shared" si="7"/>
        <v>1022.8499999999999</v>
      </c>
      <c r="I405" s="16"/>
      <c r="J405" s="16"/>
      <c r="K405"/>
      <c r="L405"/>
      <c r="M405" s="16"/>
      <c r="N405" s="16"/>
      <c r="O405"/>
      <c r="P405"/>
      <c r="Q405"/>
      <c r="R405"/>
      <c r="S405"/>
      <c r="T405"/>
      <c r="U405"/>
      <c r="V405"/>
      <c r="W405" s="17"/>
    </row>
    <row r="406" spans="1:23">
      <c r="A406" s="125" t="s">
        <v>17</v>
      </c>
      <c r="B406" s="14" t="s">
        <v>2</v>
      </c>
      <c r="C406" s="127" t="s">
        <v>18</v>
      </c>
      <c r="D406" s="14" t="s">
        <v>23</v>
      </c>
      <c r="E406" s="129">
        <f>42232+(7*364+7)</f>
        <v>44787</v>
      </c>
      <c r="F406" s="15">
        <v>340.95</v>
      </c>
      <c r="G406" s="130">
        <v>3</v>
      </c>
      <c r="H406" s="123">
        <f t="shared" si="7"/>
        <v>1022.8499999999999</v>
      </c>
      <c r="I406" s="16"/>
      <c r="J406" s="16"/>
      <c r="K406"/>
      <c r="L406"/>
      <c r="M406" s="16"/>
      <c r="N406" s="16"/>
      <c r="O406"/>
      <c r="P406"/>
      <c r="Q406"/>
      <c r="R406"/>
      <c r="S406"/>
      <c r="T406"/>
      <c r="U406"/>
      <c r="V406"/>
      <c r="W406" s="17"/>
    </row>
    <row r="407" spans="1:23">
      <c r="A407" s="125" t="s">
        <v>25</v>
      </c>
      <c r="B407" s="14" t="s">
        <v>0</v>
      </c>
      <c r="C407" s="127" t="s">
        <v>32</v>
      </c>
      <c r="D407" s="14" t="s">
        <v>19</v>
      </c>
      <c r="E407" s="129">
        <f>42070+(7*364+7)</f>
        <v>44625</v>
      </c>
      <c r="F407" s="15">
        <v>168.95</v>
      </c>
      <c r="G407" s="130">
        <v>8</v>
      </c>
      <c r="H407" s="123">
        <f t="shared" si="7"/>
        <v>1351.6</v>
      </c>
      <c r="I407" s="16"/>
      <c r="J407" s="16"/>
      <c r="K407"/>
      <c r="L407"/>
      <c r="M407" s="16"/>
      <c r="N407" s="16"/>
      <c r="O407"/>
      <c r="P407"/>
      <c r="Q407"/>
      <c r="R407"/>
      <c r="S407"/>
      <c r="T407"/>
      <c r="U407"/>
      <c r="V407"/>
      <c r="W407" s="17"/>
    </row>
    <row r="408" spans="1:23">
      <c r="A408" s="125" t="s">
        <v>26</v>
      </c>
      <c r="B408" s="14" t="s">
        <v>3</v>
      </c>
      <c r="C408" s="127" t="s">
        <v>27</v>
      </c>
      <c r="D408" s="14" t="s">
        <v>21</v>
      </c>
      <c r="E408" s="129">
        <f>42327+(7*364+7)</f>
        <v>44882</v>
      </c>
      <c r="F408" s="15">
        <v>799.95</v>
      </c>
      <c r="G408" s="130">
        <v>3</v>
      </c>
      <c r="H408" s="123">
        <f t="shared" si="7"/>
        <v>2399.8500000000004</v>
      </c>
      <c r="I408" s="16"/>
      <c r="J408" s="16"/>
      <c r="K408"/>
      <c r="L408"/>
      <c r="M408" s="16"/>
      <c r="N408" s="16"/>
      <c r="O408"/>
      <c r="P408"/>
      <c r="Q408"/>
      <c r="R408"/>
      <c r="S408"/>
      <c r="T408"/>
      <c r="U408"/>
      <c r="V408"/>
      <c r="W408" s="17"/>
    </row>
    <row r="409" spans="1:23">
      <c r="A409" s="125" t="s">
        <v>17</v>
      </c>
      <c r="B409" s="14" t="s">
        <v>0</v>
      </c>
      <c r="C409" s="127" t="s">
        <v>18</v>
      </c>
      <c r="D409" s="14" t="s">
        <v>21</v>
      </c>
      <c r="E409" s="129">
        <f>41831+(7*364+7)</f>
        <v>44386</v>
      </c>
      <c r="F409" s="15">
        <v>168.95</v>
      </c>
      <c r="G409" s="130">
        <v>14</v>
      </c>
      <c r="H409" s="123">
        <f t="shared" si="7"/>
        <v>2365.2999999999997</v>
      </c>
      <c r="I409" s="16"/>
      <c r="J409" s="16"/>
      <c r="K409"/>
      <c r="L409"/>
      <c r="M409" s="16"/>
      <c r="N409" s="16"/>
      <c r="O409"/>
      <c r="P409"/>
      <c r="Q409"/>
      <c r="R409"/>
      <c r="S409"/>
      <c r="T409"/>
      <c r="U409"/>
      <c r="V409"/>
      <c r="W409" s="17"/>
    </row>
    <row r="410" spans="1:23">
      <c r="A410" s="125" t="s">
        <v>26</v>
      </c>
      <c r="B410" s="14" t="s">
        <v>1</v>
      </c>
      <c r="C410" s="127" t="s">
        <v>27</v>
      </c>
      <c r="D410" s="14" t="s">
        <v>22</v>
      </c>
      <c r="E410" s="129">
        <f>41678+(7*364+7)</f>
        <v>44233</v>
      </c>
      <c r="F410" s="15">
        <v>79.989999999999995</v>
      </c>
      <c r="G410" s="130">
        <v>14</v>
      </c>
      <c r="H410" s="123">
        <f t="shared" si="7"/>
        <v>1119.8599999999999</v>
      </c>
      <c r="I410" s="16"/>
      <c r="J410" s="16"/>
      <c r="K410"/>
      <c r="L410"/>
      <c r="M410" s="16"/>
      <c r="N410" s="16"/>
      <c r="O410"/>
      <c r="P410"/>
      <c r="Q410"/>
      <c r="R410"/>
      <c r="S410"/>
      <c r="T410"/>
      <c r="U410"/>
      <c r="V410"/>
      <c r="W410" s="17"/>
    </row>
    <row r="411" spans="1:23">
      <c r="A411" s="125" t="s">
        <v>17</v>
      </c>
      <c r="B411" s="14" t="s">
        <v>1</v>
      </c>
      <c r="C411" s="127" t="s">
        <v>18</v>
      </c>
      <c r="D411" s="14" t="s">
        <v>19</v>
      </c>
      <c r="E411" s="129">
        <f>42003+(7*364+7)</f>
        <v>44558</v>
      </c>
      <c r="F411" s="15">
        <v>79.989999999999995</v>
      </c>
      <c r="G411" s="130">
        <v>20</v>
      </c>
      <c r="H411" s="123">
        <f t="shared" si="7"/>
        <v>1599.8</v>
      </c>
      <c r="I411" s="16"/>
      <c r="J411" s="16"/>
      <c r="K411"/>
      <c r="L411"/>
      <c r="M411" s="16"/>
      <c r="N411" s="16"/>
      <c r="O411"/>
      <c r="P411"/>
      <c r="Q411"/>
      <c r="R411"/>
      <c r="S411"/>
      <c r="T411"/>
      <c r="U411"/>
      <c r="V411"/>
      <c r="W411" s="17"/>
    </row>
    <row r="412" spans="1:23">
      <c r="A412" s="125" t="s">
        <v>31</v>
      </c>
      <c r="B412" s="14" t="s">
        <v>3</v>
      </c>
      <c r="C412" s="127" t="s">
        <v>32</v>
      </c>
      <c r="D412" s="14" t="s">
        <v>19</v>
      </c>
      <c r="E412" s="129">
        <f>41998+(7*364+7)</f>
        <v>44553</v>
      </c>
      <c r="F412" s="15">
        <v>799.95</v>
      </c>
      <c r="G412" s="130">
        <v>20</v>
      </c>
      <c r="H412" s="123">
        <f t="shared" si="7"/>
        <v>15999</v>
      </c>
      <c r="I412" s="16"/>
      <c r="J412" s="16"/>
      <c r="K412"/>
      <c r="L412"/>
      <c r="M412" s="16"/>
      <c r="N412" s="16"/>
      <c r="O412"/>
      <c r="P412"/>
      <c r="Q412"/>
      <c r="R412"/>
      <c r="S412"/>
      <c r="T412"/>
      <c r="U412"/>
      <c r="V412"/>
      <c r="W412" s="17"/>
    </row>
    <row r="413" spans="1:23">
      <c r="A413" s="125" t="s">
        <v>17</v>
      </c>
      <c r="B413" s="14" t="s">
        <v>3</v>
      </c>
      <c r="C413" s="127" t="s">
        <v>18</v>
      </c>
      <c r="D413" s="14" t="s">
        <v>23</v>
      </c>
      <c r="E413" s="129">
        <f>42360+(7*364+7)</f>
        <v>44915</v>
      </c>
      <c r="F413" s="15">
        <v>799.95</v>
      </c>
      <c r="G413" s="130">
        <v>3</v>
      </c>
      <c r="H413" s="123">
        <f t="shared" si="7"/>
        <v>2399.8500000000004</v>
      </c>
      <c r="I413" s="16"/>
      <c r="J413" s="16"/>
      <c r="K413"/>
      <c r="L413"/>
      <c r="M413" s="16"/>
      <c r="N413" s="16"/>
      <c r="O413"/>
      <c r="P413"/>
      <c r="Q413"/>
      <c r="R413"/>
      <c r="S413"/>
      <c r="T413"/>
      <c r="U413"/>
      <c r="V413"/>
      <c r="W413" s="17"/>
    </row>
    <row r="414" spans="1:23">
      <c r="A414" s="125" t="s">
        <v>34</v>
      </c>
      <c r="B414" s="14" t="s">
        <v>0</v>
      </c>
      <c r="C414" s="127" t="s">
        <v>32</v>
      </c>
      <c r="D414" s="14" t="s">
        <v>23</v>
      </c>
      <c r="E414" s="129">
        <f>41914+(7*364+7)</f>
        <v>44469</v>
      </c>
      <c r="F414" s="15">
        <v>168.95</v>
      </c>
      <c r="G414" s="130">
        <v>1</v>
      </c>
      <c r="H414" s="123">
        <f t="shared" si="7"/>
        <v>168.95</v>
      </c>
      <c r="I414" s="16"/>
      <c r="J414" s="16"/>
      <c r="K414"/>
      <c r="L414"/>
      <c r="M414" s="16"/>
      <c r="N414" s="16"/>
      <c r="O414"/>
      <c r="P414"/>
      <c r="Q414"/>
      <c r="R414"/>
      <c r="S414"/>
      <c r="T414"/>
      <c r="U414"/>
      <c r="V414"/>
      <c r="W414" s="17"/>
    </row>
    <row r="415" spans="1:23">
      <c r="A415" s="125" t="s">
        <v>34</v>
      </c>
      <c r="B415" s="14" t="s">
        <v>3</v>
      </c>
      <c r="C415" s="127" t="s">
        <v>32</v>
      </c>
      <c r="D415" s="14" t="s">
        <v>21</v>
      </c>
      <c r="E415" s="129">
        <f>42035+(7*364+7)</f>
        <v>44590</v>
      </c>
      <c r="F415" s="15">
        <v>799.95</v>
      </c>
      <c r="G415" s="130">
        <v>15</v>
      </c>
      <c r="H415" s="123">
        <f t="shared" si="7"/>
        <v>11999.25</v>
      </c>
      <c r="I415" s="16"/>
      <c r="J415" s="16"/>
      <c r="K415"/>
      <c r="L415"/>
      <c r="M415" s="16"/>
      <c r="N415" s="16"/>
      <c r="O415"/>
      <c r="P415"/>
      <c r="Q415"/>
      <c r="R415"/>
      <c r="S415"/>
      <c r="T415"/>
      <c r="U415"/>
      <c r="V415"/>
      <c r="W415" s="17"/>
    </row>
    <row r="416" spans="1:23">
      <c r="A416" s="125" t="s">
        <v>7</v>
      </c>
      <c r="B416" s="14" t="s">
        <v>0</v>
      </c>
      <c r="C416" s="127" t="s">
        <v>27</v>
      </c>
      <c r="D416" s="14" t="s">
        <v>22</v>
      </c>
      <c r="E416" s="129">
        <f>41825+(7*364+7)</f>
        <v>44380</v>
      </c>
      <c r="F416" s="15">
        <v>168.95</v>
      </c>
      <c r="G416" s="130">
        <v>7</v>
      </c>
      <c r="H416" s="123">
        <f t="shared" si="7"/>
        <v>1182.6499999999999</v>
      </c>
      <c r="I416" s="16"/>
      <c r="J416" s="16"/>
      <c r="K416"/>
      <c r="L416"/>
      <c r="M416" s="16"/>
      <c r="N416" s="16"/>
      <c r="O416"/>
      <c r="P416"/>
      <c r="Q416"/>
      <c r="R416"/>
      <c r="S416"/>
      <c r="T416"/>
      <c r="U416"/>
      <c r="V416"/>
      <c r="W416" s="17"/>
    </row>
    <row r="417" spans="1:23">
      <c r="A417" s="125" t="s">
        <v>30</v>
      </c>
      <c r="B417" s="14" t="s">
        <v>1</v>
      </c>
      <c r="C417" s="127" t="s">
        <v>18</v>
      </c>
      <c r="D417" s="14" t="s">
        <v>22</v>
      </c>
      <c r="E417" s="129">
        <f>41966+(7*364+7)</f>
        <v>44521</v>
      </c>
      <c r="F417" s="15">
        <v>79.989999999999995</v>
      </c>
      <c r="G417" s="130">
        <v>4</v>
      </c>
      <c r="H417" s="123">
        <f t="shared" si="7"/>
        <v>319.95999999999998</v>
      </c>
      <c r="I417" s="16"/>
      <c r="J417" s="16"/>
      <c r="K417"/>
      <c r="L417"/>
      <c r="M417" s="16"/>
      <c r="N417" s="16"/>
      <c r="O417"/>
      <c r="P417"/>
      <c r="Q417"/>
      <c r="R417"/>
      <c r="S417"/>
      <c r="T417"/>
      <c r="U417"/>
      <c r="V417"/>
      <c r="W417" s="17"/>
    </row>
    <row r="418" spans="1:23">
      <c r="A418" s="125" t="s">
        <v>35</v>
      </c>
      <c r="B418" s="14" t="s">
        <v>0</v>
      </c>
      <c r="C418" s="127" t="s">
        <v>29</v>
      </c>
      <c r="D418" s="14" t="s">
        <v>20</v>
      </c>
      <c r="E418" s="129">
        <f>42208+(7*364+7)</f>
        <v>44763</v>
      </c>
      <c r="F418" s="15">
        <v>168.95</v>
      </c>
      <c r="G418" s="130">
        <v>2</v>
      </c>
      <c r="H418" s="123">
        <f t="shared" si="7"/>
        <v>337.9</v>
      </c>
      <c r="I418" s="16"/>
      <c r="J418" s="16"/>
      <c r="K418"/>
      <c r="L418"/>
      <c r="M418" s="16"/>
      <c r="N418" s="16"/>
      <c r="O418"/>
      <c r="P418"/>
      <c r="Q418"/>
      <c r="R418"/>
      <c r="S418"/>
      <c r="T418"/>
      <c r="U418"/>
      <c r="V418"/>
      <c r="W418" s="17"/>
    </row>
    <row r="419" spans="1:23">
      <c r="A419" s="125" t="s">
        <v>17</v>
      </c>
      <c r="B419" s="14" t="s">
        <v>4</v>
      </c>
      <c r="C419" s="127" t="s">
        <v>18</v>
      </c>
      <c r="D419" s="14" t="s">
        <v>23</v>
      </c>
      <c r="E419" s="129">
        <f>42360+(7*364+7)</f>
        <v>44915</v>
      </c>
      <c r="F419" s="15">
        <v>340.95</v>
      </c>
      <c r="G419" s="130">
        <v>15</v>
      </c>
      <c r="H419" s="123">
        <f t="shared" si="7"/>
        <v>5114.25</v>
      </c>
      <c r="I419" s="16"/>
      <c r="J419" s="16"/>
      <c r="K419"/>
      <c r="L419"/>
      <c r="M419" s="16"/>
      <c r="N419" s="16"/>
      <c r="O419"/>
      <c r="P419"/>
      <c r="Q419"/>
      <c r="R419"/>
      <c r="S419"/>
      <c r="T419"/>
      <c r="U419"/>
      <c r="V419"/>
      <c r="W419" s="17"/>
    </row>
    <row r="420" spans="1:23">
      <c r="A420" s="125" t="s">
        <v>7</v>
      </c>
      <c r="B420" s="14" t="s">
        <v>3</v>
      </c>
      <c r="C420" s="127" t="s">
        <v>27</v>
      </c>
      <c r="D420" s="14" t="s">
        <v>22</v>
      </c>
      <c r="E420" s="129">
        <f>41934+(7*364+7)</f>
        <v>44489</v>
      </c>
      <c r="F420" s="15">
        <v>799.95</v>
      </c>
      <c r="G420" s="130">
        <v>5</v>
      </c>
      <c r="H420" s="123">
        <f t="shared" si="7"/>
        <v>3999.75</v>
      </c>
      <c r="I420" s="16"/>
      <c r="J420" s="16"/>
      <c r="K420"/>
      <c r="L420"/>
      <c r="M420" s="16"/>
      <c r="N420" s="16"/>
      <c r="O420"/>
      <c r="P420"/>
      <c r="Q420"/>
      <c r="R420"/>
      <c r="S420"/>
      <c r="T420"/>
      <c r="U420"/>
      <c r="V420"/>
      <c r="W420" s="17"/>
    </row>
    <row r="421" spans="1:23">
      <c r="A421" s="125" t="s">
        <v>31</v>
      </c>
      <c r="B421" s="14" t="s">
        <v>0</v>
      </c>
      <c r="C421" s="127" t="s">
        <v>32</v>
      </c>
      <c r="D421" s="14" t="s">
        <v>19</v>
      </c>
      <c r="E421" s="129">
        <f>42106+(7*364+7)</f>
        <v>44661</v>
      </c>
      <c r="F421" s="15">
        <v>168.95</v>
      </c>
      <c r="G421" s="130">
        <v>8</v>
      </c>
      <c r="H421" s="123">
        <f t="shared" si="7"/>
        <v>1351.6</v>
      </c>
      <c r="I421" s="16"/>
      <c r="J421" s="16"/>
      <c r="K421"/>
      <c r="L421"/>
      <c r="M421" s="16"/>
      <c r="N421" s="16"/>
      <c r="O421"/>
      <c r="P421"/>
      <c r="Q421"/>
      <c r="R421"/>
      <c r="S421"/>
      <c r="T421"/>
      <c r="U421"/>
      <c r="V421"/>
      <c r="W421" s="17"/>
    </row>
    <row r="422" spans="1:23">
      <c r="A422" s="125" t="s">
        <v>34</v>
      </c>
      <c r="B422" s="14" t="s">
        <v>4</v>
      </c>
      <c r="C422" s="127" t="s">
        <v>32</v>
      </c>
      <c r="D422" s="14" t="s">
        <v>21</v>
      </c>
      <c r="E422" s="129">
        <f>41962+(7*364+7)</f>
        <v>44517</v>
      </c>
      <c r="F422" s="15">
        <v>340.95</v>
      </c>
      <c r="G422" s="130">
        <v>3</v>
      </c>
      <c r="H422" s="123">
        <f t="shared" si="7"/>
        <v>1022.8499999999999</v>
      </c>
      <c r="I422" s="16"/>
      <c r="J422" s="16"/>
      <c r="K422"/>
      <c r="L422"/>
      <c r="M422" s="16"/>
      <c r="N422" s="16"/>
      <c r="O422"/>
      <c r="P422"/>
      <c r="Q422"/>
      <c r="R422"/>
      <c r="S422"/>
      <c r="T422"/>
      <c r="U422"/>
      <c r="V422"/>
      <c r="W422" s="17"/>
    </row>
    <row r="423" spans="1:23">
      <c r="A423" s="125" t="s">
        <v>16</v>
      </c>
      <c r="B423" s="14" t="s">
        <v>4</v>
      </c>
      <c r="C423" s="127" t="s">
        <v>29</v>
      </c>
      <c r="D423" s="14" t="s">
        <v>23</v>
      </c>
      <c r="E423" s="129">
        <f>42239+(7*364+7)</f>
        <v>44794</v>
      </c>
      <c r="F423" s="15">
        <v>340.95</v>
      </c>
      <c r="G423" s="130">
        <v>1</v>
      </c>
      <c r="H423" s="123">
        <f t="shared" si="7"/>
        <v>340.95</v>
      </c>
      <c r="I423" s="16"/>
      <c r="J423" s="16"/>
      <c r="K423"/>
      <c r="L423"/>
      <c r="M423" s="16"/>
      <c r="N423" s="16"/>
      <c r="O423"/>
      <c r="P423"/>
      <c r="Q423"/>
      <c r="R423"/>
      <c r="S423"/>
      <c r="T423"/>
      <c r="U423"/>
      <c r="V423"/>
      <c r="W423" s="17"/>
    </row>
    <row r="424" spans="1:23">
      <c r="A424" s="125" t="s">
        <v>25</v>
      </c>
      <c r="B424" s="14" t="s">
        <v>2</v>
      </c>
      <c r="C424" s="127" t="s">
        <v>32</v>
      </c>
      <c r="D424" s="14" t="s">
        <v>21</v>
      </c>
      <c r="E424" s="129">
        <f>42005+(7*364+7)</f>
        <v>44560</v>
      </c>
      <c r="F424" s="15">
        <v>340.95</v>
      </c>
      <c r="G424" s="130">
        <v>8</v>
      </c>
      <c r="H424" s="123">
        <f t="shared" si="7"/>
        <v>2727.6</v>
      </c>
      <c r="I424" s="16"/>
      <c r="J424" s="16"/>
      <c r="K424"/>
      <c r="L424"/>
      <c r="M424" s="16"/>
      <c r="N424" s="16"/>
      <c r="O424"/>
      <c r="P424"/>
      <c r="Q424"/>
      <c r="R424"/>
      <c r="S424"/>
      <c r="T424"/>
      <c r="U424"/>
      <c r="V424"/>
      <c r="W424" s="17"/>
    </row>
    <row r="425" spans="1:23">
      <c r="A425" s="125" t="s">
        <v>28</v>
      </c>
      <c r="B425" s="14" t="s">
        <v>0</v>
      </c>
      <c r="C425" s="127" t="s">
        <v>32</v>
      </c>
      <c r="D425" s="14" t="s">
        <v>19</v>
      </c>
      <c r="E425" s="129">
        <f>41955+(7*364+7)</f>
        <v>44510</v>
      </c>
      <c r="F425" s="15">
        <v>168.95</v>
      </c>
      <c r="G425" s="130">
        <v>11</v>
      </c>
      <c r="H425" s="123">
        <f t="shared" si="7"/>
        <v>1858.4499999999998</v>
      </c>
      <c r="I425" s="16"/>
      <c r="J425" s="16"/>
      <c r="K425"/>
      <c r="L425"/>
      <c r="M425" s="16"/>
      <c r="N425" s="16"/>
      <c r="O425"/>
      <c r="P425"/>
      <c r="Q425"/>
      <c r="R425"/>
      <c r="S425"/>
      <c r="T425"/>
      <c r="U425"/>
      <c r="V425"/>
      <c r="W425" s="17"/>
    </row>
    <row r="426" spans="1:23">
      <c r="A426" s="125" t="s">
        <v>7</v>
      </c>
      <c r="B426" s="14" t="s">
        <v>4</v>
      </c>
      <c r="C426" s="127" t="s">
        <v>27</v>
      </c>
      <c r="D426" s="14" t="s">
        <v>21</v>
      </c>
      <c r="E426" s="129">
        <f>42285+(7*364+7)</f>
        <v>44840</v>
      </c>
      <c r="F426" s="15">
        <v>340.95</v>
      </c>
      <c r="G426" s="130">
        <v>1</v>
      </c>
      <c r="H426" s="123">
        <f t="shared" si="7"/>
        <v>340.95</v>
      </c>
      <c r="I426" s="16"/>
      <c r="J426" s="16"/>
      <c r="K426"/>
      <c r="L426"/>
      <c r="M426" s="16"/>
      <c r="N426" s="16"/>
      <c r="O426"/>
      <c r="P426"/>
      <c r="Q426"/>
      <c r="R426"/>
      <c r="S426"/>
      <c r="T426"/>
      <c r="U426"/>
      <c r="V426"/>
      <c r="W426" s="17"/>
    </row>
    <row r="427" spans="1:23">
      <c r="A427" s="125" t="s">
        <v>16</v>
      </c>
      <c r="B427" s="14" t="s">
        <v>2</v>
      </c>
      <c r="C427" s="127" t="s">
        <v>29</v>
      </c>
      <c r="D427" s="14" t="s">
        <v>23</v>
      </c>
      <c r="E427" s="129">
        <f>41962+(7*364+7)</f>
        <v>44517</v>
      </c>
      <c r="F427" s="15">
        <v>340.95</v>
      </c>
      <c r="G427" s="130">
        <v>9</v>
      </c>
      <c r="H427" s="123">
        <f t="shared" si="7"/>
        <v>3068.5499999999997</v>
      </c>
      <c r="I427" s="16"/>
      <c r="J427" s="16"/>
      <c r="K427"/>
      <c r="L427"/>
      <c r="M427" s="16"/>
      <c r="N427" s="16"/>
      <c r="O427"/>
      <c r="P427"/>
      <c r="Q427"/>
      <c r="R427"/>
      <c r="S427"/>
      <c r="T427"/>
      <c r="U427"/>
      <c r="V427"/>
      <c r="W427" s="17"/>
    </row>
    <row r="428" spans="1:23">
      <c r="A428" s="125" t="s">
        <v>17</v>
      </c>
      <c r="B428" s="14" t="s">
        <v>1</v>
      </c>
      <c r="C428" s="127" t="s">
        <v>18</v>
      </c>
      <c r="D428" s="14" t="s">
        <v>19</v>
      </c>
      <c r="E428" s="129">
        <f>41682+(7*364+7)</f>
        <v>44237</v>
      </c>
      <c r="F428" s="15">
        <v>79.989999999999995</v>
      </c>
      <c r="G428" s="130">
        <v>8</v>
      </c>
      <c r="H428" s="123">
        <f t="shared" si="7"/>
        <v>639.91999999999996</v>
      </c>
      <c r="I428" s="16"/>
      <c r="J428" s="16"/>
      <c r="K428"/>
      <c r="L428"/>
      <c r="M428" s="16"/>
      <c r="N428" s="16"/>
      <c r="O428"/>
      <c r="P428"/>
      <c r="Q428"/>
      <c r="R428"/>
      <c r="S428"/>
      <c r="T428"/>
      <c r="U428"/>
      <c r="V428"/>
      <c r="W428" s="17"/>
    </row>
    <row r="429" spans="1:23">
      <c r="A429" s="125" t="s">
        <v>30</v>
      </c>
      <c r="B429" s="14" t="s">
        <v>3</v>
      </c>
      <c r="C429" s="127" t="s">
        <v>18</v>
      </c>
      <c r="D429" s="14" t="s">
        <v>19</v>
      </c>
      <c r="E429" s="129">
        <f>41829+(7*364+7)</f>
        <v>44384</v>
      </c>
      <c r="F429" s="15">
        <v>799.95</v>
      </c>
      <c r="G429" s="130">
        <v>15</v>
      </c>
      <c r="H429" s="123">
        <f t="shared" si="7"/>
        <v>11999.25</v>
      </c>
      <c r="I429" s="16"/>
      <c r="J429" s="16"/>
      <c r="K429"/>
      <c r="L429"/>
      <c r="M429" s="16"/>
      <c r="N429" s="16"/>
      <c r="O429"/>
      <c r="P429"/>
      <c r="Q429"/>
      <c r="R429"/>
      <c r="S429"/>
      <c r="T429"/>
      <c r="U429"/>
      <c r="V429"/>
      <c r="W429" s="17"/>
    </row>
    <row r="430" spans="1:23">
      <c r="A430" s="125" t="s">
        <v>17</v>
      </c>
      <c r="B430" s="14" t="s">
        <v>3</v>
      </c>
      <c r="C430" s="127" t="s">
        <v>18</v>
      </c>
      <c r="D430" s="14" t="s">
        <v>20</v>
      </c>
      <c r="E430" s="129">
        <f>41987+(7*364+7)</f>
        <v>44542</v>
      </c>
      <c r="F430" s="15">
        <v>799.95</v>
      </c>
      <c r="G430" s="130">
        <v>7</v>
      </c>
      <c r="H430" s="123">
        <f t="shared" si="7"/>
        <v>5599.6500000000005</v>
      </c>
      <c r="I430" s="16"/>
      <c r="J430" s="16"/>
      <c r="K430"/>
      <c r="L430"/>
      <c r="M430" s="16"/>
      <c r="N430" s="16"/>
      <c r="O430"/>
      <c r="P430"/>
      <c r="Q430"/>
      <c r="R430"/>
      <c r="S430"/>
      <c r="T430"/>
      <c r="U430"/>
      <c r="V430"/>
      <c r="W430" s="17"/>
    </row>
    <row r="431" spans="1:23">
      <c r="A431" s="125" t="s">
        <v>6</v>
      </c>
      <c r="B431" s="14" t="s">
        <v>2</v>
      </c>
      <c r="C431" s="127" t="s">
        <v>29</v>
      </c>
      <c r="D431" s="14" t="s">
        <v>23</v>
      </c>
      <c r="E431" s="129">
        <f>42144+(7*364+7)</f>
        <v>44699</v>
      </c>
      <c r="F431" s="15">
        <v>340.95</v>
      </c>
      <c r="G431" s="130">
        <v>8</v>
      </c>
      <c r="H431" s="123">
        <f t="shared" si="7"/>
        <v>2727.6</v>
      </c>
      <c r="I431" s="16"/>
      <c r="J431" s="16"/>
      <c r="K431"/>
      <c r="L431"/>
      <c r="M431" s="16"/>
      <c r="N431" s="16"/>
      <c r="O431"/>
      <c r="P431"/>
      <c r="Q431"/>
      <c r="R431"/>
      <c r="S431"/>
      <c r="T431"/>
      <c r="U431"/>
      <c r="V431"/>
      <c r="W431" s="17"/>
    </row>
    <row r="432" spans="1:23">
      <c r="A432" s="125" t="s">
        <v>33</v>
      </c>
      <c r="B432" s="14" t="s">
        <v>0</v>
      </c>
      <c r="C432" s="127" t="s">
        <v>18</v>
      </c>
      <c r="D432" s="14" t="s">
        <v>20</v>
      </c>
      <c r="E432" s="129">
        <f>42150+(7*364+7)</f>
        <v>44705</v>
      </c>
      <c r="F432" s="15">
        <v>168.95</v>
      </c>
      <c r="G432" s="130">
        <v>12</v>
      </c>
      <c r="H432" s="123">
        <f t="shared" si="7"/>
        <v>2027.3999999999999</v>
      </c>
      <c r="I432" s="16"/>
      <c r="J432" s="16"/>
      <c r="K432"/>
      <c r="L432"/>
      <c r="M432" s="16"/>
      <c r="N432" s="16"/>
      <c r="O432"/>
      <c r="P432"/>
      <c r="Q432"/>
      <c r="R432"/>
      <c r="S432"/>
      <c r="T432"/>
      <c r="U432"/>
      <c r="V432"/>
      <c r="W432" s="17"/>
    </row>
    <row r="433" spans="1:23">
      <c r="A433" s="125" t="s">
        <v>17</v>
      </c>
      <c r="B433" s="14" t="s">
        <v>2</v>
      </c>
      <c r="C433" s="127" t="s">
        <v>18</v>
      </c>
      <c r="D433" s="14" t="s">
        <v>21</v>
      </c>
      <c r="E433" s="129">
        <f>41955+(7*364+7)</f>
        <v>44510</v>
      </c>
      <c r="F433" s="15">
        <v>340.95</v>
      </c>
      <c r="G433" s="130">
        <v>4</v>
      </c>
      <c r="H433" s="123">
        <f t="shared" si="7"/>
        <v>1363.8</v>
      </c>
      <c r="I433" s="16"/>
      <c r="J433" s="16"/>
      <c r="K433"/>
      <c r="L433"/>
      <c r="M433" s="16"/>
      <c r="N433" s="16"/>
      <c r="O433"/>
      <c r="P433"/>
      <c r="Q433"/>
      <c r="R433"/>
      <c r="S433"/>
      <c r="T433"/>
      <c r="U433"/>
      <c r="V433"/>
      <c r="W433" s="17"/>
    </row>
    <row r="434" spans="1:23">
      <c r="A434" s="125" t="s">
        <v>28</v>
      </c>
      <c r="B434" s="14" t="s">
        <v>0</v>
      </c>
      <c r="C434" s="127" t="s">
        <v>32</v>
      </c>
      <c r="D434" s="14" t="s">
        <v>22</v>
      </c>
      <c r="E434" s="129">
        <f>41955+(7*364+7)</f>
        <v>44510</v>
      </c>
      <c r="F434" s="15">
        <v>168.95</v>
      </c>
      <c r="G434" s="130">
        <v>1</v>
      </c>
      <c r="H434" s="123">
        <f t="shared" si="7"/>
        <v>168.95</v>
      </c>
      <c r="I434" s="16"/>
      <c r="J434" s="16"/>
      <c r="K434"/>
      <c r="L434"/>
      <c r="M434" s="16"/>
      <c r="N434" s="16"/>
      <c r="O434"/>
      <c r="P434"/>
      <c r="Q434"/>
      <c r="R434"/>
      <c r="S434"/>
      <c r="T434"/>
      <c r="U434"/>
      <c r="V434"/>
      <c r="W434" s="17"/>
    </row>
    <row r="435" spans="1:23">
      <c r="A435" s="125" t="s">
        <v>17</v>
      </c>
      <c r="B435" s="14" t="s">
        <v>3</v>
      </c>
      <c r="C435" s="127" t="s">
        <v>18</v>
      </c>
      <c r="D435" s="14" t="s">
        <v>21</v>
      </c>
      <c r="E435" s="129">
        <f>41891+(7*364+7)</f>
        <v>44446</v>
      </c>
      <c r="F435" s="15">
        <v>799.95</v>
      </c>
      <c r="G435" s="130">
        <v>4</v>
      </c>
      <c r="H435" s="123">
        <f t="shared" si="7"/>
        <v>3199.8</v>
      </c>
      <c r="I435" s="16"/>
      <c r="J435" s="16"/>
      <c r="K435"/>
      <c r="L435"/>
      <c r="M435" s="16"/>
      <c r="N435" s="16"/>
      <c r="O435"/>
      <c r="P435"/>
      <c r="Q435"/>
      <c r="R435"/>
      <c r="S435"/>
      <c r="T435"/>
      <c r="U435"/>
      <c r="V435"/>
      <c r="W435" s="17"/>
    </row>
    <row r="436" spans="1:23">
      <c r="A436" s="125" t="s">
        <v>7</v>
      </c>
      <c r="B436" s="14" t="s">
        <v>2</v>
      </c>
      <c r="C436" s="127" t="s">
        <v>27</v>
      </c>
      <c r="D436" s="14" t="s">
        <v>22</v>
      </c>
      <c r="E436" s="129">
        <f>42134+(7*364+7)</f>
        <v>44689</v>
      </c>
      <c r="F436" s="15">
        <v>340.95</v>
      </c>
      <c r="G436" s="130">
        <v>2</v>
      </c>
      <c r="H436" s="123">
        <f t="shared" si="7"/>
        <v>681.9</v>
      </c>
      <c r="I436" s="16"/>
      <c r="J436" s="16"/>
      <c r="K436"/>
      <c r="L436"/>
      <c r="M436" s="16"/>
      <c r="N436" s="16"/>
      <c r="O436"/>
      <c r="P436"/>
      <c r="Q436"/>
      <c r="R436"/>
      <c r="S436"/>
      <c r="T436"/>
      <c r="U436"/>
      <c r="V436"/>
      <c r="W436" s="17"/>
    </row>
    <row r="437" spans="1:23">
      <c r="A437" s="125" t="s">
        <v>16</v>
      </c>
      <c r="B437" s="14" t="s">
        <v>4</v>
      </c>
      <c r="C437" s="127" t="s">
        <v>29</v>
      </c>
      <c r="D437" s="14" t="s">
        <v>23</v>
      </c>
      <c r="E437" s="129">
        <f>42313+(7*364+7)</f>
        <v>44868</v>
      </c>
      <c r="F437" s="15">
        <v>340.95</v>
      </c>
      <c r="G437" s="130">
        <v>8</v>
      </c>
      <c r="H437" s="123">
        <f t="shared" si="7"/>
        <v>2727.6</v>
      </c>
      <c r="I437" s="16"/>
      <c r="J437" s="16"/>
      <c r="K437"/>
      <c r="L437"/>
      <c r="M437" s="16"/>
      <c r="N437" s="16"/>
      <c r="O437"/>
      <c r="P437"/>
      <c r="Q437"/>
      <c r="R437"/>
      <c r="S437"/>
      <c r="T437"/>
      <c r="U437"/>
      <c r="V437"/>
      <c r="W437" s="17"/>
    </row>
    <row r="438" spans="1:23">
      <c r="A438" s="125" t="s">
        <v>30</v>
      </c>
      <c r="B438" s="14" t="s">
        <v>4</v>
      </c>
      <c r="C438" s="127" t="s">
        <v>18</v>
      </c>
      <c r="D438" s="14" t="s">
        <v>19</v>
      </c>
      <c r="E438" s="129">
        <f>41738+(7*364+7)</f>
        <v>44293</v>
      </c>
      <c r="F438" s="15">
        <v>340.95</v>
      </c>
      <c r="G438" s="130">
        <v>18</v>
      </c>
      <c r="H438" s="123">
        <f t="shared" si="7"/>
        <v>6137.0999999999995</v>
      </c>
      <c r="I438" s="16"/>
      <c r="J438" s="16"/>
      <c r="K438"/>
      <c r="L438"/>
      <c r="M438" s="16"/>
      <c r="N438" s="16"/>
      <c r="O438"/>
      <c r="P438"/>
      <c r="Q438"/>
      <c r="R438"/>
      <c r="S438"/>
      <c r="T438"/>
      <c r="U438"/>
      <c r="V438"/>
      <c r="W438" s="17"/>
    </row>
    <row r="439" spans="1:23">
      <c r="A439" s="125" t="s">
        <v>28</v>
      </c>
      <c r="B439" s="14" t="s">
        <v>1</v>
      </c>
      <c r="C439" s="127" t="s">
        <v>32</v>
      </c>
      <c r="D439" s="14" t="s">
        <v>22</v>
      </c>
      <c r="E439" s="129">
        <f>42284+(7*364+7)</f>
        <v>44839</v>
      </c>
      <c r="F439" s="15">
        <v>79.989999999999995</v>
      </c>
      <c r="G439" s="130">
        <v>15</v>
      </c>
      <c r="H439" s="123">
        <f t="shared" si="7"/>
        <v>1199.8499999999999</v>
      </c>
      <c r="I439" s="16"/>
      <c r="J439" s="16"/>
      <c r="K439"/>
      <c r="L439"/>
      <c r="M439" s="16"/>
      <c r="N439" s="16"/>
      <c r="O439"/>
      <c r="P439"/>
      <c r="Q439"/>
      <c r="R439"/>
      <c r="S439"/>
      <c r="T439"/>
      <c r="U439"/>
      <c r="V439"/>
      <c r="W439" s="17"/>
    </row>
    <row r="440" spans="1:23">
      <c r="A440" s="125" t="s">
        <v>6</v>
      </c>
      <c r="B440" s="14" t="s">
        <v>1</v>
      </c>
      <c r="C440" s="127" t="s">
        <v>18</v>
      </c>
      <c r="D440" s="14" t="s">
        <v>19</v>
      </c>
      <c r="E440" s="129">
        <f>41754+(7*364+7)</f>
        <v>44309</v>
      </c>
      <c r="F440" s="15">
        <v>79.989999999999995</v>
      </c>
      <c r="G440" s="130">
        <v>10</v>
      </c>
      <c r="H440" s="123">
        <f t="shared" si="7"/>
        <v>799.9</v>
      </c>
      <c r="I440" s="16"/>
      <c r="J440" s="16"/>
      <c r="K440"/>
      <c r="L440"/>
      <c r="M440" s="16"/>
      <c r="N440" s="16"/>
      <c r="O440"/>
      <c r="P440"/>
      <c r="Q440"/>
      <c r="R440"/>
      <c r="S440"/>
      <c r="T440"/>
      <c r="U440"/>
      <c r="V440"/>
      <c r="W440" s="17"/>
    </row>
    <row r="441" spans="1:23">
      <c r="A441" s="125" t="s">
        <v>17</v>
      </c>
      <c r="B441" s="14" t="s">
        <v>3</v>
      </c>
      <c r="C441" s="127" t="s">
        <v>18</v>
      </c>
      <c r="D441" s="14" t="s">
        <v>20</v>
      </c>
      <c r="E441" s="129">
        <f>42332+(7*364+7)</f>
        <v>44887</v>
      </c>
      <c r="F441" s="15">
        <v>799.95</v>
      </c>
      <c r="G441" s="130">
        <v>10</v>
      </c>
      <c r="H441" s="123">
        <f t="shared" si="7"/>
        <v>7999.5</v>
      </c>
      <c r="I441" s="16"/>
      <c r="J441" s="16"/>
      <c r="K441"/>
      <c r="L441"/>
      <c r="M441" s="16"/>
      <c r="N441" s="16"/>
      <c r="O441"/>
      <c r="P441"/>
      <c r="Q441"/>
      <c r="R441"/>
      <c r="S441"/>
      <c r="T441"/>
      <c r="U441"/>
      <c r="V441"/>
      <c r="W441" s="17"/>
    </row>
    <row r="442" spans="1:23">
      <c r="A442" s="125" t="s">
        <v>33</v>
      </c>
      <c r="B442" s="14" t="s">
        <v>4</v>
      </c>
      <c r="C442" s="127" t="s">
        <v>18</v>
      </c>
      <c r="D442" s="14" t="s">
        <v>22</v>
      </c>
      <c r="E442" s="129">
        <f>41816+(7*364+7)</f>
        <v>44371</v>
      </c>
      <c r="F442" s="15">
        <v>340.95</v>
      </c>
      <c r="G442" s="130">
        <v>6</v>
      </c>
      <c r="H442" s="123">
        <f t="shared" si="7"/>
        <v>2045.6999999999998</v>
      </c>
      <c r="I442" s="16"/>
      <c r="J442" s="16"/>
      <c r="K442"/>
      <c r="L442"/>
      <c r="M442" s="16"/>
      <c r="N442" s="16"/>
      <c r="O442"/>
      <c r="P442"/>
      <c r="Q442"/>
      <c r="R442"/>
      <c r="S442"/>
      <c r="T442"/>
      <c r="U442"/>
      <c r="V442"/>
      <c r="W442" s="17"/>
    </row>
    <row r="443" spans="1:23">
      <c r="A443" s="125" t="s">
        <v>17</v>
      </c>
      <c r="B443" s="14" t="s">
        <v>0</v>
      </c>
      <c r="C443" s="127" t="s">
        <v>18</v>
      </c>
      <c r="D443" s="14" t="s">
        <v>22</v>
      </c>
      <c r="E443" s="129">
        <f>41993+(7*364+7)</f>
        <v>44548</v>
      </c>
      <c r="F443" s="15">
        <v>168.95</v>
      </c>
      <c r="G443" s="130">
        <v>11</v>
      </c>
      <c r="H443" s="123">
        <f t="shared" si="7"/>
        <v>1858.4499999999998</v>
      </c>
      <c r="I443" s="16"/>
      <c r="J443" s="16"/>
      <c r="K443"/>
      <c r="L443"/>
      <c r="M443" s="16"/>
      <c r="N443" s="16"/>
      <c r="O443"/>
      <c r="P443"/>
      <c r="Q443"/>
      <c r="R443"/>
      <c r="S443"/>
      <c r="T443"/>
      <c r="U443"/>
      <c r="V443"/>
      <c r="W443" s="17"/>
    </row>
    <row r="444" spans="1:23">
      <c r="A444" s="125" t="s">
        <v>33</v>
      </c>
      <c r="B444" s="14" t="s">
        <v>4</v>
      </c>
      <c r="C444" s="127" t="s">
        <v>18</v>
      </c>
      <c r="D444" s="14" t="s">
        <v>19</v>
      </c>
      <c r="E444" s="129">
        <f>41702+(7*364+7)</f>
        <v>44257</v>
      </c>
      <c r="F444" s="15">
        <v>340.95</v>
      </c>
      <c r="G444" s="130">
        <v>20</v>
      </c>
      <c r="H444" s="123">
        <f t="shared" si="7"/>
        <v>6819</v>
      </c>
      <c r="I444" s="16"/>
      <c r="J444" s="16"/>
      <c r="K444"/>
      <c r="L444"/>
      <c r="M444" s="16"/>
      <c r="N444" s="16"/>
      <c r="O444"/>
      <c r="P444"/>
      <c r="Q444"/>
      <c r="R444"/>
      <c r="S444"/>
      <c r="T444"/>
      <c r="U444"/>
      <c r="V444"/>
      <c r="W444" s="17"/>
    </row>
    <row r="445" spans="1:23">
      <c r="A445" s="125" t="s">
        <v>17</v>
      </c>
      <c r="B445" s="14" t="s">
        <v>1</v>
      </c>
      <c r="C445" s="127" t="s">
        <v>18</v>
      </c>
      <c r="D445" s="14" t="s">
        <v>20</v>
      </c>
      <c r="E445" s="129">
        <f>41716+(7*364+7)</f>
        <v>44271</v>
      </c>
      <c r="F445" s="15">
        <v>79.989999999999995</v>
      </c>
      <c r="G445" s="130">
        <v>9</v>
      </c>
      <c r="H445" s="123">
        <f t="shared" si="7"/>
        <v>719.91</v>
      </c>
      <c r="I445" s="16"/>
      <c r="J445" s="16"/>
      <c r="K445"/>
      <c r="L445"/>
      <c r="M445" s="16"/>
      <c r="N445" s="16"/>
      <c r="O445"/>
      <c r="P445"/>
      <c r="Q445"/>
      <c r="R445"/>
      <c r="S445"/>
      <c r="T445"/>
      <c r="U445"/>
      <c r="V445"/>
      <c r="W445" s="17"/>
    </row>
    <row r="446" spans="1:23">
      <c r="A446" s="125" t="s">
        <v>26</v>
      </c>
      <c r="B446" s="14" t="s">
        <v>0</v>
      </c>
      <c r="C446" s="127" t="s">
        <v>27</v>
      </c>
      <c r="D446" s="14" t="s">
        <v>19</v>
      </c>
      <c r="E446" s="129">
        <f>42351+(7*364+7)</f>
        <v>44906</v>
      </c>
      <c r="F446" s="15">
        <v>168.95</v>
      </c>
      <c r="G446" s="130">
        <v>6</v>
      </c>
      <c r="H446" s="123">
        <f t="shared" si="7"/>
        <v>1013.6999999999999</v>
      </c>
      <c r="I446" s="16"/>
      <c r="J446" s="16"/>
      <c r="K446"/>
      <c r="L446"/>
      <c r="M446" s="16"/>
      <c r="N446" s="16"/>
      <c r="O446"/>
      <c r="P446"/>
      <c r="Q446"/>
      <c r="R446"/>
      <c r="S446"/>
      <c r="T446"/>
      <c r="U446"/>
      <c r="V446"/>
      <c r="W446" s="17"/>
    </row>
    <row r="447" spans="1:23">
      <c r="A447" s="125" t="s">
        <v>16</v>
      </c>
      <c r="B447" s="14" t="s">
        <v>0</v>
      </c>
      <c r="C447" s="127" t="s">
        <v>29</v>
      </c>
      <c r="D447" s="14" t="s">
        <v>20</v>
      </c>
      <c r="E447" s="129">
        <f>41815+(7*364+7)</f>
        <v>44370</v>
      </c>
      <c r="F447" s="15">
        <v>168.95</v>
      </c>
      <c r="G447" s="130">
        <v>5</v>
      </c>
      <c r="H447" s="123">
        <f t="shared" si="7"/>
        <v>844.75</v>
      </c>
      <c r="I447" s="16"/>
      <c r="J447" s="16"/>
      <c r="K447"/>
      <c r="L447"/>
      <c r="M447" s="16"/>
      <c r="N447" s="16"/>
      <c r="O447"/>
      <c r="P447"/>
      <c r="Q447"/>
      <c r="R447"/>
      <c r="S447"/>
      <c r="T447"/>
      <c r="U447"/>
      <c r="V447"/>
      <c r="W447" s="17"/>
    </row>
    <row r="448" spans="1:23">
      <c r="A448" s="125" t="s">
        <v>26</v>
      </c>
      <c r="B448" s="14" t="s">
        <v>4</v>
      </c>
      <c r="C448" s="127" t="s">
        <v>27</v>
      </c>
      <c r="D448" s="14" t="s">
        <v>22</v>
      </c>
      <c r="E448" s="129">
        <f>42232+(7*364+7)</f>
        <v>44787</v>
      </c>
      <c r="F448" s="15">
        <v>340.95</v>
      </c>
      <c r="G448" s="130">
        <v>8</v>
      </c>
      <c r="H448" s="123">
        <f t="shared" si="7"/>
        <v>2727.6</v>
      </c>
      <c r="I448" s="16"/>
      <c r="J448" s="16"/>
      <c r="K448"/>
      <c r="L448"/>
      <c r="M448" s="16"/>
      <c r="N448" s="16"/>
      <c r="O448"/>
      <c r="P448"/>
      <c r="Q448"/>
      <c r="R448"/>
      <c r="S448"/>
      <c r="T448"/>
      <c r="U448"/>
      <c r="V448"/>
      <c r="W448" s="17"/>
    </row>
    <row r="449" spans="1:23">
      <c r="A449" s="125" t="s">
        <v>17</v>
      </c>
      <c r="B449" s="14" t="s">
        <v>4</v>
      </c>
      <c r="C449" s="127" t="s">
        <v>18</v>
      </c>
      <c r="D449" s="14" t="s">
        <v>23</v>
      </c>
      <c r="E449" s="129">
        <f>41653+(7*364+7)</f>
        <v>44208</v>
      </c>
      <c r="F449" s="15">
        <v>340.95</v>
      </c>
      <c r="G449" s="130">
        <v>4</v>
      </c>
      <c r="H449" s="123">
        <f t="shared" si="7"/>
        <v>1363.8</v>
      </c>
      <c r="I449" s="16"/>
      <c r="J449" s="16"/>
      <c r="K449"/>
      <c r="L449"/>
      <c r="M449" s="16"/>
      <c r="N449" s="16"/>
      <c r="O449"/>
      <c r="P449"/>
      <c r="Q449"/>
      <c r="R449"/>
      <c r="S449"/>
      <c r="T449"/>
      <c r="U449"/>
      <c r="V449"/>
      <c r="W449" s="17"/>
    </row>
    <row r="450" spans="1:23">
      <c r="A450" s="125" t="s">
        <v>31</v>
      </c>
      <c r="B450" s="14" t="s">
        <v>3</v>
      </c>
      <c r="C450" s="127" t="s">
        <v>32</v>
      </c>
      <c r="D450" s="14" t="s">
        <v>20</v>
      </c>
      <c r="E450" s="129">
        <f>42312+(7*364+7)</f>
        <v>44867</v>
      </c>
      <c r="F450" s="15">
        <v>799.95</v>
      </c>
      <c r="G450" s="130">
        <v>7</v>
      </c>
      <c r="H450" s="123">
        <f t="shared" si="7"/>
        <v>5599.6500000000005</v>
      </c>
      <c r="I450" s="16"/>
      <c r="J450" s="16"/>
      <c r="K450"/>
      <c r="L450"/>
      <c r="M450" s="16"/>
      <c r="N450" s="16"/>
      <c r="O450"/>
      <c r="P450"/>
      <c r="Q450"/>
      <c r="R450"/>
      <c r="S450"/>
      <c r="T450"/>
      <c r="U450"/>
      <c r="V450"/>
      <c r="W450" s="17"/>
    </row>
    <row r="451" spans="1:23">
      <c r="A451" s="125" t="s">
        <v>16</v>
      </c>
      <c r="B451" s="14" t="s">
        <v>4</v>
      </c>
      <c r="C451" s="127" t="s">
        <v>29</v>
      </c>
      <c r="D451" s="14" t="s">
        <v>21</v>
      </c>
      <c r="E451" s="129">
        <f>42326+(7*364+7)</f>
        <v>44881</v>
      </c>
      <c r="F451" s="15">
        <v>340.95</v>
      </c>
      <c r="G451" s="130">
        <v>3</v>
      </c>
      <c r="H451" s="123">
        <f t="shared" ref="H451:H514" si="8">F451*G451</f>
        <v>1022.8499999999999</v>
      </c>
      <c r="I451" s="16"/>
      <c r="J451" s="16"/>
      <c r="K451"/>
      <c r="L451"/>
      <c r="M451" s="16"/>
      <c r="N451" s="16"/>
      <c r="O451"/>
      <c r="P451"/>
      <c r="Q451"/>
      <c r="R451"/>
      <c r="S451"/>
      <c r="T451"/>
      <c r="U451"/>
      <c r="V451"/>
      <c r="W451" s="17"/>
    </row>
    <row r="452" spans="1:23">
      <c r="A452" s="125" t="s">
        <v>16</v>
      </c>
      <c r="B452" s="14" t="s">
        <v>0</v>
      </c>
      <c r="C452" s="127" t="s">
        <v>29</v>
      </c>
      <c r="D452" s="14" t="s">
        <v>21</v>
      </c>
      <c r="E452" s="129">
        <f>41753+(7*364+7)</f>
        <v>44308</v>
      </c>
      <c r="F452" s="15">
        <v>168.95</v>
      </c>
      <c r="G452" s="130">
        <v>12</v>
      </c>
      <c r="H452" s="123">
        <f t="shared" si="8"/>
        <v>2027.3999999999999</v>
      </c>
      <c r="I452" s="16"/>
      <c r="J452" s="16"/>
      <c r="K452"/>
      <c r="L452"/>
      <c r="M452" s="16"/>
      <c r="N452" s="16"/>
      <c r="O452"/>
      <c r="P452"/>
      <c r="Q452"/>
      <c r="R452"/>
      <c r="S452"/>
      <c r="T452"/>
      <c r="U452"/>
      <c r="V452"/>
      <c r="W452" s="17"/>
    </row>
    <row r="453" spans="1:23">
      <c r="A453" s="125" t="s">
        <v>17</v>
      </c>
      <c r="B453" s="14" t="s">
        <v>0</v>
      </c>
      <c r="C453" s="127" t="s">
        <v>18</v>
      </c>
      <c r="D453" s="14" t="s">
        <v>20</v>
      </c>
      <c r="E453" s="129">
        <f>41963+(7*364+7)</f>
        <v>44518</v>
      </c>
      <c r="F453" s="15">
        <v>168.95</v>
      </c>
      <c r="G453" s="130">
        <v>4</v>
      </c>
      <c r="H453" s="123">
        <f t="shared" si="8"/>
        <v>675.8</v>
      </c>
      <c r="I453" s="16"/>
      <c r="J453" s="16"/>
      <c r="K453"/>
      <c r="L453"/>
      <c r="M453" s="16"/>
      <c r="N453" s="16"/>
      <c r="O453"/>
      <c r="P453"/>
      <c r="Q453"/>
      <c r="R453"/>
      <c r="S453"/>
      <c r="T453"/>
      <c r="U453"/>
      <c r="V453"/>
      <c r="W453" s="17"/>
    </row>
    <row r="454" spans="1:23">
      <c r="A454" s="125" t="s">
        <v>25</v>
      </c>
      <c r="B454" s="14" t="s">
        <v>3</v>
      </c>
      <c r="C454" s="127" t="s">
        <v>32</v>
      </c>
      <c r="D454" s="14" t="s">
        <v>21</v>
      </c>
      <c r="E454" s="129">
        <f>42057+(7*364+7)</f>
        <v>44612</v>
      </c>
      <c r="F454" s="15">
        <v>799.95</v>
      </c>
      <c r="G454" s="130">
        <v>13</v>
      </c>
      <c r="H454" s="123">
        <f t="shared" si="8"/>
        <v>10399.35</v>
      </c>
      <c r="I454" s="16"/>
      <c r="J454" s="16"/>
      <c r="K454"/>
      <c r="L454"/>
      <c r="M454" s="16"/>
      <c r="N454" s="16"/>
      <c r="O454"/>
      <c r="P454"/>
      <c r="Q454"/>
      <c r="R454"/>
      <c r="S454"/>
      <c r="T454"/>
      <c r="U454"/>
      <c r="V454"/>
      <c r="W454" s="17"/>
    </row>
    <row r="455" spans="1:23">
      <c r="A455" s="125" t="s">
        <v>35</v>
      </c>
      <c r="B455" s="14" t="s">
        <v>0</v>
      </c>
      <c r="C455" s="127" t="s">
        <v>29</v>
      </c>
      <c r="D455" s="14" t="s">
        <v>19</v>
      </c>
      <c r="E455" s="129">
        <f>42270+(7*364+7)</f>
        <v>44825</v>
      </c>
      <c r="F455" s="15">
        <v>168.95</v>
      </c>
      <c r="G455" s="130">
        <v>20</v>
      </c>
      <c r="H455" s="123">
        <f t="shared" si="8"/>
        <v>3379</v>
      </c>
      <c r="I455" s="16"/>
      <c r="J455" s="16"/>
      <c r="K455"/>
      <c r="L455"/>
      <c r="M455" s="16"/>
      <c r="N455" s="16"/>
      <c r="O455"/>
      <c r="P455"/>
      <c r="Q455"/>
      <c r="R455"/>
      <c r="S455"/>
      <c r="T455"/>
      <c r="U455"/>
      <c r="V455"/>
      <c r="W455" s="17"/>
    </row>
    <row r="456" spans="1:23">
      <c r="A456" s="125" t="s">
        <v>17</v>
      </c>
      <c r="B456" s="14" t="s">
        <v>4</v>
      </c>
      <c r="C456" s="127" t="s">
        <v>18</v>
      </c>
      <c r="D456" s="14" t="s">
        <v>23</v>
      </c>
      <c r="E456" s="129">
        <f>42136+(7*364+7)</f>
        <v>44691</v>
      </c>
      <c r="F456" s="15">
        <v>340.95</v>
      </c>
      <c r="G456" s="130">
        <v>5</v>
      </c>
      <c r="H456" s="123">
        <f t="shared" si="8"/>
        <v>1704.75</v>
      </c>
      <c r="I456" s="16"/>
      <c r="J456" s="16"/>
      <c r="K456"/>
      <c r="L456"/>
      <c r="M456" s="16"/>
      <c r="N456" s="16"/>
      <c r="O456"/>
      <c r="P456"/>
      <c r="Q456"/>
      <c r="R456"/>
      <c r="S456"/>
      <c r="T456"/>
      <c r="U456"/>
      <c r="V456"/>
      <c r="W456" s="17"/>
    </row>
    <row r="457" spans="1:23">
      <c r="A457" s="125" t="s">
        <v>35</v>
      </c>
      <c r="B457" s="14" t="s">
        <v>0</v>
      </c>
      <c r="C457" s="127" t="s">
        <v>29</v>
      </c>
      <c r="D457" s="14" t="s">
        <v>21</v>
      </c>
      <c r="E457" s="129">
        <f>41871+(7*364+7)</f>
        <v>44426</v>
      </c>
      <c r="F457" s="15">
        <v>168.95</v>
      </c>
      <c r="G457" s="130">
        <v>8</v>
      </c>
      <c r="H457" s="123">
        <f t="shared" si="8"/>
        <v>1351.6</v>
      </c>
      <c r="I457" s="16"/>
      <c r="J457" s="16"/>
      <c r="K457"/>
      <c r="L457"/>
      <c r="M457" s="16"/>
      <c r="N457" s="16"/>
      <c r="O457"/>
      <c r="P457"/>
      <c r="Q457"/>
      <c r="R457"/>
      <c r="S457"/>
      <c r="T457"/>
      <c r="U457"/>
      <c r="V457"/>
      <c r="W457" s="17"/>
    </row>
    <row r="458" spans="1:23">
      <c r="A458" s="125" t="s">
        <v>6</v>
      </c>
      <c r="B458" s="14" t="s">
        <v>2</v>
      </c>
      <c r="C458" s="127" t="s">
        <v>29</v>
      </c>
      <c r="D458" s="14" t="s">
        <v>21</v>
      </c>
      <c r="E458" s="129">
        <f>41940+(7*364+7)</f>
        <v>44495</v>
      </c>
      <c r="F458" s="15">
        <v>340.95</v>
      </c>
      <c r="G458" s="130">
        <v>5</v>
      </c>
      <c r="H458" s="123">
        <f t="shared" si="8"/>
        <v>1704.75</v>
      </c>
      <c r="I458" s="16"/>
      <c r="J458" s="16"/>
      <c r="K458"/>
      <c r="L458"/>
      <c r="M458" s="16"/>
      <c r="N458" s="16"/>
      <c r="O458"/>
      <c r="P458"/>
      <c r="Q458"/>
      <c r="R458"/>
      <c r="S458"/>
      <c r="T458"/>
      <c r="U458"/>
      <c r="V458"/>
      <c r="W458" s="17"/>
    </row>
    <row r="459" spans="1:23">
      <c r="A459" s="125" t="s">
        <v>6</v>
      </c>
      <c r="B459" s="14" t="s">
        <v>0</v>
      </c>
      <c r="C459" s="127" t="s">
        <v>18</v>
      </c>
      <c r="D459" s="14" t="s">
        <v>20</v>
      </c>
      <c r="E459" s="129">
        <f>41783+(7*364+7)</f>
        <v>44338</v>
      </c>
      <c r="F459" s="15">
        <v>168.95</v>
      </c>
      <c r="G459" s="130">
        <v>4</v>
      </c>
      <c r="H459" s="123">
        <f t="shared" si="8"/>
        <v>675.8</v>
      </c>
      <c r="I459" s="16"/>
      <c r="J459" s="16"/>
      <c r="K459"/>
      <c r="L459"/>
      <c r="M459" s="16"/>
      <c r="N459" s="16"/>
      <c r="O459"/>
      <c r="P459"/>
      <c r="Q459"/>
      <c r="R459"/>
      <c r="S459"/>
      <c r="T459"/>
      <c r="U459"/>
      <c r="V459"/>
      <c r="W459" s="17"/>
    </row>
    <row r="460" spans="1:23">
      <c r="A460" s="125" t="s">
        <v>33</v>
      </c>
      <c r="B460" s="14" t="s">
        <v>2</v>
      </c>
      <c r="C460" s="127" t="s">
        <v>18</v>
      </c>
      <c r="D460" s="14" t="s">
        <v>19</v>
      </c>
      <c r="E460" s="129">
        <f>41676+(7*364+7)</f>
        <v>44231</v>
      </c>
      <c r="F460" s="15">
        <v>340.95</v>
      </c>
      <c r="G460" s="130">
        <v>12</v>
      </c>
      <c r="H460" s="123">
        <f t="shared" si="8"/>
        <v>4091.3999999999996</v>
      </c>
      <c r="I460" s="16"/>
      <c r="J460" s="16"/>
      <c r="K460"/>
      <c r="L460"/>
      <c r="M460" s="16"/>
      <c r="N460" s="16"/>
      <c r="O460"/>
      <c r="P460"/>
      <c r="Q460"/>
      <c r="R460"/>
      <c r="S460"/>
      <c r="T460"/>
      <c r="U460"/>
      <c r="V460"/>
      <c r="W460" s="17"/>
    </row>
    <row r="461" spans="1:23">
      <c r="A461" s="125" t="s">
        <v>33</v>
      </c>
      <c r="B461" s="14" t="s">
        <v>3</v>
      </c>
      <c r="C461" s="127" t="s">
        <v>18</v>
      </c>
      <c r="D461" s="14" t="s">
        <v>20</v>
      </c>
      <c r="E461" s="129">
        <f>42176+(7*364+7)</f>
        <v>44731</v>
      </c>
      <c r="F461" s="15">
        <v>799.95</v>
      </c>
      <c r="G461" s="130">
        <v>12</v>
      </c>
      <c r="H461" s="123">
        <f t="shared" si="8"/>
        <v>9599.4000000000015</v>
      </c>
      <c r="I461" s="16"/>
      <c r="J461" s="16"/>
      <c r="K461"/>
      <c r="L461"/>
      <c r="M461" s="16"/>
      <c r="N461" s="16"/>
      <c r="O461"/>
      <c r="P461"/>
      <c r="Q461"/>
      <c r="R461"/>
      <c r="S461"/>
      <c r="T461"/>
      <c r="U461"/>
      <c r="V461"/>
      <c r="W461" s="17"/>
    </row>
    <row r="462" spans="1:23">
      <c r="A462" s="125" t="s">
        <v>16</v>
      </c>
      <c r="B462" s="14" t="s">
        <v>4</v>
      </c>
      <c r="C462" s="127" t="s">
        <v>29</v>
      </c>
      <c r="D462" s="14" t="s">
        <v>20</v>
      </c>
      <c r="E462" s="129">
        <f>42245+(7*364+7)</f>
        <v>44800</v>
      </c>
      <c r="F462" s="15">
        <v>340.95</v>
      </c>
      <c r="G462" s="130">
        <v>5</v>
      </c>
      <c r="H462" s="123">
        <f t="shared" si="8"/>
        <v>1704.75</v>
      </c>
      <c r="I462" s="16"/>
      <c r="J462" s="16"/>
      <c r="K462"/>
      <c r="L462"/>
      <c r="M462" s="16"/>
      <c r="N462" s="16"/>
      <c r="O462"/>
      <c r="P462"/>
      <c r="Q462"/>
      <c r="R462"/>
      <c r="S462"/>
      <c r="T462"/>
      <c r="U462"/>
      <c r="V462"/>
      <c r="W462" s="17"/>
    </row>
    <row r="463" spans="1:23">
      <c r="A463" s="125" t="s">
        <v>7</v>
      </c>
      <c r="B463" s="14" t="s">
        <v>4</v>
      </c>
      <c r="C463" s="127" t="s">
        <v>27</v>
      </c>
      <c r="D463" s="14" t="s">
        <v>19</v>
      </c>
      <c r="E463" s="129">
        <f>41779+(7*364+7)</f>
        <v>44334</v>
      </c>
      <c r="F463" s="15">
        <v>340.95</v>
      </c>
      <c r="G463" s="130">
        <v>15</v>
      </c>
      <c r="H463" s="123">
        <f t="shared" si="8"/>
        <v>5114.25</v>
      </c>
      <c r="I463" s="16"/>
      <c r="J463" s="16"/>
      <c r="K463"/>
      <c r="L463"/>
      <c r="M463" s="16"/>
      <c r="N463" s="16"/>
      <c r="O463"/>
      <c r="P463"/>
      <c r="Q463"/>
      <c r="R463"/>
      <c r="S463"/>
      <c r="T463"/>
      <c r="U463"/>
      <c r="V463"/>
      <c r="W463" s="17"/>
    </row>
    <row r="464" spans="1:23">
      <c r="A464" s="125" t="s">
        <v>33</v>
      </c>
      <c r="B464" s="14" t="s">
        <v>1</v>
      </c>
      <c r="C464" s="127" t="s">
        <v>18</v>
      </c>
      <c r="D464" s="14" t="s">
        <v>22</v>
      </c>
      <c r="E464" s="129">
        <f>42214+(7*364+7)</f>
        <v>44769</v>
      </c>
      <c r="F464" s="15">
        <v>79.989999999999995</v>
      </c>
      <c r="G464" s="130">
        <v>10</v>
      </c>
      <c r="H464" s="123">
        <f t="shared" si="8"/>
        <v>799.9</v>
      </c>
      <c r="I464" s="16"/>
      <c r="J464" s="16"/>
      <c r="K464"/>
      <c r="L464"/>
      <c r="M464" s="16"/>
      <c r="N464" s="16"/>
      <c r="O464"/>
      <c r="P464"/>
      <c r="Q464"/>
      <c r="R464"/>
      <c r="S464"/>
      <c r="T464"/>
      <c r="U464"/>
      <c r="V464"/>
      <c r="W464" s="17"/>
    </row>
    <row r="465" spans="1:23">
      <c r="A465" s="125" t="s">
        <v>7</v>
      </c>
      <c r="B465" s="14" t="s">
        <v>3</v>
      </c>
      <c r="C465" s="127" t="s">
        <v>27</v>
      </c>
      <c r="D465" s="14" t="s">
        <v>22</v>
      </c>
      <c r="E465" s="129">
        <f>42285+(7*364+7)</f>
        <v>44840</v>
      </c>
      <c r="F465" s="15">
        <v>799.95</v>
      </c>
      <c r="G465" s="130">
        <v>15</v>
      </c>
      <c r="H465" s="123">
        <f t="shared" si="8"/>
        <v>11999.25</v>
      </c>
      <c r="I465" s="16"/>
      <c r="J465" s="16"/>
      <c r="K465"/>
      <c r="L465"/>
      <c r="M465" s="16"/>
      <c r="N465" s="16"/>
      <c r="O465"/>
      <c r="P465"/>
      <c r="Q465"/>
      <c r="R465"/>
      <c r="S465"/>
      <c r="T465"/>
      <c r="U465"/>
      <c r="V465"/>
      <c r="W465" s="17"/>
    </row>
    <row r="466" spans="1:23">
      <c r="A466" s="125" t="s">
        <v>28</v>
      </c>
      <c r="B466" s="14" t="s">
        <v>1</v>
      </c>
      <c r="C466" s="127" t="s">
        <v>32</v>
      </c>
      <c r="D466" s="14" t="s">
        <v>20</v>
      </c>
      <c r="E466" s="129">
        <f>42201+(7*364+7)</f>
        <v>44756</v>
      </c>
      <c r="F466" s="15">
        <v>79.989999999999995</v>
      </c>
      <c r="G466" s="130">
        <v>15</v>
      </c>
      <c r="H466" s="123">
        <f t="shared" si="8"/>
        <v>1199.8499999999999</v>
      </c>
      <c r="I466" s="16"/>
      <c r="J466" s="16"/>
      <c r="K466"/>
      <c r="L466"/>
      <c r="M466" s="16"/>
      <c r="N466" s="16"/>
      <c r="O466"/>
      <c r="P466"/>
      <c r="Q466"/>
      <c r="R466"/>
      <c r="S466"/>
      <c r="T466"/>
      <c r="U466"/>
      <c r="V466"/>
      <c r="W466" s="17"/>
    </row>
    <row r="467" spans="1:23">
      <c r="A467" s="125" t="s">
        <v>35</v>
      </c>
      <c r="B467" s="14" t="s">
        <v>3</v>
      </c>
      <c r="C467" s="127" t="s">
        <v>29</v>
      </c>
      <c r="D467" s="14" t="s">
        <v>22</v>
      </c>
      <c r="E467" s="129">
        <f>41843+(7*364+7)</f>
        <v>44398</v>
      </c>
      <c r="F467" s="15">
        <v>799.95</v>
      </c>
      <c r="G467" s="130">
        <v>15</v>
      </c>
      <c r="H467" s="123">
        <f t="shared" si="8"/>
        <v>11999.25</v>
      </c>
      <c r="I467" s="16"/>
      <c r="J467" s="16"/>
      <c r="K467"/>
      <c r="L467"/>
      <c r="M467" s="16"/>
      <c r="N467" s="16"/>
      <c r="O467"/>
      <c r="P467"/>
      <c r="Q467"/>
      <c r="R467"/>
      <c r="S467"/>
      <c r="T467"/>
      <c r="U467"/>
      <c r="V467"/>
      <c r="W467" s="17"/>
    </row>
    <row r="468" spans="1:23">
      <c r="A468" s="125" t="s">
        <v>34</v>
      </c>
      <c r="B468" s="14" t="s">
        <v>0</v>
      </c>
      <c r="C468" s="127" t="s">
        <v>32</v>
      </c>
      <c r="D468" s="14" t="s">
        <v>22</v>
      </c>
      <c r="E468" s="129">
        <f>42038+(7*364+7)</f>
        <v>44593</v>
      </c>
      <c r="F468" s="15">
        <v>168.95</v>
      </c>
      <c r="G468" s="130">
        <v>13</v>
      </c>
      <c r="H468" s="123">
        <f t="shared" si="8"/>
        <v>2196.35</v>
      </c>
      <c r="I468" s="16"/>
      <c r="J468" s="16"/>
      <c r="K468"/>
      <c r="L468"/>
      <c r="M468" s="16"/>
      <c r="N468" s="16"/>
      <c r="O468"/>
      <c r="P468"/>
      <c r="Q468"/>
      <c r="R468"/>
      <c r="S468"/>
      <c r="T468"/>
      <c r="U468"/>
      <c r="V468"/>
      <c r="W468" s="17"/>
    </row>
    <row r="469" spans="1:23">
      <c r="A469" s="125" t="s">
        <v>6</v>
      </c>
      <c r="B469" s="14" t="s">
        <v>3</v>
      </c>
      <c r="C469" s="127" t="s">
        <v>18</v>
      </c>
      <c r="D469" s="14" t="s">
        <v>21</v>
      </c>
      <c r="E469" s="129">
        <f>42014+(7*364+7)</f>
        <v>44569</v>
      </c>
      <c r="F469" s="15">
        <v>799.95</v>
      </c>
      <c r="G469" s="130">
        <v>15</v>
      </c>
      <c r="H469" s="123">
        <f t="shared" si="8"/>
        <v>11999.25</v>
      </c>
      <c r="I469" s="16"/>
      <c r="J469" s="16"/>
      <c r="K469"/>
      <c r="L469"/>
      <c r="M469" s="16"/>
      <c r="N469" s="16"/>
      <c r="O469"/>
      <c r="P469"/>
      <c r="Q469"/>
      <c r="R469"/>
      <c r="S469"/>
      <c r="T469"/>
      <c r="U469"/>
      <c r="V469"/>
      <c r="W469" s="17"/>
    </row>
    <row r="470" spans="1:23">
      <c r="A470" s="125" t="s">
        <v>34</v>
      </c>
      <c r="B470" s="14" t="s">
        <v>2</v>
      </c>
      <c r="C470" s="127" t="s">
        <v>32</v>
      </c>
      <c r="D470" s="14" t="s">
        <v>23</v>
      </c>
      <c r="E470" s="129">
        <f>42277+(7*364+7)</f>
        <v>44832</v>
      </c>
      <c r="F470" s="15">
        <v>340.95</v>
      </c>
      <c r="G470" s="130">
        <v>3</v>
      </c>
      <c r="H470" s="123">
        <f t="shared" si="8"/>
        <v>1022.8499999999999</v>
      </c>
      <c r="I470" s="16"/>
      <c r="J470" s="16"/>
      <c r="K470"/>
      <c r="L470"/>
      <c r="M470" s="16"/>
      <c r="N470" s="16"/>
      <c r="O470"/>
      <c r="P470"/>
      <c r="Q470"/>
      <c r="R470"/>
      <c r="S470"/>
      <c r="T470"/>
      <c r="U470"/>
      <c r="V470"/>
      <c r="W470" s="17"/>
    </row>
    <row r="471" spans="1:23">
      <c r="A471" s="125" t="s">
        <v>34</v>
      </c>
      <c r="B471" s="14" t="s">
        <v>1</v>
      </c>
      <c r="C471" s="127" t="s">
        <v>32</v>
      </c>
      <c r="D471" s="14" t="s">
        <v>22</v>
      </c>
      <c r="E471" s="129">
        <f>42327+(7*364+7)</f>
        <v>44882</v>
      </c>
      <c r="F471" s="15">
        <v>79.989999999999995</v>
      </c>
      <c r="G471" s="130">
        <v>12</v>
      </c>
      <c r="H471" s="123">
        <f t="shared" si="8"/>
        <v>959.87999999999988</v>
      </c>
      <c r="I471" s="16"/>
      <c r="J471" s="16"/>
      <c r="K471"/>
      <c r="L471"/>
      <c r="M471" s="16"/>
      <c r="N471" s="16"/>
      <c r="O471"/>
      <c r="P471"/>
      <c r="Q471"/>
      <c r="R471"/>
      <c r="S471"/>
      <c r="T471"/>
      <c r="U471"/>
      <c r="V471"/>
      <c r="W471" s="17"/>
    </row>
    <row r="472" spans="1:23">
      <c r="A472" s="125" t="s">
        <v>30</v>
      </c>
      <c r="B472" s="14" t="s">
        <v>1</v>
      </c>
      <c r="C472" s="127" t="s">
        <v>18</v>
      </c>
      <c r="D472" s="14" t="s">
        <v>20</v>
      </c>
      <c r="E472" s="129">
        <f>42022+(7*364+7)</f>
        <v>44577</v>
      </c>
      <c r="F472" s="15">
        <v>79.989999999999995</v>
      </c>
      <c r="G472" s="130">
        <v>2</v>
      </c>
      <c r="H472" s="123">
        <f t="shared" si="8"/>
        <v>159.97999999999999</v>
      </c>
      <c r="I472" s="16"/>
      <c r="J472" s="16"/>
      <c r="K472"/>
      <c r="L472"/>
      <c r="M472" s="16"/>
      <c r="N472" s="16"/>
      <c r="O472"/>
      <c r="P472"/>
      <c r="Q472"/>
      <c r="R472"/>
      <c r="S472"/>
      <c r="T472"/>
      <c r="U472"/>
      <c r="V472"/>
      <c r="W472" s="17"/>
    </row>
    <row r="473" spans="1:23">
      <c r="A473" s="125" t="s">
        <v>26</v>
      </c>
      <c r="B473" s="14" t="s">
        <v>1</v>
      </c>
      <c r="C473" s="127" t="s">
        <v>27</v>
      </c>
      <c r="D473" s="14" t="s">
        <v>23</v>
      </c>
      <c r="E473" s="129">
        <f>41906+(7*364+7)</f>
        <v>44461</v>
      </c>
      <c r="F473" s="15">
        <v>79.989999999999995</v>
      </c>
      <c r="G473" s="130">
        <v>12</v>
      </c>
      <c r="H473" s="123">
        <f t="shared" si="8"/>
        <v>959.87999999999988</v>
      </c>
      <c r="I473" s="16"/>
      <c r="J473" s="16"/>
      <c r="K473"/>
      <c r="L473"/>
      <c r="M473" s="16"/>
      <c r="N473" s="16"/>
      <c r="O473"/>
      <c r="P473"/>
      <c r="Q473"/>
      <c r="R473"/>
      <c r="S473"/>
      <c r="T473"/>
      <c r="U473"/>
      <c r="V473"/>
      <c r="W473" s="17"/>
    </row>
    <row r="474" spans="1:23">
      <c r="A474" s="125" t="s">
        <v>16</v>
      </c>
      <c r="B474" s="14" t="s">
        <v>3</v>
      </c>
      <c r="C474" s="127" t="s">
        <v>29</v>
      </c>
      <c r="D474" s="14" t="s">
        <v>22</v>
      </c>
      <c r="E474" s="129">
        <f>42320+(7*364+7)</f>
        <v>44875</v>
      </c>
      <c r="F474" s="15">
        <v>799.95</v>
      </c>
      <c r="G474" s="130">
        <v>1</v>
      </c>
      <c r="H474" s="123">
        <f t="shared" si="8"/>
        <v>799.95</v>
      </c>
      <c r="I474" s="16"/>
      <c r="J474" s="16"/>
      <c r="K474"/>
      <c r="L474"/>
      <c r="M474" s="16"/>
      <c r="N474" s="16"/>
      <c r="O474"/>
      <c r="P474"/>
      <c r="Q474"/>
      <c r="R474"/>
      <c r="S474"/>
      <c r="T474"/>
      <c r="U474"/>
      <c r="V474"/>
      <c r="W474" s="17"/>
    </row>
    <row r="475" spans="1:23">
      <c r="A475" s="125" t="s">
        <v>25</v>
      </c>
      <c r="B475" s="14" t="s">
        <v>3</v>
      </c>
      <c r="C475" s="127" t="s">
        <v>32</v>
      </c>
      <c r="D475" s="14" t="s">
        <v>23</v>
      </c>
      <c r="E475" s="129">
        <f>41744+(7*364+7)</f>
        <v>44299</v>
      </c>
      <c r="F475" s="15">
        <v>799.95</v>
      </c>
      <c r="G475" s="130">
        <v>4</v>
      </c>
      <c r="H475" s="123">
        <f t="shared" si="8"/>
        <v>3199.8</v>
      </c>
      <c r="I475" s="16"/>
      <c r="J475" s="16"/>
      <c r="K475"/>
      <c r="L475"/>
      <c r="M475" s="16"/>
      <c r="N475" s="16"/>
      <c r="O475"/>
      <c r="P475"/>
      <c r="Q475"/>
      <c r="R475"/>
      <c r="S475"/>
      <c r="T475"/>
      <c r="U475"/>
      <c r="V475"/>
      <c r="W475" s="17"/>
    </row>
    <row r="476" spans="1:23">
      <c r="A476" s="125" t="s">
        <v>28</v>
      </c>
      <c r="B476" s="14" t="s">
        <v>0</v>
      </c>
      <c r="C476" s="127" t="s">
        <v>32</v>
      </c>
      <c r="D476" s="14" t="s">
        <v>21</v>
      </c>
      <c r="E476" s="129">
        <f>42270+(7*364+7)</f>
        <v>44825</v>
      </c>
      <c r="F476" s="15">
        <v>168.95</v>
      </c>
      <c r="G476" s="130">
        <v>6</v>
      </c>
      <c r="H476" s="123">
        <f t="shared" si="8"/>
        <v>1013.6999999999999</v>
      </c>
      <c r="I476" s="16"/>
      <c r="J476" s="16"/>
      <c r="K476"/>
      <c r="L476"/>
      <c r="M476" s="16"/>
      <c r="N476" s="16"/>
      <c r="O476"/>
      <c r="P476"/>
      <c r="Q476"/>
      <c r="R476"/>
      <c r="S476"/>
      <c r="T476"/>
      <c r="U476"/>
      <c r="V476"/>
      <c r="W476" s="17"/>
    </row>
    <row r="477" spans="1:23">
      <c r="A477" s="125" t="s">
        <v>35</v>
      </c>
      <c r="B477" s="14" t="s">
        <v>2</v>
      </c>
      <c r="C477" s="127" t="s">
        <v>29</v>
      </c>
      <c r="D477" s="14" t="s">
        <v>19</v>
      </c>
      <c r="E477" s="129">
        <f>42195+(7*364+7)</f>
        <v>44750</v>
      </c>
      <c r="F477" s="15">
        <v>340.95</v>
      </c>
      <c r="G477" s="130">
        <v>9</v>
      </c>
      <c r="H477" s="123">
        <f t="shared" si="8"/>
        <v>3068.5499999999997</v>
      </c>
      <c r="I477" s="16"/>
      <c r="J477" s="16"/>
      <c r="K477"/>
      <c r="L477"/>
      <c r="M477" s="16"/>
      <c r="N477" s="16"/>
      <c r="O477"/>
      <c r="P477"/>
      <c r="Q477"/>
      <c r="R477"/>
      <c r="S477"/>
      <c r="T477"/>
      <c r="U477"/>
      <c r="V477"/>
      <c r="W477" s="17"/>
    </row>
    <row r="478" spans="1:23">
      <c r="A478" s="125" t="s">
        <v>25</v>
      </c>
      <c r="B478" s="14" t="s">
        <v>2</v>
      </c>
      <c r="C478" s="127" t="s">
        <v>32</v>
      </c>
      <c r="D478" s="14" t="s">
        <v>20</v>
      </c>
      <c r="E478" s="129">
        <f>41796+(7*364+7)</f>
        <v>44351</v>
      </c>
      <c r="F478" s="15">
        <v>340.95</v>
      </c>
      <c r="G478" s="130">
        <v>9</v>
      </c>
      <c r="H478" s="123">
        <f t="shared" si="8"/>
        <v>3068.5499999999997</v>
      </c>
      <c r="I478" s="16"/>
      <c r="J478" s="16"/>
      <c r="K478"/>
      <c r="L478"/>
      <c r="M478" s="16"/>
      <c r="N478" s="16"/>
      <c r="O478"/>
      <c r="P478"/>
      <c r="Q478"/>
      <c r="R478"/>
      <c r="S478"/>
      <c r="T478"/>
      <c r="U478"/>
      <c r="V478"/>
      <c r="W478" s="17"/>
    </row>
    <row r="479" spans="1:23">
      <c r="A479" s="125" t="s">
        <v>16</v>
      </c>
      <c r="B479" s="14" t="s">
        <v>1</v>
      </c>
      <c r="C479" s="127" t="s">
        <v>29</v>
      </c>
      <c r="D479" s="14" t="s">
        <v>21</v>
      </c>
      <c r="E479" s="129">
        <f>42200+(7*364+7)</f>
        <v>44755</v>
      </c>
      <c r="F479" s="15">
        <v>79.989999999999995</v>
      </c>
      <c r="G479" s="130">
        <v>3</v>
      </c>
      <c r="H479" s="123">
        <f t="shared" si="8"/>
        <v>239.96999999999997</v>
      </c>
      <c r="I479" s="16"/>
      <c r="J479" s="16"/>
      <c r="K479"/>
      <c r="L479"/>
      <c r="M479" s="16"/>
      <c r="N479" s="16"/>
      <c r="O479"/>
      <c r="P479"/>
      <c r="Q479"/>
      <c r="R479"/>
      <c r="S479"/>
      <c r="T479"/>
      <c r="U479"/>
      <c r="V479"/>
      <c r="W479" s="17"/>
    </row>
    <row r="480" spans="1:23">
      <c r="A480" s="125" t="s">
        <v>16</v>
      </c>
      <c r="B480" s="14" t="s">
        <v>3</v>
      </c>
      <c r="C480" s="127" t="s">
        <v>29</v>
      </c>
      <c r="D480" s="14" t="s">
        <v>20</v>
      </c>
      <c r="E480" s="129">
        <f>41772+(7*364+7)</f>
        <v>44327</v>
      </c>
      <c r="F480" s="15">
        <v>799.95</v>
      </c>
      <c r="G480" s="130">
        <v>9</v>
      </c>
      <c r="H480" s="123">
        <f t="shared" si="8"/>
        <v>7199.55</v>
      </c>
      <c r="I480" s="16"/>
      <c r="J480" s="16"/>
      <c r="K480"/>
      <c r="L480"/>
      <c r="M480" s="16"/>
      <c r="N480" s="16"/>
      <c r="O480"/>
      <c r="P480"/>
      <c r="Q480"/>
      <c r="R480"/>
      <c r="S480"/>
      <c r="T480"/>
      <c r="U480"/>
      <c r="V480"/>
      <c r="W480" s="17"/>
    </row>
    <row r="481" spans="1:23">
      <c r="A481" s="125" t="s">
        <v>34</v>
      </c>
      <c r="B481" s="14" t="s">
        <v>3</v>
      </c>
      <c r="C481" s="127" t="s">
        <v>32</v>
      </c>
      <c r="D481" s="14" t="s">
        <v>22</v>
      </c>
      <c r="E481" s="129">
        <f>41681+(7*364+7)</f>
        <v>44236</v>
      </c>
      <c r="F481" s="15">
        <v>799.95</v>
      </c>
      <c r="G481" s="130">
        <v>4</v>
      </c>
      <c r="H481" s="123">
        <f t="shared" si="8"/>
        <v>3199.8</v>
      </c>
      <c r="I481" s="16"/>
      <c r="J481" s="16"/>
      <c r="K481"/>
      <c r="L481"/>
      <c r="M481" s="16"/>
      <c r="N481" s="16"/>
      <c r="O481"/>
      <c r="P481"/>
      <c r="Q481"/>
      <c r="R481"/>
      <c r="S481"/>
      <c r="T481"/>
      <c r="U481"/>
      <c r="V481"/>
      <c r="W481" s="17"/>
    </row>
    <row r="482" spans="1:23">
      <c r="A482" s="125" t="s">
        <v>33</v>
      </c>
      <c r="B482" s="14" t="s">
        <v>4</v>
      </c>
      <c r="C482" s="127" t="s">
        <v>18</v>
      </c>
      <c r="D482" s="14" t="s">
        <v>20</v>
      </c>
      <c r="E482" s="129">
        <f>42174+(7*364+7)</f>
        <v>44729</v>
      </c>
      <c r="F482" s="15">
        <v>340.95</v>
      </c>
      <c r="G482" s="130">
        <v>3</v>
      </c>
      <c r="H482" s="123">
        <f t="shared" si="8"/>
        <v>1022.8499999999999</v>
      </c>
      <c r="I482" s="16"/>
      <c r="J482" s="16"/>
      <c r="K482"/>
      <c r="L482"/>
      <c r="M482" s="16"/>
      <c r="N482" s="16"/>
      <c r="O482"/>
      <c r="P482"/>
      <c r="Q482"/>
      <c r="R482"/>
      <c r="S482"/>
      <c r="T482"/>
      <c r="U482"/>
      <c r="V482"/>
      <c r="W482" s="17"/>
    </row>
    <row r="483" spans="1:23">
      <c r="A483" s="125" t="s">
        <v>34</v>
      </c>
      <c r="B483" s="14" t="s">
        <v>3</v>
      </c>
      <c r="C483" s="127" t="s">
        <v>32</v>
      </c>
      <c r="D483" s="14" t="s">
        <v>20</v>
      </c>
      <c r="E483" s="129">
        <f>42252+(7*364+7)</f>
        <v>44807</v>
      </c>
      <c r="F483" s="15">
        <v>799.95</v>
      </c>
      <c r="G483" s="130">
        <v>13</v>
      </c>
      <c r="H483" s="123">
        <f t="shared" si="8"/>
        <v>10399.35</v>
      </c>
      <c r="I483" s="16"/>
      <c r="J483" s="16"/>
      <c r="K483"/>
      <c r="L483"/>
      <c r="M483" s="16"/>
      <c r="N483" s="16"/>
      <c r="O483"/>
      <c r="P483"/>
      <c r="Q483"/>
      <c r="R483"/>
      <c r="S483"/>
      <c r="T483"/>
      <c r="U483"/>
      <c r="V483"/>
      <c r="W483" s="17"/>
    </row>
    <row r="484" spans="1:23">
      <c r="A484" s="125" t="s">
        <v>28</v>
      </c>
      <c r="B484" s="14" t="s">
        <v>4</v>
      </c>
      <c r="C484" s="127" t="s">
        <v>32</v>
      </c>
      <c r="D484" s="14" t="s">
        <v>19</v>
      </c>
      <c r="E484" s="129">
        <f>41885+(7*364+7)</f>
        <v>44440</v>
      </c>
      <c r="F484" s="15">
        <v>340.95</v>
      </c>
      <c r="G484" s="130">
        <v>11</v>
      </c>
      <c r="H484" s="123">
        <f t="shared" si="8"/>
        <v>3750.45</v>
      </c>
      <c r="I484" s="16"/>
      <c r="J484" s="16"/>
      <c r="K484"/>
      <c r="L484"/>
      <c r="M484" s="16"/>
      <c r="N484" s="16"/>
      <c r="O484"/>
      <c r="P484"/>
      <c r="Q484"/>
      <c r="R484"/>
      <c r="S484"/>
      <c r="T484"/>
      <c r="U484"/>
      <c r="V484"/>
      <c r="W484" s="17"/>
    </row>
    <row r="485" spans="1:23">
      <c r="A485" s="125" t="s">
        <v>33</v>
      </c>
      <c r="B485" s="14" t="s">
        <v>4</v>
      </c>
      <c r="C485" s="127" t="s">
        <v>18</v>
      </c>
      <c r="D485" s="14" t="s">
        <v>19</v>
      </c>
      <c r="E485" s="129">
        <f>41865+(7*364+7)</f>
        <v>44420</v>
      </c>
      <c r="F485" s="15">
        <v>340.95</v>
      </c>
      <c r="G485" s="130">
        <v>20</v>
      </c>
      <c r="H485" s="123">
        <f t="shared" si="8"/>
        <v>6819</v>
      </c>
      <c r="I485" s="16"/>
      <c r="J485" s="16"/>
      <c r="K485"/>
      <c r="L485"/>
      <c r="M485" s="16"/>
      <c r="N485" s="16"/>
      <c r="O485"/>
      <c r="P485"/>
      <c r="Q485"/>
      <c r="R485"/>
      <c r="S485"/>
      <c r="T485"/>
      <c r="U485"/>
      <c r="V485"/>
      <c r="W485" s="17"/>
    </row>
    <row r="486" spans="1:23">
      <c r="A486" s="125" t="s">
        <v>17</v>
      </c>
      <c r="B486" s="14" t="s">
        <v>1</v>
      </c>
      <c r="C486" s="127" t="s">
        <v>18</v>
      </c>
      <c r="D486" s="14" t="s">
        <v>19</v>
      </c>
      <c r="E486" s="129">
        <f>42143+(7*364+7)</f>
        <v>44698</v>
      </c>
      <c r="F486" s="15">
        <v>79.989999999999995</v>
      </c>
      <c r="G486" s="130">
        <v>17</v>
      </c>
      <c r="H486" s="123">
        <f t="shared" si="8"/>
        <v>1359.83</v>
      </c>
      <c r="I486" s="16"/>
      <c r="J486" s="16"/>
      <c r="K486"/>
      <c r="L486"/>
      <c r="M486" s="16"/>
      <c r="N486" s="16"/>
      <c r="O486"/>
      <c r="P486"/>
      <c r="Q486"/>
      <c r="R486"/>
      <c r="S486"/>
      <c r="T486"/>
      <c r="U486"/>
      <c r="V486"/>
      <c r="W486" s="17"/>
    </row>
    <row r="487" spans="1:23">
      <c r="A487" s="125" t="s">
        <v>6</v>
      </c>
      <c r="B487" s="14" t="s">
        <v>0</v>
      </c>
      <c r="C487" s="127" t="s">
        <v>18</v>
      </c>
      <c r="D487" s="14" t="s">
        <v>19</v>
      </c>
      <c r="E487" s="129">
        <f>42003+(7*364+7)</f>
        <v>44558</v>
      </c>
      <c r="F487" s="15">
        <v>168.95</v>
      </c>
      <c r="G487" s="130">
        <v>9</v>
      </c>
      <c r="H487" s="123">
        <f t="shared" si="8"/>
        <v>1520.55</v>
      </c>
      <c r="I487" s="16"/>
      <c r="J487" s="16"/>
      <c r="K487"/>
      <c r="L487"/>
      <c r="M487" s="16"/>
      <c r="N487" s="16"/>
      <c r="O487"/>
      <c r="P487"/>
      <c r="Q487"/>
      <c r="R487"/>
      <c r="S487"/>
      <c r="T487"/>
      <c r="U487"/>
      <c r="V487"/>
      <c r="W487" s="17"/>
    </row>
    <row r="488" spans="1:23">
      <c r="A488" s="125" t="s">
        <v>17</v>
      </c>
      <c r="B488" s="14" t="s">
        <v>0</v>
      </c>
      <c r="C488" s="127" t="s">
        <v>18</v>
      </c>
      <c r="D488" s="14" t="s">
        <v>19</v>
      </c>
      <c r="E488" s="129">
        <f>42211+(7*364+7)</f>
        <v>44766</v>
      </c>
      <c r="F488" s="15">
        <v>168.95</v>
      </c>
      <c r="G488" s="130">
        <v>17</v>
      </c>
      <c r="H488" s="123">
        <f t="shared" si="8"/>
        <v>2872.1499999999996</v>
      </c>
      <c r="I488" s="16"/>
      <c r="J488" s="16"/>
      <c r="K488"/>
      <c r="L488"/>
      <c r="M488" s="16"/>
      <c r="N488" s="16"/>
      <c r="O488"/>
      <c r="P488"/>
      <c r="Q488"/>
      <c r="R488"/>
      <c r="S488"/>
      <c r="T488"/>
      <c r="U488"/>
      <c r="V488"/>
      <c r="W488" s="17"/>
    </row>
    <row r="489" spans="1:23">
      <c r="A489" s="125" t="s">
        <v>17</v>
      </c>
      <c r="B489" s="14" t="s">
        <v>0</v>
      </c>
      <c r="C489" s="127" t="s">
        <v>18</v>
      </c>
      <c r="D489" s="14" t="s">
        <v>19</v>
      </c>
      <c r="E489" s="129">
        <f>42012+(7*364+7)</f>
        <v>44567</v>
      </c>
      <c r="F489" s="15">
        <v>168.95</v>
      </c>
      <c r="G489" s="130">
        <v>20</v>
      </c>
      <c r="H489" s="123">
        <f t="shared" si="8"/>
        <v>3379</v>
      </c>
      <c r="I489" s="16"/>
      <c r="J489" s="16"/>
      <c r="K489"/>
      <c r="L489"/>
      <c r="M489" s="16"/>
      <c r="N489" s="16"/>
      <c r="O489"/>
      <c r="P489"/>
      <c r="Q489"/>
      <c r="R489"/>
      <c r="S489"/>
      <c r="T489"/>
      <c r="U489"/>
      <c r="V489"/>
      <c r="W489" s="17"/>
    </row>
    <row r="490" spans="1:23">
      <c r="A490" s="125" t="s">
        <v>6</v>
      </c>
      <c r="B490" s="14" t="s">
        <v>2</v>
      </c>
      <c r="C490" s="127" t="s">
        <v>29</v>
      </c>
      <c r="D490" s="14" t="s">
        <v>21</v>
      </c>
      <c r="E490" s="129">
        <f>42095+(7*364+7)</f>
        <v>44650</v>
      </c>
      <c r="F490" s="15">
        <v>340.95</v>
      </c>
      <c r="G490" s="130">
        <v>10</v>
      </c>
      <c r="H490" s="123">
        <f t="shared" si="8"/>
        <v>3409.5</v>
      </c>
      <c r="I490" s="16"/>
      <c r="J490" s="16"/>
      <c r="K490"/>
      <c r="L490"/>
      <c r="M490" s="16"/>
      <c r="N490" s="16"/>
      <c r="O490"/>
      <c r="P490"/>
      <c r="Q490"/>
      <c r="R490"/>
      <c r="S490"/>
      <c r="T490"/>
      <c r="U490"/>
      <c r="V490"/>
      <c r="W490" s="17"/>
    </row>
    <row r="491" spans="1:23">
      <c r="A491" s="125" t="s">
        <v>26</v>
      </c>
      <c r="B491" s="14" t="s">
        <v>1</v>
      </c>
      <c r="C491" s="127" t="s">
        <v>27</v>
      </c>
      <c r="D491" s="14" t="s">
        <v>22</v>
      </c>
      <c r="E491" s="129">
        <f>41761+(7*364+7)</f>
        <v>44316</v>
      </c>
      <c r="F491" s="15">
        <v>79.989999999999995</v>
      </c>
      <c r="G491" s="130">
        <v>1</v>
      </c>
      <c r="H491" s="123">
        <f t="shared" si="8"/>
        <v>79.989999999999995</v>
      </c>
      <c r="I491" s="16"/>
      <c r="J491" s="16"/>
      <c r="K491"/>
      <c r="L491"/>
      <c r="M491" s="16"/>
      <c r="N491" s="16"/>
      <c r="O491"/>
      <c r="P491"/>
      <c r="Q491"/>
      <c r="R491"/>
      <c r="S491"/>
      <c r="T491"/>
      <c r="U491"/>
      <c r="V491"/>
      <c r="W491" s="17"/>
    </row>
    <row r="492" spans="1:23">
      <c r="A492" s="125" t="s">
        <v>16</v>
      </c>
      <c r="B492" s="14" t="s">
        <v>3</v>
      </c>
      <c r="C492" s="127" t="s">
        <v>29</v>
      </c>
      <c r="D492" s="14" t="s">
        <v>22</v>
      </c>
      <c r="E492" s="129">
        <f>41671+(7*364+7)</f>
        <v>44226</v>
      </c>
      <c r="F492" s="15">
        <v>799.95</v>
      </c>
      <c r="G492" s="130">
        <v>5</v>
      </c>
      <c r="H492" s="123">
        <f t="shared" si="8"/>
        <v>3999.75</v>
      </c>
      <c r="I492" s="16"/>
      <c r="J492" s="16"/>
      <c r="K492"/>
      <c r="L492"/>
      <c r="M492" s="16"/>
      <c r="N492" s="16"/>
      <c r="O492"/>
      <c r="P492"/>
      <c r="Q492"/>
      <c r="R492"/>
      <c r="S492"/>
      <c r="T492"/>
      <c r="U492"/>
      <c r="V492"/>
      <c r="W492" s="17"/>
    </row>
    <row r="493" spans="1:23">
      <c r="A493" s="125" t="s">
        <v>25</v>
      </c>
      <c r="B493" s="14" t="s">
        <v>3</v>
      </c>
      <c r="C493" s="127" t="s">
        <v>32</v>
      </c>
      <c r="D493" s="14" t="s">
        <v>19</v>
      </c>
      <c r="E493" s="129">
        <f>42168+(7*364+7)</f>
        <v>44723</v>
      </c>
      <c r="F493" s="15">
        <v>799.95</v>
      </c>
      <c r="G493" s="130">
        <v>11</v>
      </c>
      <c r="H493" s="123">
        <f t="shared" si="8"/>
        <v>8799.4500000000007</v>
      </c>
      <c r="I493" s="16"/>
      <c r="J493" s="16"/>
      <c r="K493"/>
      <c r="L493"/>
      <c r="M493" s="16"/>
      <c r="N493" s="16"/>
      <c r="O493"/>
      <c r="P493"/>
      <c r="Q493"/>
      <c r="R493"/>
      <c r="S493"/>
      <c r="T493"/>
      <c r="U493"/>
      <c r="V493"/>
      <c r="W493" s="17"/>
    </row>
    <row r="494" spans="1:23">
      <c r="A494" s="125" t="s">
        <v>30</v>
      </c>
      <c r="B494" s="14" t="s">
        <v>0</v>
      </c>
      <c r="C494" s="127" t="s">
        <v>18</v>
      </c>
      <c r="D494" s="14" t="s">
        <v>21</v>
      </c>
      <c r="E494" s="129">
        <f>42017+(7*364+7)</f>
        <v>44572</v>
      </c>
      <c r="F494" s="15">
        <v>168.95</v>
      </c>
      <c r="G494" s="130">
        <v>1</v>
      </c>
      <c r="H494" s="123">
        <f t="shared" si="8"/>
        <v>168.95</v>
      </c>
      <c r="I494" s="16"/>
      <c r="J494" s="16"/>
      <c r="K494"/>
      <c r="L494"/>
      <c r="M494" s="16"/>
      <c r="N494" s="16"/>
      <c r="O494"/>
      <c r="P494"/>
      <c r="Q494"/>
      <c r="R494"/>
      <c r="S494"/>
      <c r="T494"/>
      <c r="U494"/>
      <c r="V494"/>
      <c r="W494" s="17"/>
    </row>
    <row r="495" spans="1:23">
      <c r="A495" s="125" t="s">
        <v>33</v>
      </c>
      <c r="B495" s="14" t="s">
        <v>4</v>
      </c>
      <c r="C495" s="127" t="s">
        <v>18</v>
      </c>
      <c r="D495" s="14" t="s">
        <v>23</v>
      </c>
      <c r="E495" s="129">
        <f>41975+(7*364+7)</f>
        <v>44530</v>
      </c>
      <c r="F495" s="15">
        <v>340.95</v>
      </c>
      <c r="G495" s="130">
        <v>14</v>
      </c>
      <c r="H495" s="123">
        <f t="shared" si="8"/>
        <v>4773.3</v>
      </c>
      <c r="I495" s="16"/>
      <c r="J495" s="16"/>
      <c r="K495"/>
      <c r="L495"/>
      <c r="M495" s="16"/>
      <c r="N495" s="16"/>
      <c r="O495"/>
      <c r="P495"/>
      <c r="Q495"/>
      <c r="R495"/>
      <c r="S495"/>
      <c r="T495"/>
      <c r="U495"/>
      <c r="V495"/>
      <c r="W495" s="17"/>
    </row>
    <row r="496" spans="1:23">
      <c r="A496" s="125" t="s">
        <v>6</v>
      </c>
      <c r="B496" s="14" t="s">
        <v>2</v>
      </c>
      <c r="C496" s="127" t="s">
        <v>29</v>
      </c>
      <c r="D496" s="14" t="s">
        <v>19</v>
      </c>
      <c r="E496" s="129">
        <f>41856+(7*364+7)</f>
        <v>44411</v>
      </c>
      <c r="F496" s="15">
        <v>340.95</v>
      </c>
      <c r="G496" s="130">
        <v>15</v>
      </c>
      <c r="H496" s="123">
        <f t="shared" si="8"/>
        <v>5114.25</v>
      </c>
      <c r="I496" s="16"/>
      <c r="J496" s="16"/>
      <c r="K496"/>
      <c r="L496"/>
      <c r="M496" s="16"/>
      <c r="N496" s="16"/>
      <c r="O496"/>
      <c r="P496"/>
      <c r="Q496"/>
      <c r="R496"/>
      <c r="S496"/>
      <c r="T496"/>
      <c r="U496"/>
      <c r="V496"/>
      <c r="W496" s="17"/>
    </row>
    <row r="497" spans="1:23">
      <c r="A497" s="125" t="s">
        <v>7</v>
      </c>
      <c r="B497" s="14" t="s">
        <v>0</v>
      </c>
      <c r="C497" s="127" t="s">
        <v>27</v>
      </c>
      <c r="D497" s="14" t="s">
        <v>20</v>
      </c>
      <c r="E497" s="129">
        <f>42350+(7*364+7)</f>
        <v>44905</v>
      </c>
      <c r="F497" s="15">
        <v>168.95</v>
      </c>
      <c r="G497" s="130">
        <v>12</v>
      </c>
      <c r="H497" s="123">
        <f t="shared" si="8"/>
        <v>2027.3999999999999</v>
      </c>
      <c r="I497" s="16"/>
      <c r="J497" s="16"/>
      <c r="K497"/>
      <c r="L497"/>
      <c r="M497" s="16"/>
      <c r="N497" s="16"/>
      <c r="O497"/>
      <c r="P497"/>
      <c r="Q497"/>
      <c r="R497"/>
      <c r="S497"/>
      <c r="T497"/>
      <c r="U497"/>
      <c r="V497"/>
      <c r="W497" s="17"/>
    </row>
    <row r="498" spans="1:23">
      <c r="A498" s="125" t="s">
        <v>30</v>
      </c>
      <c r="B498" s="14" t="s">
        <v>1</v>
      </c>
      <c r="C498" s="127" t="s">
        <v>18</v>
      </c>
      <c r="D498" s="14" t="s">
        <v>19</v>
      </c>
      <c r="E498" s="129">
        <f>41955+(7*364+7)</f>
        <v>44510</v>
      </c>
      <c r="F498" s="15">
        <v>79.989999999999995</v>
      </c>
      <c r="G498" s="130">
        <v>10</v>
      </c>
      <c r="H498" s="123">
        <f t="shared" si="8"/>
        <v>799.9</v>
      </c>
      <c r="I498" s="16"/>
      <c r="J498" s="16"/>
      <c r="K498"/>
      <c r="L498"/>
      <c r="M498" s="16"/>
      <c r="N498" s="16"/>
      <c r="O498"/>
      <c r="P498"/>
      <c r="Q498"/>
      <c r="R498"/>
      <c r="S498"/>
      <c r="T498"/>
      <c r="U498"/>
      <c r="V498"/>
      <c r="W498" s="17"/>
    </row>
    <row r="499" spans="1:23">
      <c r="A499" s="125" t="s">
        <v>7</v>
      </c>
      <c r="B499" s="14" t="s">
        <v>2</v>
      </c>
      <c r="C499" s="127" t="s">
        <v>27</v>
      </c>
      <c r="D499" s="14" t="s">
        <v>22</v>
      </c>
      <c r="E499" s="129">
        <f>42102+(7*364+7)</f>
        <v>44657</v>
      </c>
      <c r="F499" s="15">
        <v>340.95</v>
      </c>
      <c r="G499" s="130">
        <v>10</v>
      </c>
      <c r="H499" s="123">
        <f t="shared" si="8"/>
        <v>3409.5</v>
      </c>
      <c r="I499" s="16"/>
      <c r="J499" s="16"/>
      <c r="K499"/>
      <c r="L499"/>
      <c r="M499" s="16"/>
      <c r="N499" s="16"/>
      <c r="O499"/>
      <c r="P499"/>
      <c r="Q499"/>
      <c r="R499"/>
      <c r="S499"/>
      <c r="T499"/>
      <c r="U499"/>
      <c r="V499"/>
      <c r="W499" s="17"/>
    </row>
    <row r="500" spans="1:23">
      <c r="A500" s="125" t="s">
        <v>25</v>
      </c>
      <c r="B500" s="14" t="s">
        <v>3</v>
      </c>
      <c r="C500" s="127" t="s">
        <v>32</v>
      </c>
      <c r="D500" s="14" t="s">
        <v>19</v>
      </c>
      <c r="E500" s="129">
        <f>42077+(7*364+7)</f>
        <v>44632</v>
      </c>
      <c r="F500" s="15">
        <v>799.95</v>
      </c>
      <c r="G500" s="130">
        <v>9</v>
      </c>
      <c r="H500" s="123">
        <f t="shared" si="8"/>
        <v>7199.55</v>
      </c>
      <c r="I500" s="16"/>
      <c r="J500" s="16"/>
      <c r="K500"/>
      <c r="L500"/>
      <c r="M500" s="16"/>
      <c r="N500" s="16"/>
      <c r="O500"/>
      <c r="P500"/>
      <c r="Q500"/>
      <c r="R500"/>
      <c r="S500"/>
      <c r="T500"/>
      <c r="U500"/>
      <c r="V500"/>
      <c r="W500" s="17"/>
    </row>
    <row r="501" spans="1:23">
      <c r="A501" s="125" t="s">
        <v>16</v>
      </c>
      <c r="B501" s="14" t="s">
        <v>4</v>
      </c>
      <c r="C501" s="127" t="s">
        <v>29</v>
      </c>
      <c r="D501" s="14" t="s">
        <v>20</v>
      </c>
      <c r="E501" s="129">
        <f>42276+(7*364+7)</f>
        <v>44831</v>
      </c>
      <c r="F501" s="15">
        <v>340.95</v>
      </c>
      <c r="G501" s="130">
        <v>13</v>
      </c>
      <c r="H501" s="123">
        <f t="shared" si="8"/>
        <v>4432.3499999999995</v>
      </c>
      <c r="I501" s="16"/>
      <c r="J501" s="16"/>
      <c r="K501"/>
      <c r="L501"/>
      <c r="M501" s="16"/>
      <c r="N501" s="16"/>
      <c r="O501"/>
      <c r="P501"/>
      <c r="Q501"/>
      <c r="R501"/>
      <c r="S501"/>
      <c r="T501"/>
      <c r="U501"/>
      <c r="V501"/>
      <c r="W501" s="17"/>
    </row>
    <row r="502" spans="1:23">
      <c r="A502" s="125" t="s">
        <v>17</v>
      </c>
      <c r="B502" s="14" t="s">
        <v>3</v>
      </c>
      <c r="C502" s="127" t="s">
        <v>18</v>
      </c>
      <c r="D502" s="14" t="s">
        <v>22</v>
      </c>
      <c r="E502" s="129">
        <f>42122+(7*364+7)</f>
        <v>44677</v>
      </c>
      <c r="F502" s="15">
        <v>799.95</v>
      </c>
      <c r="G502" s="130">
        <v>10</v>
      </c>
      <c r="H502" s="123">
        <f t="shared" si="8"/>
        <v>7999.5</v>
      </c>
      <c r="I502" s="16"/>
      <c r="J502" s="16"/>
      <c r="K502"/>
      <c r="L502"/>
      <c r="M502" s="16"/>
      <c r="N502" s="16"/>
      <c r="O502"/>
      <c r="P502"/>
      <c r="Q502"/>
      <c r="R502"/>
      <c r="S502"/>
      <c r="T502"/>
      <c r="U502"/>
      <c r="V502"/>
      <c r="W502" s="17"/>
    </row>
    <row r="503" spans="1:23">
      <c r="A503" s="125" t="s">
        <v>26</v>
      </c>
      <c r="B503" s="14" t="s">
        <v>1</v>
      </c>
      <c r="C503" s="127" t="s">
        <v>27</v>
      </c>
      <c r="D503" s="14" t="s">
        <v>23</v>
      </c>
      <c r="E503" s="129">
        <f>42005+(7*364+7)</f>
        <v>44560</v>
      </c>
      <c r="F503" s="15">
        <v>79.989999999999995</v>
      </c>
      <c r="G503" s="130">
        <v>11</v>
      </c>
      <c r="H503" s="123">
        <f t="shared" si="8"/>
        <v>879.89</v>
      </c>
      <c r="I503" s="16"/>
      <c r="J503" s="16"/>
      <c r="K503"/>
      <c r="L503"/>
      <c r="M503" s="16"/>
      <c r="N503" s="16"/>
      <c r="O503"/>
      <c r="P503"/>
      <c r="Q503"/>
      <c r="R503"/>
      <c r="S503"/>
      <c r="T503"/>
      <c r="U503"/>
      <c r="V503"/>
      <c r="W503" s="17"/>
    </row>
    <row r="504" spans="1:23">
      <c r="A504" s="125" t="s">
        <v>31</v>
      </c>
      <c r="B504" s="14" t="s">
        <v>2</v>
      </c>
      <c r="C504" s="127" t="s">
        <v>32</v>
      </c>
      <c r="D504" s="14" t="s">
        <v>21</v>
      </c>
      <c r="E504" s="129">
        <f>42210+(7*364+7)</f>
        <v>44765</v>
      </c>
      <c r="F504" s="15">
        <v>340.95</v>
      </c>
      <c r="G504" s="130">
        <v>6</v>
      </c>
      <c r="H504" s="123">
        <f t="shared" si="8"/>
        <v>2045.6999999999998</v>
      </c>
      <c r="I504" s="16"/>
      <c r="J504" s="16"/>
      <c r="K504"/>
      <c r="L504"/>
      <c r="M504" s="16"/>
      <c r="N504" s="16"/>
      <c r="O504"/>
      <c r="P504"/>
      <c r="Q504"/>
      <c r="R504"/>
      <c r="S504"/>
      <c r="T504"/>
      <c r="U504"/>
      <c r="V504"/>
      <c r="W504" s="17"/>
    </row>
    <row r="505" spans="1:23">
      <c r="A505" s="125" t="s">
        <v>26</v>
      </c>
      <c r="B505" s="14" t="s">
        <v>4</v>
      </c>
      <c r="C505" s="127" t="s">
        <v>27</v>
      </c>
      <c r="D505" s="14" t="s">
        <v>20</v>
      </c>
      <c r="E505" s="129">
        <f>42322+(7*364+7)</f>
        <v>44877</v>
      </c>
      <c r="F505" s="15">
        <v>340.95</v>
      </c>
      <c r="G505" s="130">
        <v>10</v>
      </c>
      <c r="H505" s="123">
        <f t="shared" si="8"/>
        <v>3409.5</v>
      </c>
      <c r="I505" s="16"/>
      <c r="J505" s="16"/>
      <c r="K505"/>
      <c r="L505"/>
      <c r="M505" s="16"/>
      <c r="N505" s="16"/>
      <c r="O505"/>
      <c r="P505"/>
      <c r="Q505"/>
      <c r="R505"/>
      <c r="S505"/>
      <c r="T505"/>
      <c r="U505"/>
      <c r="V505"/>
      <c r="W505" s="17"/>
    </row>
    <row r="506" spans="1:23">
      <c r="A506" s="125" t="s">
        <v>34</v>
      </c>
      <c r="B506" s="14" t="s">
        <v>3</v>
      </c>
      <c r="C506" s="127" t="s">
        <v>32</v>
      </c>
      <c r="D506" s="14" t="s">
        <v>22</v>
      </c>
      <c r="E506" s="129">
        <f>42340+(7*364+7)</f>
        <v>44895</v>
      </c>
      <c r="F506" s="15">
        <v>799.95</v>
      </c>
      <c r="G506" s="130">
        <v>15</v>
      </c>
      <c r="H506" s="123">
        <f t="shared" si="8"/>
        <v>11999.25</v>
      </c>
      <c r="I506" s="16"/>
      <c r="J506" s="16"/>
      <c r="K506"/>
      <c r="L506"/>
      <c r="M506" s="16"/>
      <c r="N506" s="16"/>
      <c r="O506"/>
      <c r="P506"/>
      <c r="Q506"/>
      <c r="R506"/>
      <c r="S506"/>
      <c r="T506"/>
      <c r="U506"/>
      <c r="V506"/>
      <c r="W506" s="17"/>
    </row>
    <row r="507" spans="1:23">
      <c r="A507" s="125" t="s">
        <v>7</v>
      </c>
      <c r="B507" s="14" t="s">
        <v>0</v>
      </c>
      <c r="C507" s="127" t="s">
        <v>27</v>
      </c>
      <c r="D507" s="14" t="s">
        <v>23</v>
      </c>
      <c r="E507" s="129">
        <f>41653+(7*364+7)</f>
        <v>44208</v>
      </c>
      <c r="F507" s="15">
        <v>168.95</v>
      </c>
      <c r="G507" s="130">
        <v>10</v>
      </c>
      <c r="H507" s="123">
        <f t="shared" si="8"/>
        <v>1689.5</v>
      </c>
      <c r="I507" s="16"/>
      <c r="J507" s="16"/>
      <c r="K507"/>
      <c r="L507"/>
      <c r="M507" s="16"/>
      <c r="N507" s="16"/>
      <c r="O507"/>
      <c r="P507"/>
      <c r="Q507"/>
      <c r="R507"/>
      <c r="S507"/>
      <c r="T507"/>
      <c r="U507"/>
      <c r="V507"/>
      <c r="W507" s="17"/>
    </row>
    <row r="508" spans="1:23">
      <c r="A508" s="125" t="s">
        <v>25</v>
      </c>
      <c r="B508" s="14" t="s">
        <v>4</v>
      </c>
      <c r="C508" s="127" t="s">
        <v>32</v>
      </c>
      <c r="D508" s="14" t="s">
        <v>20</v>
      </c>
      <c r="E508" s="129">
        <f>41896+(7*364+7)</f>
        <v>44451</v>
      </c>
      <c r="F508" s="15">
        <v>340.95</v>
      </c>
      <c r="G508" s="130">
        <v>5</v>
      </c>
      <c r="H508" s="123">
        <f t="shared" si="8"/>
        <v>1704.75</v>
      </c>
      <c r="I508" s="16"/>
      <c r="J508" s="16"/>
      <c r="K508"/>
      <c r="L508"/>
      <c r="M508" s="16"/>
      <c r="N508" s="16"/>
      <c r="O508"/>
      <c r="P508"/>
      <c r="Q508"/>
      <c r="R508"/>
      <c r="S508"/>
      <c r="T508"/>
      <c r="U508"/>
      <c r="V508"/>
      <c r="W508" s="17"/>
    </row>
    <row r="509" spans="1:23">
      <c r="A509" s="125" t="s">
        <v>6</v>
      </c>
      <c r="B509" s="14" t="s">
        <v>4</v>
      </c>
      <c r="C509" s="127" t="s">
        <v>18</v>
      </c>
      <c r="D509" s="14" t="s">
        <v>23</v>
      </c>
      <c r="E509" s="129">
        <f>41809+(7*364+7)</f>
        <v>44364</v>
      </c>
      <c r="F509" s="15">
        <v>340.95</v>
      </c>
      <c r="G509" s="130">
        <v>14</v>
      </c>
      <c r="H509" s="123">
        <f t="shared" si="8"/>
        <v>4773.3</v>
      </c>
      <c r="I509" s="16"/>
      <c r="J509" s="16"/>
      <c r="K509"/>
      <c r="L509"/>
      <c r="M509" s="16"/>
      <c r="N509" s="16"/>
      <c r="O509"/>
      <c r="P509"/>
      <c r="Q509"/>
      <c r="R509"/>
      <c r="S509"/>
      <c r="T509"/>
      <c r="U509"/>
      <c r="V509"/>
      <c r="W509" s="17"/>
    </row>
    <row r="510" spans="1:23">
      <c r="A510" s="125" t="s">
        <v>33</v>
      </c>
      <c r="B510" s="14" t="s">
        <v>2</v>
      </c>
      <c r="C510" s="127" t="s">
        <v>18</v>
      </c>
      <c r="D510" s="14" t="s">
        <v>22</v>
      </c>
      <c r="E510" s="129">
        <f>42092+(7*364+7)</f>
        <v>44647</v>
      </c>
      <c r="F510" s="15">
        <v>340.95</v>
      </c>
      <c r="G510" s="130">
        <v>6</v>
      </c>
      <c r="H510" s="123">
        <f t="shared" si="8"/>
        <v>2045.6999999999998</v>
      </c>
      <c r="I510" s="16"/>
      <c r="J510" s="16"/>
      <c r="K510"/>
      <c r="L510"/>
      <c r="M510" s="16"/>
      <c r="N510" s="16"/>
      <c r="O510"/>
      <c r="P510"/>
      <c r="Q510"/>
      <c r="R510"/>
      <c r="S510"/>
      <c r="T510"/>
      <c r="U510"/>
      <c r="V510"/>
      <c r="W510" s="17"/>
    </row>
    <row r="511" spans="1:23">
      <c r="A511" s="125" t="s">
        <v>17</v>
      </c>
      <c r="B511" s="14" t="s">
        <v>4</v>
      </c>
      <c r="C511" s="127" t="s">
        <v>18</v>
      </c>
      <c r="D511" s="14" t="s">
        <v>20</v>
      </c>
      <c r="E511" s="129">
        <f>41661+(7*364+7)</f>
        <v>44216</v>
      </c>
      <c r="F511" s="15">
        <v>340.95</v>
      </c>
      <c r="G511" s="130">
        <v>4</v>
      </c>
      <c r="H511" s="123">
        <f t="shared" si="8"/>
        <v>1363.8</v>
      </c>
      <c r="I511" s="16"/>
      <c r="J511" s="16"/>
      <c r="K511"/>
      <c r="L511"/>
      <c r="M511" s="16"/>
      <c r="N511" s="16"/>
      <c r="O511"/>
      <c r="P511"/>
      <c r="Q511"/>
      <c r="R511"/>
      <c r="S511"/>
      <c r="T511"/>
      <c r="U511"/>
      <c r="V511"/>
      <c r="W511" s="17"/>
    </row>
    <row r="512" spans="1:23">
      <c r="A512" s="125" t="s">
        <v>17</v>
      </c>
      <c r="B512" s="14" t="s">
        <v>2</v>
      </c>
      <c r="C512" s="127" t="s">
        <v>18</v>
      </c>
      <c r="D512" s="14" t="s">
        <v>23</v>
      </c>
      <c r="E512" s="129">
        <f>42103+(7*364+7)</f>
        <v>44658</v>
      </c>
      <c r="F512" s="15">
        <v>340.95</v>
      </c>
      <c r="G512" s="130">
        <v>4</v>
      </c>
      <c r="H512" s="123">
        <f t="shared" si="8"/>
        <v>1363.8</v>
      </c>
      <c r="I512" s="16"/>
      <c r="J512" s="16"/>
      <c r="K512"/>
      <c r="L512"/>
      <c r="M512" s="16"/>
      <c r="N512" s="16"/>
      <c r="O512"/>
      <c r="P512"/>
      <c r="Q512"/>
      <c r="R512"/>
      <c r="S512"/>
      <c r="T512"/>
      <c r="U512"/>
      <c r="V512"/>
      <c r="W512" s="17"/>
    </row>
    <row r="513" spans="1:23">
      <c r="A513" s="125" t="s">
        <v>34</v>
      </c>
      <c r="B513" s="14" t="s">
        <v>1</v>
      </c>
      <c r="C513" s="127" t="s">
        <v>32</v>
      </c>
      <c r="D513" s="14" t="s">
        <v>20</v>
      </c>
      <c r="E513" s="129">
        <f>41986+(7*364+7)</f>
        <v>44541</v>
      </c>
      <c r="F513" s="15">
        <v>79.989999999999995</v>
      </c>
      <c r="G513" s="130">
        <v>6</v>
      </c>
      <c r="H513" s="123">
        <f t="shared" si="8"/>
        <v>479.93999999999994</v>
      </c>
      <c r="I513" s="16"/>
      <c r="J513" s="16"/>
      <c r="K513"/>
      <c r="L513"/>
      <c r="M513" s="16"/>
      <c r="N513" s="16"/>
      <c r="O513"/>
      <c r="P513"/>
      <c r="Q513"/>
      <c r="R513"/>
      <c r="S513"/>
      <c r="T513"/>
      <c r="U513"/>
      <c r="V513"/>
      <c r="W513" s="17"/>
    </row>
    <row r="514" spans="1:23">
      <c r="A514" s="125" t="s">
        <v>33</v>
      </c>
      <c r="B514" s="14" t="s">
        <v>0</v>
      </c>
      <c r="C514" s="127" t="s">
        <v>18</v>
      </c>
      <c r="D514" s="14" t="s">
        <v>23</v>
      </c>
      <c r="E514" s="129">
        <f>41962+(7*364+7)</f>
        <v>44517</v>
      </c>
      <c r="F514" s="15">
        <v>168.95</v>
      </c>
      <c r="G514" s="130">
        <v>5</v>
      </c>
      <c r="H514" s="123">
        <f t="shared" si="8"/>
        <v>844.75</v>
      </c>
      <c r="I514" s="16"/>
      <c r="J514" s="16"/>
      <c r="K514"/>
      <c r="L514"/>
      <c r="M514" s="16"/>
      <c r="N514" s="16"/>
      <c r="O514"/>
      <c r="P514"/>
      <c r="Q514"/>
      <c r="R514"/>
      <c r="S514"/>
      <c r="T514"/>
      <c r="U514"/>
      <c r="V514"/>
      <c r="W514" s="17"/>
    </row>
    <row r="515" spans="1:23">
      <c r="A515" s="125" t="s">
        <v>25</v>
      </c>
      <c r="B515" s="14" t="s">
        <v>4</v>
      </c>
      <c r="C515" s="127" t="s">
        <v>32</v>
      </c>
      <c r="D515" s="14" t="s">
        <v>22</v>
      </c>
      <c r="E515" s="129">
        <f>41786+(7*364+7)</f>
        <v>44341</v>
      </c>
      <c r="F515" s="15">
        <v>340.95</v>
      </c>
      <c r="G515" s="130">
        <v>3</v>
      </c>
      <c r="H515" s="123">
        <f t="shared" ref="H515:H578" si="9">F515*G515</f>
        <v>1022.8499999999999</v>
      </c>
      <c r="I515" s="16"/>
      <c r="J515" s="16"/>
      <c r="K515"/>
      <c r="L515"/>
      <c r="M515" s="16"/>
      <c r="N515" s="16"/>
      <c r="O515"/>
      <c r="P515"/>
      <c r="Q515"/>
      <c r="R515"/>
      <c r="S515"/>
      <c r="T515"/>
      <c r="U515"/>
      <c r="V515"/>
      <c r="W515" s="17"/>
    </row>
    <row r="516" spans="1:23">
      <c r="A516" s="125" t="s">
        <v>7</v>
      </c>
      <c r="B516" s="14" t="s">
        <v>4</v>
      </c>
      <c r="C516" s="127" t="s">
        <v>27</v>
      </c>
      <c r="D516" s="14" t="s">
        <v>20</v>
      </c>
      <c r="E516" s="129">
        <f>42301+(7*364+7)</f>
        <v>44856</v>
      </c>
      <c r="F516" s="15">
        <v>340.95</v>
      </c>
      <c r="G516" s="130">
        <v>6</v>
      </c>
      <c r="H516" s="123">
        <f t="shared" si="9"/>
        <v>2045.6999999999998</v>
      </c>
      <c r="I516" s="16"/>
      <c r="J516" s="16"/>
      <c r="K516"/>
      <c r="L516"/>
      <c r="M516" s="16"/>
      <c r="N516" s="16"/>
      <c r="O516"/>
      <c r="P516"/>
      <c r="Q516"/>
      <c r="R516"/>
      <c r="S516"/>
      <c r="T516"/>
      <c r="U516"/>
      <c r="V516"/>
      <c r="W516" s="17"/>
    </row>
    <row r="517" spans="1:23">
      <c r="A517" s="125" t="s">
        <v>34</v>
      </c>
      <c r="B517" s="14" t="s">
        <v>3</v>
      </c>
      <c r="C517" s="127" t="s">
        <v>32</v>
      </c>
      <c r="D517" s="14" t="s">
        <v>19</v>
      </c>
      <c r="E517" s="129">
        <f>42012+(7*364+7)</f>
        <v>44567</v>
      </c>
      <c r="F517" s="15">
        <v>799.95</v>
      </c>
      <c r="G517" s="130">
        <v>18</v>
      </c>
      <c r="H517" s="123">
        <f t="shared" si="9"/>
        <v>14399.1</v>
      </c>
      <c r="I517" s="16"/>
      <c r="J517" s="16"/>
      <c r="K517"/>
      <c r="L517"/>
      <c r="M517" s="16"/>
      <c r="N517" s="16"/>
      <c r="O517"/>
      <c r="P517"/>
      <c r="Q517"/>
      <c r="R517"/>
      <c r="S517"/>
      <c r="T517"/>
      <c r="U517"/>
      <c r="V517"/>
      <c r="W517" s="17"/>
    </row>
    <row r="518" spans="1:23">
      <c r="A518" s="125" t="s">
        <v>6</v>
      </c>
      <c r="B518" s="14" t="s">
        <v>2</v>
      </c>
      <c r="C518" s="127" t="s">
        <v>29</v>
      </c>
      <c r="D518" s="14" t="s">
        <v>20</v>
      </c>
      <c r="E518" s="129">
        <f>41836+(7*364+7)</f>
        <v>44391</v>
      </c>
      <c r="F518" s="15">
        <v>340.95</v>
      </c>
      <c r="G518" s="130">
        <v>6</v>
      </c>
      <c r="H518" s="123">
        <f t="shared" si="9"/>
        <v>2045.6999999999998</v>
      </c>
      <c r="I518" s="16"/>
      <c r="J518" s="16"/>
      <c r="K518"/>
      <c r="L518"/>
      <c r="M518" s="16"/>
      <c r="N518" s="16"/>
      <c r="O518"/>
      <c r="P518"/>
      <c r="Q518"/>
      <c r="R518"/>
      <c r="S518"/>
      <c r="T518"/>
      <c r="U518"/>
      <c r="V518"/>
      <c r="W518" s="17"/>
    </row>
    <row r="519" spans="1:23">
      <c r="A519" s="125" t="s">
        <v>26</v>
      </c>
      <c r="B519" s="14" t="s">
        <v>4</v>
      </c>
      <c r="C519" s="127" t="s">
        <v>27</v>
      </c>
      <c r="D519" s="14" t="s">
        <v>22</v>
      </c>
      <c r="E519" s="129">
        <f>41770+(7*364+7)</f>
        <v>44325</v>
      </c>
      <c r="F519" s="15">
        <v>340.95</v>
      </c>
      <c r="G519" s="130">
        <v>15</v>
      </c>
      <c r="H519" s="123">
        <f t="shared" si="9"/>
        <v>5114.25</v>
      </c>
      <c r="I519" s="16"/>
      <c r="J519" s="16"/>
      <c r="K519"/>
      <c r="L519"/>
      <c r="M519" s="16"/>
      <c r="N519" s="16"/>
      <c r="O519"/>
      <c r="P519"/>
      <c r="Q519"/>
      <c r="R519"/>
      <c r="S519"/>
      <c r="T519"/>
      <c r="U519"/>
      <c r="V519"/>
      <c r="W519" s="17"/>
    </row>
    <row r="520" spans="1:23">
      <c r="A520" s="125" t="s">
        <v>16</v>
      </c>
      <c r="B520" s="14" t="s">
        <v>2</v>
      </c>
      <c r="C520" s="127" t="s">
        <v>29</v>
      </c>
      <c r="D520" s="14" t="s">
        <v>20</v>
      </c>
      <c r="E520" s="129">
        <f>42290+(7*364+7)</f>
        <v>44845</v>
      </c>
      <c r="F520" s="15">
        <v>340.95</v>
      </c>
      <c r="G520" s="130">
        <v>4</v>
      </c>
      <c r="H520" s="123">
        <f t="shared" si="9"/>
        <v>1363.8</v>
      </c>
      <c r="I520" s="16"/>
      <c r="J520" s="16"/>
      <c r="K520"/>
      <c r="L520"/>
      <c r="M520" s="16"/>
      <c r="N520" s="16"/>
      <c r="O520"/>
      <c r="P520"/>
      <c r="Q520"/>
      <c r="R520"/>
      <c r="S520"/>
      <c r="T520"/>
      <c r="U520"/>
      <c r="V520"/>
      <c r="W520" s="17"/>
    </row>
    <row r="521" spans="1:23">
      <c r="A521" s="125" t="s">
        <v>26</v>
      </c>
      <c r="B521" s="14" t="s">
        <v>1</v>
      </c>
      <c r="C521" s="127" t="s">
        <v>27</v>
      </c>
      <c r="D521" s="14" t="s">
        <v>20</v>
      </c>
      <c r="E521" s="129">
        <f>41928+(7*364+7)</f>
        <v>44483</v>
      </c>
      <c r="F521" s="15">
        <v>79.989999999999995</v>
      </c>
      <c r="G521" s="130">
        <v>4</v>
      </c>
      <c r="H521" s="123">
        <f t="shared" si="9"/>
        <v>319.95999999999998</v>
      </c>
      <c r="I521" s="16"/>
      <c r="J521" s="16"/>
      <c r="K521"/>
      <c r="L521"/>
      <c r="M521" s="16"/>
      <c r="N521" s="16"/>
      <c r="O521"/>
      <c r="P521"/>
      <c r="Q521"/>
      <c r="R521"/>
      <c r="S521"/>
      <c r="T521"/>
      <c r="U521"/>
      <c r="V521"/>
      <c r="W521" s="17"/>
    </row>
    <row r="522" spans="1:23">
      <c r="A522" s="125" t="s">
        <v>33</v>
      </c>
      <c r="B522" s="14" t="s">
        <v>0</v>
      </c>
      <c r="C522" s="127" t="s">
        <v>18</v>
      </c>
      <c r="D522" s="14" t="s">
        <v>20</v>
      </c>
      <c r="E522" s="129">
        <f>42036+(7*364+7)</f>
        <v>44591</v>
      </c>
      <c r="F522" s="15">
        <v>168.95</v>
      </c>
      <c r="G522" s="130">
        <v>4</v>
      </c>
      <c r="H522" s="123">
        <f t="shared" si="9"/>
        <v>675.8</v>
      </c>
      <c r="I522" s="16"/>
      <c r="J522" s="16"/>
      <c r="K522"/>
      <c r="L522"/>
      <c r="M522" s="16"/>
      <c r="N522" s="16"/>
      <c r="O522"/>
      <c r="P522"/>
      <c r="Q522"/>
      <c r="R522"/>
      <c r="S522"/>
      <c r="T522"/>
      <c r="U522"/>
      <c r="V522"/>
      <c r="W522" s="17"/>
    </row>
    <row r="523" spans="1:23">
      <c r="A523" s="125" t="s">
        <v>25</v>
      </c>
      <c r="B523" s="14" t="s">
        <v>1</v>
      </c>
      <c r="C523" s="127" t="s">
        <v>32</v>
      </c>
      <c r="D523" s="14" t="s">
        <v>21</v>
      </c>
      <c r="E523" s="129">
        <f>42209+(7*364+7)</f>
        <v>44764</v>
      </c>
      <c r="F523" s="15">
        <v>79.989999999999995</v>
      </c>
      <c r="G523" s="130">
        <v>2</v>
      </c>
      <c r="H523" s="123">
        <f t="shared" si="9"/>
        <v>159.97999999999999</v>
      </c>
      <c r="I523" s="16"/>
      <c r="J523" s="16"/>
      <c r="K523"/>
      <c r="L523"/>
      <c r="M523" s="16"/>
      <c r="N523" s="16"/>
      <c r="O523"/>
      <c r="P523"/>
      <c r="Q523"/>
      <c r="R523"/>
      <c r="S523"/>
      <c r="T523"/>
      <c r="U523"/>
      <c r="V523"/>
      <c r="W523" s="17"/>
    </row>
    <row r="524" spans="1:23">
      <c r="A524" s="125" t="s">
        <v>25</v>
      </c>
      <c r="B524" s="14" t="s">
        <v>2</v>
      </c>
      <c r="C524" s="127" t="s">
        <v>32</v>
      </c>
      <c r="D524" s="14" t="s">
        <v>19</v>
      </c>
      <c r="E524" s="129">
        <f>41676+(7*364+7)</f>
        <v>44231</v>
      </c>
      <c r="F524" s="15">
        <v>340.95</v>
      </c>
      <c r="G524" s="130">
        <v>7</v>
      </c>
      <c r="H524" s="123">
        <f t="shared" si="9"/>
        <v>2386.65</v>
      </c>
      <c r="I524" s="16"/>
      <c r="J524" s="16"/>
      <c r="K524"/>
      <c r="L524"/>
      <c r="M524" s="16"/>
      <c r="N524" s="16"/>
      <c r="O524"/>
      <c r="P524"/>
      <c r="Q524"/>
      <c r="R524"/>
      <c r="S524"/>
      <c r="T524"/>
      <c r="U524"/>
      <c r="V524"/>
      <c r="W524" s="17"/>
    </row>
    <row r="525" spans="1:23">
      <c r="A525" s="125" t="s">
        <v>26</v>
      </c>
      <c r="B525" s="14" t="s">
        <v>1</v>
      </c>
      <c r="C525" s="127" t="s">
        <v>27</v>
      </c>
      <c r="D525" s="14" t="s">
        <v>21</v>
      </c>
      <c r="E525" s="129">
        <f>42243+(7*364+7)</f>
        <v>44798</v>
      </c>
      <c r="F525" s="15">
        <v>79.989999999999995</v>
      </c>
      <c r="G525" s="130">
        <v>15</v>
      </c>
      <c r="H525" s="123">
        <f t="shared" si="9"/>
        <v>1199.8499999999999</v>
      </c>
      <c r="I525" s="16"/>
      <c r="J525" s="16"/>
      <c r="K525"/>
      <c r="L525"/>
      <c r="M525" s="16"/>
      <c r="N525" s="16"/>
      <c r="O525"/>
      <c r="P525"/>
      <c r="Q525"/>
      <c r="R525"/>
      <c r="S525"/>
      <c r="T525"/>
      <c r="U525"/>
      <c r="V525"/>
      <c r="W525" s="17"/>
    </row>
    <row r="526" spans="1:23">
      <c r="A526" s="125" t="s">
        <v>16</v>
      </c>
      <c r="B526" s="14" t="s">
        <v>4</v>
      </c>
      <c r="C526" s="127" t="s">
        <v>29</v>
      </c>
      <c r="D526" s="14" t="s">
        <v>22</v>
      </c>
      <c r="E526" s="129">
        <f>42090+(7*364+7)</f>
        <v>44645</v>
      </c>
      <c r="F526" s="15">
        <v>340.95</v>
      </c>
      <c r="G526" s="130">
        <v>4</v>
      </c>
      <c r="H526" s="123">
        <f t="shared" si="9"/>
        <v>1363.8</v>
      </c>
      <c r="I526" s="16"/>
      <c r="J526" s="16"/>
      <c r="K526"/>
      <c r="L526"/>
      <c r="M526" s="16"/>
      <c r="N526" s="16"/>
      <c r="O526"/>
      <c r="P526"/>
      <c r="Q526"/>
      <c r="R526"/>
      <c r="S526"/>
      <c r="T526"/>
      <c r="U526"/>
      <c r="V526"/>
      <c r="W526" s="17"/>
    </row>
    <row r="527" spans="1:23">
      <c r="A527" s="125" t="s">
        <v>25</v>
      </c>
      <c r="B527" s="14" t="s">
        <v>3</v>
      </c>
      <c r="C527" s="127" t="s">
        <v>32</v>
      </c>
      <c r="D527" s="14" t="s">
        <v>23</v>
      </c>
      <c r="E527" s="129">
        <f>41847+(7*364+7)</f>
        <v>44402</v>
      </c>
      <c r="F527" s="15">
        <v>799.95</v>
      </c>
      <c r="G527" s="130">
        <v>2</v>
      </c>
      <c r="H527" s="123">
        <f t="shared" si="9"/>
        <v>1599.9</v>
      </c>
      <c r="I527" s="16"/>
      <c r="J527" s="16"/>
      <c r="K527"/>
      <c r="L527"/>
      <c r="M527" s="16"/>
      <c r="N527" s="16"/>
      <c r="O527"/>
      <c r="P527"/>
      <c r="Q527"/>
      <c r="R527"/>
      <c r="S527"/>
      <c r="T527"/>
      <c r="U527"/>
      <c r="V527"/>
      <c r="W527" s="17"/>
    </row>
    <row r="528" spans="1:23">
      <c r="A528" s="125" t="s">
        <v>30</v>
      </c>
      <c r="B528" s="14" t="s">
        <v>4</v>
      </c>
      <c r="C528" s="127" t="s">
        <v>18</v>
      </c>
      <c r="D528" s="14" t="s">
        <v>22</v>
      </c>
      <c r="E528" s="129">
        <f>41993+(7*364+7)</f>
        <v>44548</v>
      </c>
      <c r="F528" s="15">
        <v>340.95</v>
      </c>
      <c r="G528" s="130">
        <v>11</v>
      </c>
      <c r="H528" s="123">
        <f t="shared" si="9"/>
        <v>3750.45</v>
      </c>
      <c r="I528" s="16"/>
      <c r="J528" s="16"/>
      <c r="K528"/>
      <c r="L528"/>
      <c r="M528" s="16"/>
      <c r="N528" s="16"/>
      <c r="O528"/>
      <c r="P528"/>
      <c r="Q528"/>
      <c r="R528"/>
      <c r="S528"/>
      <c r="T528"/>
      <c r="U528"/>
      <c r="V528"/>
      <c r="W528" s="17"/>
    </row>
    <row r="529" spans="1:23">
      <c r="A529" s="125" t="s">
        <v>35</v>
      </c>
      <c r="B529" s="14" t="s">
        <v>0</v>
      </c>
      <c r="C529" s="127" t="s">
        <v>29</v>
      </c>
      <c r="D529" s="14" t="s">
        <v>20</v>
      </c>
      <c r="E529" s="129">
        <f>42256+(7*364+7)</f>
        <v>44811</v>
      </c>
      <c r="F529" s="15">
        <v>168.95</v>
      </c>
      <c r="G529" s="130">
        <v>1</v>
      </c>
      <c r="H529" s="123">
        <f t="shared" si="9"/>
        <v>168.95</v>
      </c>
      <c r="I529" s="16"/>
      <c r="J529" s="16"/>
      <c r="K529"/>
      <c r="L529"/>
      <c r="M529" s="16"/>
      <c r="N529" s="16"/>
      <c r="O529"/>
      <c r="P529"/>
      <c r="Q529"/>
      <c r="R529"/>
      <c r="S529"/>
      <c r="T529"/>
      <c r="U529"/>
      <c r="V529"/>
      <c r="W529" s="17"/>
    </row>
    <row r="530" spans="1:23">
      <c r="A530" s="125" t="s">
        <v>34</v>
      </c>
      <c r="B530" s="14" t="s">
        <v>2</v>
      </c>
      <c r="C530" s="127" t="s">
        <v>32</v>
      </c>
      <c r="D530" s="14" t="s">
        <v>21</v>
      </c>
      <c r="E530" s="129">
        <f>41923+(7*364+7)</f>
        <v>44478</v>
      </c>
      <c r="F530" s="15">
        <v>340.95</v>
      </c>
      <c r="G530" s="130">
        <v>12</v>
      </c>
      <c r="H530" s="123">
        <f t="shared" si="9"/>
        <v>4091.3999999999996</v>
      </c>
      <c r="I530" s="16"/>
      <c r="J530" s="16"/>
      <c r="K530"/>
      <c r="L530"/>
      <c r="M530" s="16"/>
      <c r="N530" s="16"/>
      <c r="O530"/>
      <c r="P530"/>
      <c r="Q530"/>
      <c r="R530"/>
      <c r="S530"/>
      <c r="T530"/>
      <c r="U530"/>
      <c r="V530"/>
      <c r="W530" s="17"/>
    </row>
    <row r="531" spans="1:23">
      <c r="A531" s="125" t="s">
        <v>25</v>
      </c>
      <c r="B531" s="14" t="s">
        <v>1</v>
      </c>
      <c r="C531" s="127" t="s">
        <v>32</v>
      </c>
      <c r="D531" s="14" t="s">
        <v>20</v>
      </c>
      <c r="E531" s="129">
        <f>42186+(7*364+7)</f>
        <v>44741</v>
      </c>
      <c r="F531" s="15">
        <v>79.989999999999995</v>
      </c>
      <c r="G531" s="130">
        <v>4</v>
      </c>
      <c r="H531" s="123">
        <f t="shared" si="9"/>
        <v>319.95999999999998</v>
      </c>
      <c r="I531" s="16"/>
      <c r="J531" s="16"/>
      <c r="K531"/>
      <c r="L531"/>
      <c r="M531" s="16"/>
      <c r="N531" s="16"/>
      <c r="O531"/>
      <c r="P531"/>
      <c r="Q531"/>
      <c r="R531"/>
      <c r="S531"/>
      <c r="T531"/>
      <c r="U531"/>
      <c r="V531"/>
      <c r="W531" s="17"/>
    </row>
    <row r="532" spans="1:23">
      <c r="A532" s="125" t="s">
        <v>17</v>
      </c>
      <c r="B532" s="14" t="s">
        <v>4</v>
      </c>
      <c r="C532" s="127" t="s">
        <v>18</v>
      </c>
      <c r="D532" s="14" t="s">
        <v>21</v>
      </c>
      <c r="E532" s="129">
        <f>42333+(7*364+7)</f>
        <v>44888</v>
      </c>
      <c r="F532" s="15">
        <v>340.95</v>
      </c>
      <c r="G532" s="130">
        <v>10</v>
      </c>
      <c r="H532" s="123">
        <f t="shared" si="9"/>
        <v>3409.5</v>
      </c>
      <c r="I532" s="16"/>
      <c r="J532" s="16"/>
      <c r="K532"/>
      <c r="L532"/>
      <c r="M532" s="16"/>
      <c r="N532" s="16"/>
      <c r="O532"/>
      <c r="P532"/>
      <c r="Q532"/>
      <c r="R532"/>
      <c r="S532"/>
      <c r="T532"/>
      <c r="U532"/>
      <c r="V532"/>
      <c r="W532" s="17"/>
    </row>
    <row r="533" spans="1:23">
      <c r="A533" s="125" t="s">
        <v>25</v>
      </c>
      <c r="B533" s="14" t="s">
        <v>4</v>
      </c>
      <c r="C533" s="127" t="s">
        <v>32</v>
      </c>
      <c r="D533" s="14" t="s">
        <v>23</v>
      </c>
      <c r="E533" s="129">
        <f>41738+(7*364+7)</f>
        <v>44293</v>
      </c>
      <c r="F533" s="15">
        <v>340.95</v>
      </c>
      <c r="G533" s="130">
        <v>11</v>
      </c>
      <c r="H533" s="123">
        <f t="shared" si="9"/>
        <v>3750.45</v>
      </c>
      <c r="I533" s="16"/>
      <c r="J533" s="16"/>
      <c r="K533"/>
      <c r="L533"/>
      <c r="M533" s="16"/>
      <c r="N533" s="16"/>
      <c r="O533"/>
      <c r="P533"/>
      <c r="Q533"/>
      <c r="R533"/>
      <c r="S533"/>
      <c r="T533"/>
      <c r="U533"/>
      <c r="V533"/>
      <c r="W533" s="17"/>
    </row>
    <row r="534" spans="1:23">
      <c r="A534" s="125" t="s">
        <v>16</v>
      </c>
      <c r="B534" s="14" t="s">
        <v>0</v>
      </c>
      <c r="C534" s="127" t="s">
        <v>29</v>
      </c>
      <c r="D534" s="14" t="s">
        <v>19</v>
      </c>
      <c r="E534" s="129">
        <f>41844+(7*364+7)</f>
        <v>44399</v>
      </c>
      <c r="F534" s="15">
        <v>168.95</v>
      </c>
      <c r="G534" s="130">
        <v>7</v>
      </c>
      <c r="H534" s="123">
        <f t="shared" si="9"/>
        <v>1182.6499999999999</v>
      </c>
      <c r="I534" s="16"/>
      <c r="J534" s="16"/>
      <c r="K534"/>
      <c r="L534"/>
      <c r="M534" s="16"/>
      <c r="N534" s="16"/>
      <c r="O534"/>
      <c r="P534"/>
      <c r="Q534"/>
      <c r="R534"/>
      <c r="S534"/>
      <c r="T534"/>
      <c r="U534"/>
      <c r="V534"/>
      <c r="W534" s="17"/>
    </row>
    <row r="535" spans="1:23">
      <c r="A535" s="125" t="s">
        <v>17</v>
      </c>
      <c r="B535" s="14" t="s">
        <v>0</v>
      </c>
      <c r="C535" s="127" t="s">
        <v>18</v>
      </c>
      <c r="D535" s="14" t="s">
        <v>23</v>
      </c>
      <c r="E535" s="129">
        <f>41920+(7*364+7)</f>
        <v>44475</v>
      </c>
      <c r="F535" s="15">
        <v>168.95</v>
      </c>
      <c r="G535" s="130">
        <v>4</v>
      </c>
      <c r="H535" s="123">
        <f t="shared" si="9"/>
        <v>675.8</v>
      </c>
      <c r="I535" s="16"/>
      <c r="J535" s="16"/>
      <c r="K535"/>
      <c r="L535"/>
      <c r="M535" s="16"/>
      <c r="N535" s="16"/>
      <c r="O535"/>
      <c r="P535"/>
      <c r="Q535"/>
      <c r="R535"/>
      <c r="S535"/>
      <c r="T535"/>
      <c r="U535"/>
      <c r="V535"/>
      <c r="W535" s="17"/>
    </row>
    <row r="536" spans="1:23">
      <c r="A536" s="125" t="s">
        <v>25</v>
      </c>
      <c r="B536" s="14" t="s">
        <v>3</v>
      </c>
      <c r="C536" s="127" t="s">
        <v>32</v>
      </c>
      <c r="D536" s="14" t="s">
        <v>23</v>
      </c>
      <c r="E536" s="129">
        <f>42112+(7*364+7)</f>
        <v>44667</v>
      </c>
      <c r="F536" s="15">
        <v>799.95</v>
      </c>
      <c r="G536" s="130">
        <v>13</v>
      </c>
      <c r="H536" s="123">
        <f t="shared" si="9"/>
        <v>10399.35</v>
      </c>
      <c r="I536" s="16"/>
      <c r="J536" s="16"/>
      <c r="K536"/>
      <c r="L536"/>
      <c r="M536" s="16"/>
      <c r="N536" s="16"/>
      <c r="O536"/>
      <c r="P536"/>
      <c r="Q536"/>
      <c r="R536"/>
      <c r="S536"/>
      <c r="T536"/>
      <c r="U536"/>
      <c r="V536"/>
      <c r="W536" s="17"/>
    </row>
    <row r="537" spans="1:23">
      <c r="A537" s="125" t="s">
        <v>25</v>
      </c>
      <c r="B537" s="14" t="s">
        <v>0</v>
      </c>
      <c r="C537" s="127" t="s">
        <v>32</v>
      </c>
      <c r="D537" s="14" t="s">
        <v>20</v>
      </c>
      <c r="E537" s="129">
        <f>42284+(7*364+7)</f>
        <v>44839</v>
      </c>
      <c r="F537" s="15">
        <v>168.95</v>
      </c>
      <c r="G537" s="130">
        <v>1</v>
      </c>
      <c r="H537" s="123">
        <f t="shared" si="9"/>
        <v>168.95</v>
      </c>
      <c r="I537" s="16"/>
      <c r="J537" s="16"/>
      <c r="K537"/>
      <c r="L537"/>
      <c r="M537" s="16"/>
      <c r="N537" s="16"/>
      <c r="O537"/>
      <c r="P537"/>
      <c r="Q537"/>
      <c r="R537"/>
      <c r="S537"/>
      <c r="T537"/>
      <c r="U537"/>
      <c r="V537"/>
      <c r="W537" s="17"/>
    </row>
    <row r="538" spans="1:23">
      <c r="A538" s="125" t="s">
        <v>34</v>
      </c>
      <c r="B538" s="14" t="s">
        <v>1</v>
      </c>
      <c r="C538" s="127" t="s">
        <v>32</v>
      </c>
      <c r="D538" s="14" t="s">
        <v>21</v>
      </c>
      <c r="E538" s="129">
        <f>42151+(7*364+7)</f>
        <v>44706</v>
      </c>
      <c r="F538" s="15">
        <v>79.989999999999995</v>
      </c>
      <c r="G538" s="130">
        <v>2</v>
      </c>
      <c r="H538" s="123">
        <f t="shared" si="9"/>
        <v>159.97999999999999</v>
      </c>
      <c r="I538" s="16"/>
      <c r="J538" s="16"/>
      <c r="K538"/>
      <c r="L538"/>
      <c r="M538" s="16"/>
      <c r="N538" s="16"/>
      <c r="O538"/>
      <c r="P538"/>
      <c r="Q538"/>
      <c r="R538"/>
      <c r="S538"/>
      <c r="T538"/>
      <c r="U538"/>
      <c r="V538"/>
      <c r="W538" s="17"/>
    </row>
    <row r="539" spans="1:23">
      <c r="A539" s="125" t="s">
        <v>25</v>
      </c>
      <c r="B539" s="14" t="s">
        <v>3</v>
      </c>
      <c r="C539" s="127" t="s">
        <v>32</v>
      </c>
      <c r="D539" s="14" t="s">
        <v>19</v>
      </c>
      <c r="E539" s="129">
        <f>41755+(7*364+7)</f>
        <v>44310</v>
      </c>
      <c r="F539" s="15">
        <v>799.95</v>
      </c>
      <c r="G539" s="130">
        <v>16</v>
      </c>
      <c r="H539" s="123">
        <f t="shared" si="9"/>
        <v>12799.2</v>
      </c>
      <c r="I539" s="16"/>
      <c r="J539" s="16"/>
      <c r="K539"/>
      <c r="L539"/>
      <c r="M539" s="16"/>
      <c r="N539" s="16"/>
      <c r="O539"/>
      <c r="P539"/>
      <c r="Q539"/>
      <c r="R539"/>
      <c r="S539"/>
      <c r="T539"/>
      <c r="U539"/>
      <c r="V539"/>
      <c r="W539" s="17"/>
    </row>
    <row r="540" spans="1:23">
      <c r="A540" s="125" t="s">
        <v>35</v>
      </c>
      <c r="B540" s="14" t="s">
        <v>2</v>
      </c>
      <c r="C540" s="127" t="s">
        <v>29</v>
      </c>
      <c r="D540" s="14" t="s">
        <v>20</v>
      </c>
      <c r="E540" s="129">
        <f>41808+(7*364+7)</f>
        <v>44363</v>
      </c>
      <c r="F540" s="15">
        <v>340.95</v>
      </c>
      <c r="G540" s="130">
        <v>10</v>
      </c>
      <c r="H540" s="123">
        <f t="shared" si="9"/>
        <v>3409.5</v>
      </c>
      <c r="I540" s="16"/>
      <c r="J540" s="16"/>
      <c r="K540"/>
      <c r="L540"/>
      <c r="M540" s="16"/>
      <c r="N540" s="16"/>
      <c r="O540"/>
      <c r="P540"/>
      <c r="Q540"/>
      <c r="R540"/>
      <c r="S540"/>
      <c r="T540"/>
      <c r="U540"/>
      <c r="V540"/>
      <c r="W540" s="17"/>
    </row>
    <row r="541" spans="1:23">
      <c r="A541" s="125" t="s">
        <v>17</v>
      </c>
      <c r="B541" s="14" t="s">
        <v>0</v>
      </c>
      <c r="C541" s="127" t="s">
        <v>18</v>
      </c>
      <c r="D541" s="14" t="s">
        <v>21</v>
      </c>
      <c r="E541" s="129">
        <f>42144+(7*364+7)</f>
        <v>44699</v>
      </c>
      <c r="F541" s="15">
        <v>168.95</v>
      </c>
      <c r="G541" s="130">
        <v>13</v>
      </c>
      <c r="H541" s="123">
        <f t="shared" si="9"/>
        <v>2196.35</v>
      </c>
      <c r="I541" s="16"/>
      <c r="J541" s="16"/>
      <c r="K541"/>
      <c r="L541"/>
      <c r="M541" s="16"/>
      <c r="N541" s="16"/>
      <c r="O541"/>
      <c r="P541"/>
      <c r="Q541"/>
      <c r="R541"/>
      <c r="S541"/>
      <c r="T541"/>
      <c r="U541"/>
      <c r="V541"/>
      <c r="W541" s="17"/>
    </row>
    <row r="542" spans="1:23">
      <c r="A542" s="125" t="s">
        <v>35</v>
      </c>
      <c r="B542" s="14" t="s">
        <v>1</v>
      </c>
      <c r="C542" s="127" t="s">
        <v>29</v>
      </c>
      <c r="D542" s="14" t="s">
        <v>21</v>
      </c>
      <c r="E542" s="129">
        <f>42029+(7*364+7)</f>
        <v>44584</v>
      </c>
      <c r="F542" s="15">
        <v>79.989999999999995</v>
      </c>
      <c r="G542" s="130">
        <v>10</v>
      </c>
      <c r="H542" s="123">
        <f t="shared" si="9"/>
        <v>799.9</v>
      </c>
      <c r="I542" s="16"/>
      <c r="J542" s="16"/>
      <c r="K542"/>
      <c r="L542"/>
      <c r="M542" s="16"/>
      <c r="N542" s="16"/>
      <c r="O542"/>
      <c r="P542"/>
      <c r="Q542"/>
      <c r="R542"/>
      <c r="S542"/>
      <c r="T542"/>
      <c r="U542"/>
      <c r="V542"/>
      <c r="W542" s="17"/>
    </row>
    <row r="543" spans="1:23">
      <c r="A543" s="125" t="s">
        <v>7</v>
      </c>
      <c r="B543" s="14" t="s">
        <v>0</v>
      </c>
      <c r="C543" s="127" t="s">
        <v>27</v>
      </c>
      <c r="D543" s="14" t="s">
        <v>20</v>
      </c>
      <c r="E543" s="129">
        <f>42018+(7*364+7)</f>
        <v>44573</v>
      </c>
      <c r="F543" s="15">
        <v>168.95</v>
      </c>
      <c r="G543" s="130">
        <v>15</v>
      </c>
      <c r="H543" s="123">
        <f t="shared" si="9"/>
        <v>2534.25</v>
      </c>
      <c r="I543" s="16"/>
      <c r="J543" s="16"/>
      <c r="K543"/>
      <c r="L543"/>
      <c r="M543" s="16"/>
      <c r="N543" s="16"/>
      <c r="O543"/>
      <c r="P543"/>
      <c r="Q543"/>
      <c r="R543"/>
      <c r="S543"/>
      <c r="T543"/>
      <c r="U543"/>
      <c r="V543"/>
      <c r="W543" s="17"/>
    </row>
    <row r="544" spans="1:23">
      <c r="A544" s="125" t="s">
        <v>16</v>
      </c>
      <c r="B544" s="14" t="s">
        <v>3</v>
      </c>
      <c r="C544" s="127" t="s">
        <v>29</v>
      </c>
      <c r="D544" s="14" t="s">
        <v>22</v>
      </c>
      <c r="E544" s="129">
        <f>41825+(7*364+7)</f>
        <v>44380</v>
      </c>
      <c r="F544" s="15">
        <v>799.95</v>
      </c>
      <c r="G544" s="130">
        <v>2</v>
      </c>
      <c r="H544" s="123">
        <f t="shared" si="9"/>
        <v>1599.9</v>
      </c>
      <c r="I544" s="16"/>
      <c r="J544" s="16"/>
      <c r="K544"/>
      <c r="L544"/>
      <c r="M544" s="16"/>
      <c r="N544" s="16"/>
      <c r="O544"/>
      <c r="P544"/>
      <c r="Q544"/>
      <c r="R544"/>
      <c r="S544"/>
      <c r="T544"/>
      <c r="U544"/>
      <c r="V544"/>
      <c r="W544" s="17"/>
    </row>
    <row r="545" spans="1:23">
      <c r="A545" s="125" t="s">
        <v>26</v>
      </c>
      <c r="B545" s="14" t="s">
        <v>3</v>
      </c>
      <c r="C545" s="127" t="s">
        <v>27</v>
      </c>
      <c r="D545" s="14" t="s">
        <v>23</v>
      </c>
      <c r="E545" s="129">
        <f>41650+(7*364+7)</f>
        <v>44205</v>
      </c>
      <c r="F545" s="15">
        <v>799.95</v>
      </c>
      <c r="G545" s="130">
        <v>2</v>
      </c>
      <c r="H545" s="123">
        <f t="shared" si="9"/>
        <v>1599.9</v>
      </c>
      <c r="I545" s="16"/>
      <c r="J545" s="16"/>
      <c r="K545"/>
      <c r="L545"/>
      <c r="M545" s="16"/>
      <c r="N545" s="16"/>
      <c r="O545"/>
      <c r="P545"/>
      <c r="Q545"/>
      <c r="R545"/>
      <c r="S545"/>
      <c r="T545"/>
      <c r="U545"/>
      <c r="V545"/>
      <c r="W545" s="17"/>
    </row>
    <row r="546" spans="1:23">
      <c r="A546" s="125" t="s">
        <v>25</v>
      </c>
      <c r="B546" s="14" t="s">
        <v>3</v>
      </c>
      <c r="C546" s="127" t="s">
        <v>32</v>
      </c>
      <c r="D546" s="14" t="s">
        <v>23</v>
      </c>
      <c r="E546" s="129">
        <f>41901+(7*364+7)</f>
        <v>44456</v>
      </c>
      <c r="F546" s="15">
        <v>799.95</v>
      </c>
      <c r="G546" s="130">
        <v>13</v>
      </c>
      <c r="H546" s="123">
        <f t="shared" si="9"/>
        <v>10399.35</v>
      </c>
      <c r="I546" s="16"/>
      <c r="J546" s="16"/>
      <c r="K546"/>
      <c r="L546"/>
      <c r="M546" s="16"/>
      <c r="N546" s="16"/>
      <c r="O546"/>
      <c r="P546"/>
      <c r="Q546"/>
      <c r="R546"/>
      <c r="S546"/>
      <c r="T546"/>
      <c r="U546"/>
      <c r="V546"/>
      <c r="W546" s="17"/>
    </row>
    <row r="547" spans="1:23">
      <c r="A547" s="125" t="s">
        <v>16</v>
      </c>
      <c r="B547" s="14" t="s">
        <v>0</v>
      </c>
      <c r="C547" s="127" t="s">
        <v>29</v>
      </c>
      <c r="D547" s="14" t="s">
        <v>20</v>
      </c>
      <c r="E547" s="129">
        <f>41969+(7*364+7)</f>
        <v>44524</v>
      </c>
      <c r="F547" s="15">
        <v>168.95</v>
      </c>
      <c r="G547" s="130">
        <v>2</v>
      </c>
      <c r="H547" s="123">
        <f t="shared" si="9"/>
        <v>337.9</v>
      </c>
      <c r="I547" s="16"/>
      <c r="J547" s="16"/>
      <c r="K547"/>
      <c r="L547"/>
      <c r="M547" s="16"/>
      <c r="N547" s="16"/>
      <c r="O547"/>
      <c r="P547"/>
      <c r="Q547"/>
      <c r="R547"/>
      <c r="S547"/>
      <c r="T547"/>
      <c r="U547"/>
      <c r="V547"/>
      <c r="W547" s="17"/>
    </row>
    <row r="548" spans="1:23">
      <c r="A548" s="125" t="s">
        <v>26</v>
      </c>
      <c r="B548" s="14" t="s">
        <v>0</v>
      </c>
      <c r="C548" s="127" t="s">
        <v>27</v>
      </c>
      <c r="D548" s="14" t="s">
        <v>21</v>
      </c>
      <c r="E548" s="129">
        <f>42326+(7*364+7)</f>
        <v>44881</v>
      </c>
      <c r="F548" s="15">
        <v>168.95</v>
      </c>
      <c r="G548" s="130">
        <v>8</v>
      </c>
      <c r="H548" s="123">
        <f t="shared" si="9"/>
        <v>1351.6</v>
      </c>
      <c r="I548" s="16"/>
      <c r="J548" s="16"/>
      <c r="K548"/>
      <c r="L548"/>
      <c r="M548" s="16"/>
      <c r="N548" s="16"/>
      <c r="O548"/>
      <c r="P548"/>
      <c r="Q548"/>
      <c r="R548"/>
      <c r="S548"/>
      <c r="T548"/>
      <c r="U548"/>
      <c r="V548"/>
      <c r="W548" s="17"/>
    </row>
    <row r="549" spans="1:23">
      <c r="A549" s="125" t="s">
        <v>34</v>
      </c>
      <c r="B549" s="14" t="s">
        <v>4</v>
      </c>
      <c r="C549" s="127" t="s">
        <v>32</v>
      </c>
      <c r="D549" s="14" t="s">
        <v>20</v>
      </c>
      <c r="E549" s="129">
        <f>42000+(7*364+7)</f>
        <v>44555</v>
      </c>
      <c r="F549" s="15">
        <v>340.95</v>
      </c>
      <c r="G549" s="130">
        <v>3</v>
      </c>
      <c r="H549" s="123">
        <f t="shared" si="9"/>
        <v>1022.8499999999999</v>
      </c>
      <c r="I549" s="16"/>
      <c r="J549" s="16"/>
      <c r="K549"/>
      <c r="L549"/>
      <c r="M549" s="16"/>
      <c r="N549" s="16"/>
      <c r="O549"/>
      <c r="P549"/>
      <c r="Q549"/>
      <c r="R549"/>
      <c r="S549"/>
      <c r="T549"/>
      <c r="U549"/>
      <c r="V549"/>
      <c r="W549" s="17"/>
    </row>
    <row r="550" spans="1:23">
      <c r="A550" s="125" t="s">
        <v>30</v>
      </c>
      <c r="B550" s="14" t="s">
        <v>2</v>
      </c>
      <c r="C550" s="127" t="s">
        <v>18</v>
      </c>
      <c r="D550" s="14" t="s">
        <v>21</v>
      </c>
      <c r="E550" s="129">
        <f>42021+(7*364+7)</f>
        <v>44576</v>
      </c>
      <c r="F550" s="15">
        <v>340.95</v>
      </c>
      <c r="G550" s="130">
        <v>2</v>
      </c>
      <c r="H550" s="123">
        <f t="shared" si="9"/>
        <v>681.9</v>
      </c>
      <c r="I550" s="16"/>
      <c r="J550" s="16"/>
      <c r="K550"/>
      <c r="L550"/>
      <c r="M550" s="16"/>
      <c r="N550" s="16"/>
      <c r="O550"/>
      <c r="P550"/>
      <c r="Q550"/>
      <c r="R550"/>
      <c r="S550"/>
      <c r="T550"/>
      <c r="U550"/>
      <c r="V550"/>
      <c r="W550" s="17"/>
    </row>
    <row r="551" spans="1:23">
      <c r="A551" s="125" t="s">
        <v>33</v>
      </c>
      <c r="B551" s="14" t="s">
        <v>4</v>
      </c>
      <c r="C551" s="127" t="s">
        <v>18</v>
      </c>
      <c r="D551" s="14" t="s">
        <v>23</v>
      </c>
      <c r="E551" s="129">
        <f>41749+(7*364+7)</f>
        <v>44304</v>
      </c>
      <c r="F551" s="15">
        <v>340.95</v>
      </c>
      <c r="G551" s="130">
        <v>5</v>
      </c>
      <c r="H551" s="123">
        <f t="shared" si="9"/>
        <v>1704.75</v>
      </c>
      <c r="I551" s="16"/>
      <c r="J551" s="16"/>
      <c r="K551"/>
      <c r="L551"/>
      <c r="M551" s="16"/>
      <c r="N551" s="16"/>
      <c r="O551"/>
      <c r="P551"/>
      <c r="Q551"/>
      <c r="R551"/>
      <c r="S551"/>
      <c r="T551"/>
      <c r="U551"/>
      <c r="V551"/>
      <c r="W551" s="17"/>
    </row>
    <row r="552" spans="1:23">
      <c r="A552" s="125" t="s">
        <v>33</v>
      </c>
      <c r="B552" s="14" t="s">
        <v>1</v>
      </c>
      <c r="C552" s="127" t="s">
        <v>18</v>
      </c>
      <c r="D552" s="14" t="s">
        <v>20</v>
      </c>
      <c r="E552" s="129">
        <f>41836+(7*364+7)</f>
        <v>44391</v>
      </c>
      <c r="F552" s="15">
        <v>79.989999999999995</v>
      </c>
      <c r="G552" s="130">
        <v>2</v>
      </c>
      <c r="H552" s="123">
        <f t="shared" si="9"/>
        <v>159.97999999999999</v>
      </c>
      <c r="I552" s="16"/>
      <c r="J552" s="16"/>
      <c r="K552"/>
      <c r="L552"/>
      <c r="M552" s="16"/>
      <c r="N552" s="16"/>
      <c r="O552"/>
      <c r="P552"/>
      <c r="Q552"/>
      <c r="R552"/>
      <c r="S552"/>
      <c r="T552"/>
      <c r="U552"/>
      <c r="V552"/>
      <c r="W552" s="17"/>
    </row>
    <row r="553" spans="1:23">
      <c r="A553" s="125" t="s">
        <v>26</v>
      </c>
      <c r="B553" s="14" t="s">
        <v>3</v>
      </c>
      <c r="C553" s="127" t="s">
        <v>27</v>
      </c>
      <c r="D553" s="14" t="s">
        <v>19</v>
      </c>
      <c r="E553" s="129">
        <f>42335+(7*364+7)</f>
        <v>44890</v>
      </c>
      <c r="F553" s="15">
        <v>799.95</v>
      </c>
      <c r="G553" s="130">
        <v>18</v>
      </c>
      <c r="H553" s="123">
        <f t="shared" si="9"/>
        <v>14399.1</v>
      </c>
      <c r="I553" s="16"/>
      <c r="J553" s="16"/>
      <c r="K553"/>
      <c r="L553"/>
      <c r="M553" s="16"/>
      <c r="N553" s="16"/>
      <c r="O553"/>
      <c r="P553"/>
      <c r="Q553"/>
      <c r="R553"/>
      <c r="S553"/>
      <c r="T553"/>
      <c r="U553"/>
      <c r="V553"/>
      <c r="W553" s="17"/>
    </row>
    <row r="554" spans="1:23">
      <c r="A554" s="125" t="s">
        <v>16</v>
      </c>
      <c r="B554" s="14" t="s">
        <v>3</v>
      </c>
      <c r="C554" s="127" t="s">
        <v>29</v>
      </c>
      <c r="D554" s="14" t="s">
        <v>19</v>
      </c>
      <c r="E554" s="129">
        <f>42020+(7*364+7)</f>
        <v>44575</v>
      </c>
      <c r="F554" s="15">
        <v>799.95</v>
      </c>
      <c r="G554" s="130">
        <v>6</v>
      </c>
      <c r="H554" s="123">
        <f t="shared" si="9"/>
        <v>4799.7000000000007</v>
      </c>
      <c r="I554" s="16"/>
      <c r="J554" s="16"/>
      <c r="K554"/>
      <c r="L554"/>
      <c r="M554" s="16"/>
      <c r="N554" s="16"/>
      <c r="O554"/>
      <c r="P554"/>
      <c r="Q554"/>
      <c r="R554"/>
      <c r="S554"/>
      <c r="T554"/>
      <c r="U554"/>
      <c r="V554"/>
      <c r="W554" s="17"/>
    </row>
    <row r="555" spans="1:23">
      <c r="A555" s="125" t="s">
        <v>25</v>
      </c>
      <c r="B555" s="14" t="s">
        <v>2</v>
      </c>
      <c r="C555" s="127" t="s">
        <v>32</v>
      </c>
      <c r="D555" s="14" t="s">
        <v>19</v>
      </c>
      <c r="E555" s="129">
        <f>41676+(7*364+7)</f>
        <v>44231</v>
      </c>
      <c r="F555" s="15">
        <v>340.95</v>
      </c>
      <c r="G555" s="130">
        <v>11</v>
      </c>
      <c r="H555" s="123">
        <f t="shared" si="9"/>
        <v>3750.45</v>
      </c>
      <c r="I555" s="16"/>
      <c r="J555" s="16"/>
      <c r="K555"/>
      <c r="L555"/>
      <c r="M555" s="16"/>
      <c r="N555" s="16"/>
      <c r="O555"/>
      <c r="P555"/>
      <c r="Q555"/>
      <c r="R555"/>
      <c r="S555"/>
      <c r="T555"/>
      <c r="U555"/>
      <c r="V555"/>
      <c r="W555" s="17"/>
    </row>
    <row r="556" spans="1:23">
      <c r="A556" s="125" t="s">
        <v>33</v>
      </c>
      <c r="B556" s="14" t="s">
        <v>4</v>
      </c>
      <c r="C556" s="127" t="s">
        <v>18</v>
      </c>
      <c r="D556" s="14" t="s">
        <v>21</v>
      </c>
      <c r="E556" s="129">
        <f>41934+(7*364+7)</f>
        <v>44489</v>
      </c>
      <c r="F556" s="15">
        <v>340.95</v>
      </c>
      <c r="G556" s="130">
        <v>2</v>
      </c>
      <c r="H556" s="123">
        <f t="shared" si="9"/>
        <v>681.9</v>
      </c>
      <c r="I556" s="16"/>
      <c r="J556" s="16"/>
      <c r="K556"/>
      <c r="L556"/>
      <c r="M556" s="16"/>
      <c r="N556" s="16"/>
      <c r="O556"/>
      <c r="P556"/>
      <c r="Q556"/>
      <c r="R556"/>
      <c r="S556"/>
      <c r="T556"/>
      <c r="U556"/>
      <c r="V556"/>
      <c r="W556" s="17"/>
    </row>
    <row r="557" spans="1:23">
      <c r="A557" s="125" t="s">
        <v>28</v>
      </c>
      <c r="B557" s="14" t="s">
        <v>2</v>
      </c>
      <c r="C557" s="127" t="s">
        <v>32</v>
      </c>
      <c r="D557" s="14" t="s">
        <v>19</v>
      </c>
      <c r="E557" s="129">
        <f>42090+(7*364+7)</f>
        <v>44645</v>
      </c>
      <c r="F557" s="15">
        <v>340.95</v>
      </c>
      <c r="G557" s="130">
        <v>18</v>
      </c>
      <c r="H557" s="123">
        <f t="shared" si="9"/>
        <v>6137.0999999999995</v>
      </c>
      <c r="I557" s="16"/>
      <c r="J557" s="16"/>
      <c r="K557"/>
      <c r="L557"/>
      <c r="M557" s="16"/>
      <c r="N557" s="16"/>
      <c r="O557"/>
      <c r="P557"/>
      <c r="Q557"/>
      <c r="R557"/>
      <c r="S557"/>
      <c r="T557"/>
      <c r="U557"/>
      <c r="V557"/>
      <c r="W557" s="17"/>
    </row>
    <row r="558" spans="1:23">
      <c r="A558" s="125" t="s">
        <v>34</v>
      </c>
      <c r="B558" s="14" t="s">
        <v>1</v>
      </c>
      <c r="C558" s="127" t="s">
        <v>32</v>
      </c>
      <c r="D558" s="14" t="s">
        <v>20</v>
      </c>
      <c r="E558" s="129">
        <f>41926+(7*364+7)</f>
        <v>44481</v>
      </c>
      <c r="F558" s="15">
        <v>79.989999999999995</v>
      </c>
      <c r="G558" s="130">
        <v>1</v>
      </c>
      <c r="H558" s="123">
        <f t="shared" si="9"/>
        <v>79.989999999999995</v>
      </c>
      <c r="I558" s="16"/>
      <c r="J558" s="16"/>
      <c r="K558"/>
      <c r="L558"/>
      <c r="M558" s="16"/>
      <c r="N558" s="16"/>
      <c r="O558"/>
      <c r="P558"/>
      <c r="Q558"/>
      <c r="R558"/>
      <c r="S558"/>
      <c r="T558"/>
      <c r="U558"/>
      <c r="V558"/>
      <c r="W558" s="17"/>
    </row>
    <row r="559" spans="1:23">
      <c r="A559" s="125" t="s">
        <v>35</v>
      </c>
      <c r="B559" s="14" t="s">
        <v>1</v>
      </c>
      <c r="C559" s="127" t="s">
        <v>29</v>
      </c>
      <c r="D559" s="14" t="s">
        <v>23</v>
      </c>
      <c r="E559" s="129">
        <f>42041+(7*364+7)</f>
        <v>44596</v>
      </c>
      <c r="F559" s="15">
        <v>79.989999999999995</v>
      </c>
      <c r="G559" s="130">
        <v>3</v>
      </c>
      <c r="H559" s="123">
        <f t="shared" si="9"/>
        <v>239.96999999999997</v>
      </c>
      <c r="I559" s="16"/>
      <c r="J559" s="16"/>
      <c r="K559"/>
      <c r="L559"/>
      <c r="M559" s="16"/>
      <c r="N559" s="16"/>
      <c r="O559"/>
      <c r="P559"/>
      <c r="Q559"/>
      <c r="R559"/>
      <c r="S559"/>
      <c r="T559"/>
      <c r="U559"/>
      <c r="V559"/>
      <c r="W559" s="17"/>
    </row>
    <row r="560" spans="1:23">
      <c r="A560" s="125" t="s">
        <v>30</v>
      </c>
      <c r="B560" s="14" t="s">
        <v>1</v>
      </c>
      <c r="C560" s="127" t="s">
        <v>18</v>
      </c>
      <c r="D560" s="14" t="s">
        <v>23</v>
      </c>
      <c r="E560" s="129">
        <f>41794+(7*364+7)</f>
        <v>44349</v>
      </c>
      <c r="F560" s="15">
        <v>79.989999999999995</v>
      </c>
      <c r="G560" s="130">
        <v>12</v>
      </c>
      <c r="H560" s="123">
        <f t="shared" si="9"/>
        <v>959.87999999999988</v>
      </c>
      <c r="I560" s="16"/>
      <c r="J560" s="16"/>
      <c r="K560"/>
      <c r="L560"/>
      <c r="M560" s="16"/>
      <c r="N560" s="16"/>
      <c r="O560"/>
      <c r="P560"/>
      <c r="Q560"/>
      <c r="R560"/>
      <c r="S560"/>
      <c r="T560"/>
      <c r="U560"/>
      <c r="V560"/>
      <c r="W560" s="17"/>
    </row>
    <row r="561" spans="1:23">
      <c r="A561" s="125" t="s">
        <v>33</v>
      </c>
      <c r="B561" s="14" t="s">
        <v>4</v>
      </c>
      <c r="C561" s="127" t="s">
        <v>18</v>
      </c>
      <c r="D561" s="14" t="s">
        <v>20</v>
      </c>
      <c r="E561" s="129">
        <f>42232+(7*364+7)</f>
        <v>44787</v>
      </c>
      <c r="F561" s="15">
        <v>340.95</v>
      </c>
      <c r="G561" s="130">
        <v>9</v>
      </c>
      <c r="H561" s="123">
        <f t="shared" si="9"/>
        <v>3068.5499999999997</v>
      </c>
      <c r="I561" s="16"/>
      <c r="J561" s="16"/>
      <c r="K561"/>
      <c r="L561"/>
      <c r="M561" s="16"/>
      <c r="N561" s="16"/>
      <c r="O561"/>
      <c r="P561"/>
      <c r="Q561"/>
      <c r="R561"/>
      <c r="S561"/>
      <c r="T561"/>
      <c r="U561"/>
      <c r="V561"/>
      <c r="W561" s="17"/>
    </row>
    <row r="562" spans="1:23">
      <c r="A562" s="125" t="s">
        <v>30</v>
      </c>
      <c r="B562" s="14" t="s">
        <v>1</v>
      </c>
      <c r="C562" s="127" t="s">
        <v>18</v>
      </c>
      <c r="D562" s="14" t="s">
        <v>22</v>
      </c>
      <c r="E562" s="129">
        <f>41748+(7*364+7)</f>
        <v>44303</v>
      </c>
      <c r="F562" s="15">
        <v>79.989999999999995</v>
      </c>
      <c r="G562" s="130">
        <v>8</v>
      </c>
      <c r="H562" s="123">
        <f t="shared" si="9"/>
        <v>639.91999999999996</v>
      </c>
      <c r="I562" s="16"/>
      <c r="J562" s="16"/>
      <c r="K562"/>
      <c r="L562"/>
      <c r="M562" s="16"/>
      <c r="N562" s="16"/>
      <c r="O562"/>
      <c r="P562"/>
      <c r="Q562"/>
      <c r="R562"/>
      <c r="S562"/>
      <c r="T562"/>
      <c r="U562"/>
      <c r="V562"/>
      <c r="W562" s="17"/>
    </row>
    <row r="563" spans="1:23">
      <c r="A563" s="125" t="s">
        <v>7</v>
      </c>
      <c r="B563" s="14" t="s">
        <v>1</v>
      </c>
      <c r="C563" s="127" t="s">
        <v>27</v>
      </c>
      <c r="D563" s="14" t="s">
        <v>20</v>
      </c>
      <c r="E563" s="129">
        <f>42225+(7*364+7)</f>
        <v>44780</v>
      </c>
      <c r="F563" s="15">
        <v>79.989999999999995</v>
      </c>
      <c r="G563" s="130">
        <v>8</v>
      </c>
      <c r="H563" s="123">
        <f t="shared" si="9"/>
        <v>639.91999999999996</v>
      </c>
      <c r="I563" s="16"/>
      <c r="J563" s="16"/>
      <c r="K563"/>
      <c r="L563"/>
      <c r="M563" s="16"/>
      <c r="N563" s="16"/>
      <c r="O563"/>
      <c r="P563"/>
      <c r="Q563"/>
      <c r="R563"/>
      <c r="S563"/>
      <c r="T563"/>
      <c r="U563"/>
      <c r="V563"/>
      <c r="W563" s="17"/>
    </row>
    <row r="564" spans="1:23">
      <c r="A564" s="125" t="s">
        <v>31</v>
      </c>
      <c r="B564" s="14" t="s">
        <v>1</v>
      </c>
      <c r="C564" s="127" t="s">
        <v>32</v>
      </c>
      <c r="D564" s="14" t="s">
        <v>19</v>
      </c>
      <c r="E564" s="129">
        <f>42022+(7*364+7)</f>
        <v>44577</v>
      </c>
      <c r="F564" s="15">
        <v>79.989999999999995</v>
      </c>
      <c r="G564" s="130">
        <v>8</v>
      </c>
      <c r="H564" s="123">
        <f t="shared" si="9"/>
        <v>639.91999999999996</v>
      </c>
      <c r="I564" s="16"/>
      <c r="J564" s="16"/>
      <c r="K564"/>
      <c r="L564"/>
      <c r="M564" s="16"/>
      <c r="N564" s="16"/>
      <c r="O564"/>
      <c r="P564"/>
      <c r="Q564"/>
      <c r="R564"/>
      <c r="S564"/>
      <c r="T564"/>
      <c r="U564"/>
      <c r="V564"/>
      <c r="W564" s="17"/>
    </row>
    <row r="565" spans="1:23">
      <c r="A565" s="125" t="s">
        <v>33</v>
      </c>
      <c r="B565" s="14" t="s">
        <v>1</v>
      </c>
      <c r="C565" s="127" t="s">
        <v>18</v>
      </c>
      <c r="D565" s="14" t="s">
        <v>19</v>
      </c>
      <c r="E565" s="129">
        <f>42116+(7*364+7)</f>
        <v>44671</v>
      </c>
      <c r="F565" s="15">
        <v>79.989999999999995</v>
      </c>
      <c r="G565" s="130">
        <v>7</v>
      </c>
      <c r="H565" s="123">
        <f t="shared" si="9"/>
        <v>559.92999999999995</v>
      </c>
      <c r="I565" s="16"/>
      <c r="J565" s="16"/>
      <c r="K565"/>
      <c r="L565"/>
      <c r="M565" s="16"/>
      <c r="N565" s="16"/>
      <c r="O565"/>
      <c r="P565"/>
      <c r="Q565"/>
      <c r="R565"/>
      <c r="S565"/>
      <c r="T565"/>
      <c r="U565"/>
      <c r="V565"/>
      <c r="W565" s="17"/>
    </row>
    <row r="566" spans="1:23">
      <c r="A566" s="125" t="s">
        <v>26</v>
      </c>
      <c r="B566" s="14" t="s">
        <v>4</v>
      </c>
      <c r="C566" s="127" t="s">
        <v>27</v>
      </c>
      <c r="D566" s="14" t="s">
        <v>23</v>
      </c>
      <c r="E566" s="129">
        <f>41877+(7*364+7)</f>
        <v>44432</v>
      </c>
      <c r="F566" s="15">
        <v>340.95</v>
      </c>
      <c r="G566" s="130">
        <v>5</v>
      </c>
      <c r="H566" s="123">
        <f t="shared" si="9"/>
        <v>1704.75</v>
      </c>
      <c r="I566" s="16"/>
      <c r="J566" s="16"/>
      <c r="K566"/>
      <c r="L566"/>
      <c r="M566" s="16"/>
      <c r="N566" s="16"/>
      <c r="O566"/>
      <c r="P566"/>
      <c r="Q566"/>
      <c r="R566"/>
      <c r="S566"/>
      <c r="T566"/>
      <c r="U566"/>
      <c r="V566"/>
      <c r="W566" s="17"/>
    </row>
    <row r="567" spans="1:23">
      <c r="A567" s="125" t="s">
        <v>31</v>
      </c>
      <c r="B567" s="14" t="s">
        <v>0</v>
      </c>
      <c r="C567" s="127" t="s">
        <v>32</v>
      </c>
      <c r="D567" s="14" t="s">
        <v>22</v>
      </c>
      <c r="E567" s="129">
        <f>42145+(7*364+7)</f>
        <v>44700</v>
      </c>
      <c r="F567" s="15">
        <v>168.95</v>
      </c>
      <c r="G567" s="130">
        <v>6</v>
      </c>
      <c r="H567" s="123">
        <f t="shared" si="9"/>
        <v>1013.6999999999999</v>
      </c>
      <c r="I567" s="16"/>
      <c r="J567" s="16"/>
      <c r="K567"/>
      <c r="L567"/>
      <c r="M567" s="16"/>
      <c r="N567" s="16"/>
      <c r="O567"/>
      <c r="P567"/>
      <c r="Q567"/>
      <c r="R567"/>
      <c r="S567"/>
      <c r="T567"/>
      <c r="U567"/>
      <c r="V567"/>
      <c r="W567" s="17"/>
    </row>
    <row r="568" spans="1:23">
      <c r="A568" s="125" t="s">
        <v>34</v>
      </c>
      <c r="B568" s="14" t="s">
        <v>3</v>
      </c>
      <c r="C568" s="127" t="s">
        <v>32</v>
      </c>
      <c r="D568" s="14" t="s">
        <v>21</v>
      </c>
      <c r="E568" s="129">
        <f>41906+(7*364+7)</f>
        <v>44461</v>
      </c>
      <c r="F568" s="15">
        <v>799.95</v>
      </c>
      <c r="G568" s="130">
        <v>4</v>
      </c>
      <c r="H568" s="123">
        <f t="shared" si="9"/>
        <v>3199.8</v>
      </c>
      <c r="I568" s="16"/>
      <c r="J568" s="16"/>
      <c r="K568"/>
      <c r="L568"/>
      <c r="M568" s="16"/>
      <c r="N568" s="16"/>
      <c r="O568"/>
      <c r="P568"/>
      <c r="Q568"/>
      <c r="R568"/>
      <c r="S568"/>
      <c r="T568"/>
      <c r="U568"/>
      <c r="V568"/>
      <c r="W568" s="17"/>
    </row>
    <row r="569" spans="1:23">
      <c r="A569" s="125" t="s">
        <v>33</v>
      </c>
      <c r="B569" s="14" t="s">
        <v>0</v>
      </c>
      <c r="C569" s="127" t="s">
        <v>18</v>
      </c>
      <c r="D569" s="14" t="s">
        <v>19</v>
      </c>
      <c r="E569" s="129">
        <f>42014+(7*364+7)</f>
        <v>44569</v>
      </c>
      <c r="F569" s="15">
        <v>168.95</v>
      </c>
      <c r="G569" s="130">
        <v>16</v>
      </c>
      <c r="H569" s="123">
        <f t="shared" si="9"/>
        <v>2703.2</v>
      </c>
      <c r="I569" s="16"/>
      <c r="J569" s="16"/>
      <c r="K569"/>
      <c r="L569"/>
      <c r="M569" s="16"/>
      <c r="N569" s="16"/>
      <c r="O569"/>
      <c r="P569"/>
      <c r="Q569"/>
      <c r="R569"/>
      <c r="S569"/>
      <c r="T569"/>
      <c r="U569"/>
      <c r="V569"/>
      <c r="W569" s="17"/>
    </row>
    <row r="570" spans="1:23">
      <c r="A570" s="125" t="s">
        <v>7</v>
      </c>
      <c r="B570" s="14" t="s">
        <v>0</v>
      </c>
      <c r="C570" s="127" t="s">
        <v>27</v>
      </c>
      <c r="D570" s="14" t="s">
        <v>19</v>
      </c>
      <c r="E570" s="129">
        <f>42018+(7*364+7)</f>
        <v>44573</v>
      </c>
      <c r="F570" s="15">
        <v>168.95</v>
      </c>
      <c r="G570" s="130">
        <v>13</v>
      </c>
      <c r="H570" s="123">
        <f t="shared" si="9"/>
        <v>2196.35</v>
      </c>
      <c r="I570" s="16"/>
      <c r="J570" s="16"/>
      <c r="K570"/>
      <c r="L570"/>
      <c r="M570" s="16"/>
      <c r="N570" s="16"/>
      <c r="O570"/>
      <c r="P570"/>
      <c r="Q570"/>
      <c r="R570"/>
      <c r="S570"/>
      <c r="T570"/>
      <c r="U570"/>
      <c r="V570"/>
      <c r="W570" s="17"/>
    </row>
    <row r="571" spans="1:23">
      <c r="A571" s="125" t="s">
        <v>35</v>
      </c>
      <c r="B571" s="14" t="s">
        <v>4</v>
      </c>
      <c r="C571" s="127" t="s">
        <v>29</v>
      </c>
      <c r="D571" s="14" t="s">
        <v>20</v>
      </c>
      <c r="E571" s="129">
        <f>42097+(7*364+7)</f>
        <v>44652</v>
      </c>
      <c r="F571" s="15">
        <v>340.95</v>
      </c>
      <c r="G571" s="130">
        <v>6</v>
      </c>
      <c r="H571" s="123">
        <f t="shared" si="9"/>
        <v>2045.6999999999998</v>
      </c>
      <c r="I571" s="16"/>
      <c r="J571" s="16"/>
      <c r="K571"/>
      <c r="L571"/>
      <c r="M571" s="16"/>
      <c r="N571" s="16"/>
      <c r="O571"/>
      <c r="P571"/>
      <c r="Q571"/>
      <c r="R571"/>
      <c r="S571"/>
      <c r="T571"/>
      <c r="U571"/>
      <c r="V571"/>
      <c r="W571" s="17"/>
    </row>
    <row r="572" spans="1:23">
      <c r="A572" s="125" t="s">
        <v>31</v>
      </c>
      <c r="B572" s="14" t="s">
        <v>2</v>
      </c>
      <c r="C572" s="127" t="s">
        <v>32</v>
      </c>
      <c r="D572" s="14" t="s">
        <v>19</v>
      </c>
      <c r="E572" s="129">
        <f>42355+(7*364+7)</f>
        <v>44910</v>
      </c>
      <c r="F572" s="15">
        <v>340.95</v>
      </c>
      <c r="G572" s="130">
        <v>8</v>
      </c>
      <c r="H572" s="123">
        <f t="shared" si="9"/>
        <v>2727.6</v>
      </c>
      <c r="I572" s="16"/>
      <c r="J572" s="16"/>
      <c r="K572"/>
      <c r="L572"/>
      <c r="M572" s="16"/>
      <c r="N572" s="16"/>
      <c r="O572"/>
      <c r="P572"/>
      <c r="Q572"/>
      <c r="R572"/>
      <c r="S572"/>
      <c r="T572"/>
      <c r="U572"/>
      <c r="V572"/>
      <c r="W572" s="17"/>
    </row>
    <row r="573" spans="1:23">
      <c r="A573" s="125" t="s">
        <v>33</v>
      </c>
      <c r="B573" s="14" t="s">
        <v>3</v>
      </c>
      <c r="C573" s="127" t="s">
        <v>18</v>
      </c>
      <c r="D573" s="14" t="s">
        <v>20</v>
      </c>
      <c r="E573" s="129">
        <f>41943+(7*364+7)</f>
        <v>44498</v>
      </c>
      <c r="F573" s="15">
        <v>799.95</v>
      </c>
      <c r="G573" s="130">
        <v>4</v>
      </c>
      <c r="H573" s="123">
        <f t="shared" si="9"/>
        <v>3199.8</v>
      </c>
      <c r="I573" s="16"/>
      <c r="J573" s="16"/>
      <c r="K573"/>
      <c r="L573"/>
      <c r="M573" s="16"/>
      <c r="N573" s="16"/>
      <c r="O573"/>
      <c r="P573"/>
      <c r="Q573"/>
      <c r="R573"/>
      <c r="S573"/>
      <c r="T573"/>
      <c r="U573"/>
      <c r="V573"/>
      <c r="W573" s="17"/>
    </row>
    <row r="574" spans="1:23">
      <c r="A574" s="125" t="s">
        <v>30</v>
      </c>
      <c r="B574" s="14" t="s">
        <v>4</v>
      </c>
      <c r="C574" s="127" t="s">
        <v>18</v>
      </c>
      <c r="D574" s="14" t="s">
        <v>19</v>
      </c>
      <c r="E574" s="129">
        <f>41891+(7*364+7)</f>
        <v>44446</v>
      </c>
      <c r="F574" s="15">
        <v>340.95</v>
      </c>
      <c r="G574" s="130">
        <v>7</v>
      </c>
      <c r="H574" s="123">
        <f t="shared" si="9"/>
        <v>2386.65</v>
      </c>
      <c r="I574" s="16"/>
      <c r="J574" s="16"/>
      <c r="K574"/>
      <c r="L574"/>
      <c r="M574" s="16"/>
      <c r="N574" s="16"/>
      <c r="O574"/>
      <c r="P574"/>
      <c r="Q574"/>
      <c r="R574"/>
      <c r="S574"/>
      <c r="T574"/>
      <c r="U574"/>
      <c r="V574"/>
      <c r="W574" s="17"/>
    </row>
    <row r="575" spans="1:23">
      <c r="A575" s="125" t="s">
        <v>30</v>
      </c>
      <c r="B575" s="14" t="s">
        <v>2</v>
      </c>
      <c r="C575" s="127" t="s">
        <v>18</v>
      </c>
      <c r="D575" s="14" t="s">
        <v>21</v>
      </c>
      <c r="E575" s="129">
        <f>41886+(7*364+7)</f>
        <v>44441</v>
      </c>
      <c r="F575" s="15">
        <v>340.95</v>
      </c>
      <c r="G575" s="130">
        <v>9</v>
      </c>
      <c r="H575" s="123">
        <f t="shared" si="9"/>
        <v>3068.5499999999997</v>
      </c>
      <c r="I575" s="16"/>
      <c r="J575" s="16"/>
      <c r="K575"/>
      <c r="L575"/>
      <c r="M575" s="16"/>
      <c r="N575" s="16"/>
      <c r="O575"/>
      <c r="P575"/>
      <c r="Q575"/>
      <c r="R575"/>
      <c r="S575"/>
      <c r="T575"/>
      <c r="U575"/>
      <c r="V575"/>
      <c r="W575" s="17"/>
    </row>
    <row r="576" spans="1:23">
      <c r="A576" s="125" t="s">
        <v>30</v>
      </c>
      <c r="B576" s="14" t="s">
        <v>2</v>
      </c>
      <c r="C576" s="127" t="s">
        <v>18</v>
      </c>
      <c r="D576" s="14" t="s">
        <v>21</v>
      </c>
      <c r="E576" s="129">
        <f>41942+(7*364+7)</f>
        <v>44497</v>
      </c>
      <c r="F576" s="15">
        <v>340.95</v>
      </c>
      <c r="G576" s="130">
        <v>5</v>
      </c>
      <c r="H576" s="123">
        <f t="shared" si="9"/>
        <v>1704.75</v>
      </c>
      <c r="I576" s="16"/>
      <c r="J576" s="16"/>
      <c r="K576"/>
      <c r="L576"/>
      <c r="M576" s="16"/>
      <c r="N576" s="16"/>
      <c r="O576"/>
      <c r="P576"/>
      <c r="Q576"/>
      <c r="R576"/>
      <c r="S576"/>
      <c r="T576"/>
      <c r="U576"/>
      <c r="V576"/>
      <c r="W576" s="17"/>
    </row>
    <row r="577" spans="1:23">
      <c r="A577" s="125" t="s">
        <v>28</v>
      </c>
      <c r="B577" s="14" t="s">
        <v>1</v>
      </c>
      <c r="C577" s="127" t="s">
        <v>32</v>
      </c>
      <c r="D577" s="14" t="s">
        <v>19</v>
      </c>
      <c r="E577" s="129">
        <f>42280+(7*364+7)</f>
        <v>44835</v>
      </c>
      <c r="F577" s="15">
        <v>79.989999999999995</v>
      </c>
      <c r="G577" s="130">
        <v>19</v>
      </c>
      <c r="H577" s="123">
        <f t="shared" si="9"/>
        <v>1519.81</v>
      </c>
      <c r="I577" s="16"/>
      <c r="J577" s="16"/>
      <c r="K577"/>
      <c r="L577"/>
      <c r="M577" s="16"/>
      <c r="N577" s="16"/>
      <c r="O577"/>
      <c r="P577"/>
      <c r="Q577"/>
      <c r="R577"/>
      <c r="S577"/>
      <c r="T577"/>
      <c r="U577"/>
      <c r="V577"/>
      <c r="W577" s="17"/>
    </row>
    <row r="578" spans="1:23">
      <c r="A578" s="125" t="s">
        <v>25</v>
      </c>
      <c r="B578" s="14" t="s">
        <v>0</v>
      </c>
      <c r="C578" s="127" t="s">
        <v>32</v>
      </c>
      <c r="D578" s="14" t="s">
        <v>22</v>
      </c>
      <c r="E578" s="129">
        <f>42131+(7*364+7)</f>
        <v>44686</v>
      </c>
      <c r="F578" s="15">
        <v>168.95</v>
      </c>
      <c r="G578" s="130">
        <v>3</v>
      </c>
      <c r="H578" s="123">
        <f t="shared" si="9"/>
        <v>506.84999999999997</v>
      </c>
      <c r="I578" s="16"/>
      <c r="J578" s="16"/>
      <c r="K578"/>
      <c r="L578"/>
      <c r="M578" s="16"/>
      <c r="N578" s="16"/>
      <c r="O578"/>
      <c r="P578"/>
      <c r="Q578"/>
      <c r="R578"/>
      <c r="S578"/>
      <c r="T578"/>
      <c r="U578"/>
      <c r="V578"/>
      <c r="W578" s="17"/>
    </row>
    <row r="579" spans="1:23">
      <c r="A579" s="125" t="s">
        <v>26</v>
      </c>
      <c r="B579" s="14" t="s">
        <v>4</v>
      </c>
      <c r="C579" s="127" t="s">
        <v>27</v>
      </c>
      <c r="D579" s="14" t="s">
        <v>21</v>
      </c>
      <c r="E579" s="129">
        <f>41943+(7*364+7)</f>
        <v>44498</v>
      </c>
      <c r="F579" s="15">
        <v>340.95</v>
      </c>
      <c r="G579" s="130">
        <v>15</v>
      </c>
      <c r="H579" s="123">
        <f t="shared" ref="H579:H642" si="10">F579*G579</f>
        <v>5114.25</v>
      </c>
      <c r="I579" s="16"/>
      <c r="J579" s="16"/>
      <c r="K579"/>
      <c r="L579"/>
      <c r="M579" s="16"/>
      <c r="N579" s="16"/>
      <c r="O579"/>
      <c r="P579"/>
      <c r="Q579"/>
      <c r="R579"/>
      <c r="S579"/>
      <c r="T579"/>
      <c r="U579"/>
      <c r="V579"/>
      <c r="W579" s="17"/>
    </row>
    <row r="580" spans="1:23">
      <c r="A580" s="125" t="s">
        <v>28</v>
      </c>
      <c r="B580" s="14" t="s">
        <v>2</v>
      </c>
      <c r="C580" s="127" t="s">
        <v>32</v>
      </c>
      <c r="D580" s="14" t="s">
        <v>19</v>
      </c>
      <c r="E580" s="129">
        <f>41711+(7*364+7)</f>
        <v>44266</v>
      </c>
      <c r="F580" s="15">
        <v>340.95</v>
      </c>
      <c r="G580" s="130">
        <v>17</v>
      </c>
      <c r="H580" s="123">
        <f t="shared" si="10"/>
        <v>5796.15</v>
      </c>
      <c r="I580" s="16"/>
      <c r="J580" s="16"/>
      <c r="K580"/>
      <c r="L580"/>
      <c r="M580" s="16"/>
      <c r="N580" s="16"/>
      <c r="O580"/>
      <c r="P580"/>
      <c r="Q580"/>
      <c r="R580"/>
      <c r="S580"/>
      <c r="T580"/>
      <c r="U580"/>
      <c r="V580"/>
      <c r="W580" s="17"/>
    </row>
    <row r="581" spans="1:23">
      <c r="A581" s="125" t="s">
        <v>33</v>
      </c>
      <c r="B581" s="14" t="s">
        <v>3</v>
      </c>
      <c r="C581" s="127" t="s">
        <v>18</v>
      </c>
      <c r="D581" s="14" t="s">
        <v>22</v>
      </c>
      <c r="E581" s="129">
        <f>41759+(7*364+7)</f>
        <v>44314</v>
      </c>
      <c r="F581" s="15">
        <v>799.95</v>
      </c>
      <c r="G581" s="130">
        <v>2</v>
      </c>
      <c r="H581" s="123">
        <f t="shared" si="10"/>
        <v>1599.9</v>
      </c>
      <c r="I581" s="16"/>
      <c r="J581" s="16"/>
      <c r="K581"/>
      <c r="L581"/>
      <c r="M581" s="16"/>
      <c r="N581" s="16"/>
      <c r="O581"/>
      <c r="P581"/>
      <c r="Q581"/>
      <c r="R581"/>
      <c r="S581"/>
      <c r="T581"/>
      <c r="U581"/>
      <c r="V581"/>
      <c r="W581" s="17"/>
    </row>
    <row r="582" spans="1:23">
      <c r="A582" s="125" t="s">
        <v>25</v>
      </c>
      <c r="B582" s="14" t="s">
        <v>1</v>
      </c>
      <c r="C582" s="127" t="s">
        <v>32</v>
      </c>
      <c r="D582" s="14" t="s">
        <v>21</v>
      </c>
      <c r="E582" s="129">
        <f>41935+(7*364+7)</f>
        <v>44490</v>
      </c>
      <c r="F582" s="15">
        <v>79.989999999999995</v>
      </c>
      <c r="G582" s="130">
        <v>12</v>
      </c>
      <c r="H582" s="123">
        <f t="shared" si="10"/>
        <v>959.87999999999988</v>
      </c>
      <c r="I582" s="16"/>
      <c r="J582" s="16"/>
      <c r="K582"/>
      <c r="L582"/>
      <c r="M582" s="16"/>
      <c r="N582" s="16"/>
      <c r="O582"/>
      <c r="P582"/>
      <c r="Q582"/>
      <c r="R582"/>
      <c r="S582"/>
      <c r="T582"/>
      <c r="U582"/>
      <c r="V582"/>
      <c r="W582" s="17"/>
    </row>
    <row r="583" spans="1:23">
      <c r="A583" s="125" t="s">
        <v>6</v>
      </c>
      <c r="B583" s="14" t="s">
        <v>0</v>
      </c>
      <c r="C583" s="127" t="s">
        <v>18</v>
      </c>
      <c r="D583" s="14" t="s">
        <v>20</v>
      </c>
      <c r="E583" s="129">
        <f>42354+(7*364+7)</f>
        <v>44909</v>
      </c>
      <c r="F583" s="15">
        <v>168.95</v>
      </c>
      <c r="G583" s="130">
        <v>4</v>
      </c>
      <c r="H583" s="123">
        <f t="shared" si="10"/>
        <v>675.8</v>
      </c>
      <c r="I583" s="16"/>
      <c r="J583" s="16"/>
      <c r="K583"/>
      <c r="L583"/>
      <c r="M583" s="16"/>
      <c r="N583" s="16"/>
      <c r="O583"/>
      <c r="P583"/>
      <c r="Q583"/>
      <c r="R583"/>
      <c r="S583"/>
      <c r="T583"/>
      <c r="U583"/>
      <c r="V583"/>
      <c r="W583" s="17"/>
    </row>
    <row r="584" spans="1:23">
      <c r="A584" s="125" t="s">
        <v>34</v>
      </c>
      <c r="B584" s="14" t="s">
        <v>1</v>
      </c>
      <c r="C584" s="127" t="s">
        <v>32</v>
      </c>
      <c r="D584" s="14" t="s">
        <v>19</v>
      </c>
      <c r="E584" s="129">
        <f>41896+(7*364+7)</f>
        <v>44451</v>
      </c>
      <c r="F584" s="15">
        <v>79.989999999999995</v>
      </c>
      <c r="G584" s="130">
        <v>13</v>
      </c>
      <c r="H584" s="123">
        <f t="shared" si="10"/>
        <v>1039.8699999999999</v>
      </c>
      <c r="I584" s="16"/>
      <c r="J584" s="16"/>
      <c r="K584"/>
      <c r="L584"/>
      <c r="M584" s="16"/>
      <c r="N584" s="16"/>
      <c r="O584"/>
      <c r="P584"/>
      <c r="Q584"/>
      <c r="R584"/>
      <c r="S584"/>
      <c r="T584"/>
      <c r="U584"/>
      <c r="V584"/>
      <c r="W584" s="17"/>
    </row>
    <row r="585" spans="1:23">
      <c r="A585" s="125" t="s">
        <v>17</v>
      </c>
      <c r="B585" s="14" t="s">
        <v>0</v>
      </c>
      <c r="C585" s="127" t="s">
        <v>18</v>
      </c>
      <c r="D585" s="14" t="s">
        <v>19</v>
      </c>
      <c r="E585" s="129">
        <f>42287+(7*364+7)</f>
        <v>44842</v>
      </c>
      <c r="F585" s="15">
        <v>168.95</v>
      </c>
      <c r="G585" s="130">
        <v>8</v>
      </c>
      <c r="H585" s="123">
        <f t="shared" si="10"/>
        <v>1351.6</v>
      </c>
      <c r="I585" s="16"/>
      <c r="J585" s="16"/>
      <c r="K585"/>
      <c r="L585"/>
      <c r="M585" s="16"/>
      <c r="N585" s="16"/>
      <c r="O585"/>
      <c r="P585"/>
      <c r="Q585"/>
      <c r="R585"/>
      <c r="S585"/>
      <c r="T585"/>
      <c r="U585"/>
      <c r="V585"/>
      <c r="W585" s="17"/>
    </row>
    <row r="586" spans="1:23">
      <c r="A586" s="125" t="s">
        <v>16</v>
      </c>
      <c r="B586" s="14" t="s">
        <v>1</v>
      </c>
      <c r="C586" s="127" t="s">
        <v>29</v>
      </c>
      <c r="D586" s="14" t="s">
        <v>20</v>
      </c>
      <c r="E586" s="129">
        <f>42363+(7*364+7)</f>
        <v>44918</v>
      </c>
      <c r="F586" s="15">
        <v>79.989999999999995</v>
      </c>
      <c r="G586" s="130">
        <v>11</v>
      </c>
      <c r="H586" s="123">
        <f t="shared" si="10"/>
        <v>879.89</v>
      </c>
      <c r="I586" s="16"/>
      <c r="J586" s="16"/>
      <c r="K586"/>
      <c r="L586"/>
      <c r="M586" s="16"/>
      <c r="N586" s="16"/>
      <c r="O586"/>
      <c r="P586"/>
      <c r="Q586"/>
      <c r="R586"/>
      <c r="S586"/>
      <c r="T586"/>
      <c r="U586"/>
      <c r="V586"/>
      <c r="W586" s="17"/>
    </row>
    <row r="587" spans="1:23">
      <c r="A587" s="125" t="s">
        <v>35</v>
      </c>
      <c r="B587" s="14" t="s">
        <v>2</v>
      </c>
      <c r="C587" s="127" t="s">
        <v>29</v>
      </c>
      <c r="D587" s="14" t="s">
        <v>22</v>
      </c>
      <c r="E587" s="129">
        <f>42174+(7*364+7)</f>
        <v>44729</v>
      </c>
      <c r="F587" s="15">
        <v>340.95</v>
      </c>
      <c r="G587" s="130">
        <v>1</v>
      </c>
      <c r="H587" s="123">
        <f t="shared" si="10"/>
        <v>340.95</v>
      </c>
      <c r="I587" s="16"/>
      <c r="J587" s="16"/>
      <c r="K587"/>
      <c r="L587"/>
      <c r="M587" s="16"/>
      <c r="N587" s="16"/>
      <c r="O587"/>
      <c r="P587"/>
      <c r="Q587"/>
      <c r="R587"/>
      <c r="S587"/>
      <c r="T587"/>
      <c r="U587"/>
      <c r="V587"/>
      <c r="W587" s="17"/>
    </row>
    <row r="588" spans="1:23">
      <c r="A588" s="125" t="s">
        <v>25</v>
      </c>
      <c r="B588" s="14" t="s">
        <v>4</v>
      </c>
      <c r="C588" s="127" t="s">
        <v>32</v>
      </c>
      <c r="D588" s="14" t="s">
        <v>20</v>
      </c>
      <c r="E588" s="129">
        <f>42013+(7*364+7)</f>
        <v>44568</v>
      </c>
      <c r="F588" s="15">
        <v>340.95</v>
      </c>
      <c r="G588" s="130">
        <v>11</v>
      </c>
      <c r="H588" s="123">
        <f t="shared" si="10"/>
        <v>3750.45</v>
      </c>
      <c r="I588" s="16"/>
      <c r="J588" s="16"/>
      <c r="K588"/>
      <c r="L588"/>
      <c r="M588" s="16"/>
      <c r="N588" s="16"/>
      <c r="O588"/>
      <c r="P588"/>
      <c r="Q588"/>
      <c r="R588"/>
      <c r="S588"/>
      <c r="T588"/>
      <c r="U588"/>
      <c r="V588"/>
      <c r="W588" s="17"/>
    </row>
    <row r="589" spans="1:23">
      <c r="A589" s="125" t="s">
        <v>26</v>
      </c>
      <c r="B589" s="14" t="s">
        <v>2</v>
      </c>
      <c r="C589" s="127" t="s">
        <v>27</v>
      </c>
      <c r="D589" s="14" t="s">
        <v>22</v>
      </c>
      <c r="E589" s="129">
        <f>41839+(7*364+7)</f>
        <v>44394</v>
      </c>
      <c r="F589" s="15">
        <v>340.95</v>
      </c>
      <c r="G589" s="130">
        <v>2</v>
      </c>
      <c r="H589" s="123">
        <f t="shared" si="10"/>
        <v>681.9</v>
      </c>
      <c r="I589" s="16"/>
      <c r="J589" s="16"/>
      <c r="K589"/>
      <c r="L589"/>
      <c r="M589" s="16"/>
      <c r="N589" s="16"/>
      <c r="O589"/>
      <c r="P589"/>
      <c r="Q589"/>
      <c r="R589"/>
      <c r="S589"/>
      <c r="T589"/>
      <c r="U589"/>
      <c r="V589"/>
      <c r="W589" s="17"/>
    </row>
    <row r="590" spans="1:23">
      <c r="A590" s="125" t="s">
        <v>17</v>
      </c>
      <c r="B590" s="14" t="s">
        <v>4</v>
      </c>
      <c r="C590" s="127" t="s">
        <v>18</v>
      </c>
      <c r="D590" s="14" t="s">
        <v>20</v>
      </c>
      <c r="E590" s="129">
        <f>42256+(7*364+7)</f>
        <v>44811</v>
      </c>
      <c r="F590" s="15">
        <v>340.95</v>
      </c>
      <c r="G590" s="130">
        <v>14</v>
      </c>
      <c r="H590" s="123">
        <f t="shared" si="10"/>
        <v>4773.3</v>
      </c>
      <c r="I590" s="16"/>
      <c r="J590" s="16"/>
      <c r="K590"/>
      <c r="L590"/>
      <c r="M590" s="16"/>
      <c r="N590" s="16"/>
      <c r="O590"/>
      <c r="P590"/>
      <c r="Q590"/>
      <c r="R590"/>
      <c r="S590"/>
      <c r="T590"/>
      <c r="U590"/>
      <c r="V590"/>
      <c r="W590" s="17"/>
    </row>
    <row r="591" spans="1:23">
      <c r="A591" s="125" t="s">
        <v>33</v>
      </c>
      <c r="B591" s="14" t="s">
        <v>1</v>
      </c>
      <c r="C591" s="127" t="s">
        <v>18</v>
      </c>
      <c r="D591" s="14" t="s">
        <v>22</v>
      </c>
      <c r="E591" s="129">
        <f>42042+(7*364+7)</f>
        <v>44597</v>
      </c>
      <c r="F591" s="15">
        <v>79.989999999999995</v>
      </c>
      <c r="G591" s="130">
        <v>1</v>
      </c>
      <c r="H591" s="123">
        <f t="shared" si="10"/>
        <v>79.989999999999995</v>
      </c>
      <c r="I591" s="16"/>
      <c r="J591" s="16"/>
      <c r="K591"/>
      <c r="L591"/>
      <c r="M591" s="16"/>
      <c r="N591" s="16"/>
      <c r="O591"/>
      <c r="P591"/>
      <c r="Q591"/>
      <c r="R591"/>
      <c r="S591"/>
      <c r="T591"/>
      <c r="U591"/>
      <c r="V591"/>
      <c r="W591" s="17"/>
    </row>
    <row r="592" spans="1:23">
      <c r="A592" s="125" t="s">
        <v>31</v>
      </c>
      <c r="B592" s="14" t="s">
        <v>1</v>
      </c>
      <c r="C592" s="127" t="s">
        <v>32</v>
      </c>
      <c r="D592" s="14" t="s">
        <v>22</v>
      </c>
      <c r="E592" s="129">
        <f>42181+(7*364+7)</f>
        <v>44736</v>
      </c>
      <c r="F592" s="15">
        <v>79.989999999999995</v>
      </c>
      <c r="G592" s="130">
        <v>15</v>
      </c>
      <c r="H592" s="123">
        <f t="shared" si="10"/>
        <v>1199.8499999999999</v>
      </c>
      <c r="I592" s="16"/>
      <c r="J592" s="16"/>
      <c r="K592"/>
      <c r="L592"/>
      <c r="M592" s="16"/>
      <c r="N592" s="16"/>
      <c r="O592"/>
      <c r="P592"/>
      <c r="Q592"/>
      <c r="R592"/>
      <c r="S592"/>
      <c r="T592"/>
      <c r="U592"/>
      <c r="V592"/>
      <c r="W592" s="17"/>
    </row>
    <row r="593" spans="1:23">
      <c r="A593" s="125" t="s">
        <v>31</v>
      </c>
      <c r="B593" s="14" t="s">
        <v>4</v>
      </c>
      <c r="C593" s="127" t="s">
        <v>32</v>
      </c>
      <c r="D593" s="14" t="s">
        <v>20</v>
      </c>
      <c r="E593" s="129">
        <f>41670+(7*364+7)</f>
        <v>44225</v>
      </c>
      <c r="F593" s="15">
        <v>340.95</v>
      </c>
      <c r="G593" s="130">
        <v>4</v>
      </c>
      <c r="H593" s="123">
        <f t="shared" si="10"/>
        <v>1363.8</v>
      </c>
      <c r="I593" s="16"/>
      <c r="J593" s="16"/>
      <c r="K593"/>
      <c r="L593"/>
      <c r="M593" s="16"/>
      <c r="N593" s="16"/>
      <c r="O593"/>
      <c r="P593"/>
      <c r="Q593"/>
      <c r="R593"/>
      <c r="S593"/>
      <c r="T593"/>
      <c r="U593"/>
      <c r="V593"/>
      <c r="W593" s="17"/>
    </row>
    <row r="594" spans="1:23">
      <c r="A594" s="125" t="s">
        <v>34</v>
      </c>
      <c r="B594" s="14" t="s">
        <v>3</v>
      </c>
      <c r="C594" s="127" t="s">
        <v>32</v>
      </c>
      <c r="D594" s="14" t="s">
        <v>20</v>
      </c>
      <c r="E594" s="129">
        <f>41698+(7*364+7)</f>
        <v>44253</v>
      </c>
      <c r="F594" s="15">
        <v>799.95</v>
      </c>
      <c r="G594" s="130">
        <v>9</v>
      </c>
      <c r="H594" s="123">
        <f t="shared" si="10"/>
        <v>7199.55</v>
      </c>
      <c r="I594" s="16"/>
      <c r="J594" s="16"/>
      <c r="K594"/>
      <c r="L594"/>
      <c r="M594" s="16"/>
      <c r="N594" s="16"/>
      <c r="O594"/>
      <c r="P594"/>
      <c r="Q594"/>
      <c r="R594"/>
      <c r="S594"/>
      <c r="T594"/>
      <c r="U594"/>
      <c r="V594"/>
      <c r="W594" s="17"/>
    </row>
    <row r="595" spans="1:23">
      <c r="A595" s="125" t="s">
        <v>16</v>
      </c>
      <c r="B595" s="14" t="s">
        <v>0</v>
      </c>
      <c r="C595" s="127" t="s">
        <v>29</v>
      </c>
      <c r="D595" s="14" t="s">
        <v>22</v>
      </c>
      <c r="E595" s="129">
        <f>42094+(7*364+7)</f>
        <v>44649</v>
      </c>
      <c r="F595" s="15">
        <v>168.95</v>
      </c>
      <c r="G595" s="130">
        <v>14</v>
      </c>
      <c r="H595" s="123">
        <f t="shared" si="10"/>
        <v>2365.2999999999997</v>
      </c>
      <c r="I595" s="16"/>
      <c r="J595" s="16"/>
      <c r="K595"/>
      <c r="L595"/>
      <c r="M595" s="16"/>
      <c r="N595" s="16"/>
      <c r="O595"/>
      <c r="P595"/>
      <c r="Q595"/>
      <c r="R595"/>
      <c r="S595"/>
      <c r="T595"/>
      <c r="U595"/>
      <c r="V595"/>
      <c r="W595" s="17"/>
    </row>
    <row r="596" spans="1:23">
      <c r="A596" s="125" t="s">
        <v>17</v>
      </c>
      <c r="B596" s="14" t="s">
        <v>2</v>
      </c>
      <c r="C596" s="127" t="s">
        <v>18</v>
      </c>
      <c r="D596" s="14" t="s">
        <v>21</v>
      </c>
      <c r="E596" s="129">
        <f>41710+(7*364+7)</f>
        <v>44265</v>
      </c>
      <c r="F596" s="15">
        <v>340.95</v>
      </c>
      <c r="G596" s="130">
        <v>6</v>
      </c>
      <c r="H596" s="123">
        <f t="shared" si="10"/>
        <v>2045.6999999999998</v>
      </c>
      <c r="I596" s="16"/>
      <c r="J596" s="16"/>
      <c r="K596"/>
      <c r="L596"/>
      <c r="M596" s="16"/>
      <c r="N596" s="16"/>
      <c r="O596"/>
      <c r="P596"/>
      <c r="Q596"/>
      <c r="R596"/>
      <c r="S596"/>
      <c r="T596"/>
      <c r="U596"/>
      <c r="V596"/>
      <c r="W596" s="17"/>
    </row>
    <row r="597" spans="1:23">
      <c r="A597" s="125" t="s">
        <v>28</v>
      </c>
      <c r="B597" s="14" t="s">
        <v>0</v>
      </c>
      <c r="C597" s="127" t="s">
        <v>32</v>
      </c>
      <c r="D597" s="14" t="s">
        <v>20</v>
      </c>
      <c r="E597" s="129">
        <f>41808+(7*364+7)</f>
        <v>44363</v>
      </c>
      <c r="F597" s="15">
        <v>168.95</v>
      </c>
      <c r="G597" s="130">
        <v>6</v>
      </c>
      <c r="H597" s="123">
        <f t="shared" si="10"/>
        <v>1013.6999999999999</v>
      </c>
      <c r="I597" s="16"/>
      <c r="J597" s="16"/>
      <c r="K597"/>
      <c r="L597"/>
      <c r="M597" s="16"/>
      <c r="N597" s="16"/>
      <c r="O597"/>
      <c r="P597"/>
      <c r="Q597"/>
      <c r="R597"/>
      <c r="S597"/>
      <c r="T597"/>
      <c r="U597"/>
      <c r="V597"/>
      <c r="W597" s="17"/>
    </row>
    <row r="598" spans="1:23">
      <c r="A598" s="125" t="s">
        <v>6</v>
      </c>
      <c r="B598" s="14" t="s">
        <v>3</v>
      </c>
      <c r="C598" s="127" t="s">
        <v>18</v>
      </c>
      <c r="D598" s="14" t="s">
        <v>20</v>
      </c>
      <c r="E598" s="129">
        <f>42032+(7*364+7)</f>
        <v>44587</v>
      </c>
      <c r="F598" s="15">
        <v>799.95</v>
      </c>
      <c r="G598" s="130">
        <v>2</v>
      </c>
      <c r="H598" s="123">
        <f t="shared" si="10"/>
        <v>1599.9</v>
      </c>
      <c r="I598" s="16"/>
      <c r="J598" s="16"/>
      <c r="K598"/>
      <c r="L598"/>
      <c r="M598" s="16"/>
      <c r="N598" s="16"/>
      <c r="O598"/>
      <c r="P598"/>
      <c r="Q598"/>
      <c r="R598"/>
      <c r="S598"/>
      <c r="T598"/>
      <c r="U598"/>
      <c r="V598"/>
      <c r="W598" s="17"/>
    </row>
    <row r="599" spans="1:23">
      <c r="A599" s="125" t="s">
        <v>17</v>
      </c>
      <c r="B599" s="14" t="s">
        <v>0</v>
      </c>
      <c r="C599" s="127" t="s">
        <v>18</v>
      </c>
      <c r="D599" s="14" t="s">
        <v>20</v>
      </c>
      <c r="E599" s="129">
        <f>42272+(7*364+7)</f>
        <v>44827</v>
      </c>
      <c r="F599" s="15">
        <v>168.95</v>
      </c>
      <c r="G599" s="130">
        <v>6</v>
      </c>
      <c r="H599" s="123">
        <f t="shared" si="10"/>
        <v>1013.6999999999999</v>
      </c>
      <c r="I599" s="16"/>
      <c r="J599" s="16"/>
      <c r="K599"/>
      <c r="L599"/>
      <c r="M599" s="16"/>
      <c r="N599" s="16"/>
      <c r="O599"/>
      <c r="P599"/>
      <c r="Q599"/>
      <c r="R599"/>
      <c r="S599"/>
      <c r="T599"/>
      <c r="U599"/>
      <c r="V599"/>
      <c r="W599" s="17"/>
    </row>
    <row r="600" spans="1:23">
      <c r="A600" s="125" t="s">
        <v>31</v>
      </c>
      <c r="B600" s="14" t="s">
        <v>3</v>
      </c>
      <c r="C600" s="127" t="s">
        <v>32</v>
      </c>
      <c r="D600" s="14" t="s">
        <v>19</v>
      </c>
      <c r="E600" s="129">
        <f>42327+(7*364+7)</f>
        <v>44882</v>
      </c>
      <c r="F600" s="15">
        <v>799.95</v>
      </c>
      <c r="G600" s="130">
        <v>19</v>
      </c>
      <c r="H600" s="123">
        <f t="shared" si="10"/>
        <v>15199.050000000001</v>
      </c>
      <c r="I600" s="16"/>
      <c r="J600" s="16"/>
      <c r="K600"/>
      <c r="L600"/>
      <c r="M600" s="16"/>
      <c r="N600" s="16"/>
      <c r="O600"/>
      <c r="P600"/>
      <c r="Q600"/>
      <c r="R600"/>
      <c r="S600"/>
      <c r="T600"/>
      <c r="U600"/>
      <c r="V600"/>
      <c r="W600" s="17"/>
    </row>
    <row r="601" spans="1:23">
      <c r="A601" s="125" t="s">
        <v>28</v>
      </c>
      <c r="B601" s="14" t="s">
        <v>4</v>
      </c>
      <c r="C601" s="127" t="s">
        <v>32</v>
      </c>
      <c r="D601" s="14" t="s">
        <v>21</v>
      </c>
      <c r="E601" s="129">
        <f>41966+(7*364+7)</f>
        <v>44521</v>
      </c>
      <c r="F601" s="15">
        <v>340.95</v>
      </c>
      <c r="G601" s="130">
        <v>15</v>
      </c>
      <c r="H601" s="123">
        <f t="shared" si="10"/>
        <v>5114.25</v>
      </c>
      <c r="I601" s="16"/>
      <c r="J601" s="16"/>
      <c r="K601"/>
      <c r="L601"/>
      <c r="M601" s="16"/>
      <c r="N601" s="16"/>
      <c r="O601"/>
      <c r="P601"/>
      <c r="Q601"/>
      <c r="R601"/>
      <c r="S601"/>
      <c r="T601"/>
      <c r="U601"/>
      <c r="V601"/>
      <c r="W601" s="17"/>
    </row>
    <row r="602" spans="1:23">
      <c r="A602" s="125" t="s">
        <v>17</v>
      </c>
      <c r="B602" s="14" t="s">
        <v>1</v>
      </c>
      <c r="C602" s="127" t="s">
        <v>18</v>
      </c>
      <c r="D602" s="14" t="s">
        <v>19</v>
      </c>
      <c r="E602" s="129">
        <f>41725+(7*364+7)</f>
        <v>44280</v>
      </c>
      <c r="F602" s="15">
        <v>79.989999999999995</v>
      </c>
      <c r="G602" s="130">
        <v>20</v>
      </c>
      <c r="H602" s="123">
        <f t="shared" si="10"/>
        <v>1599.8</v>
      </c>
      <c r="I602" s="16"/>
      <c r="J602" s="16"/>
      <c r="K602"/>
      <c r="L602"/>
      <c r="M602" s="16"/>
      <c r="N602" s="16"/>
      <c r="O602"/>
      <c r="P602"/>
      <c r="Q602"/>
      <c r="R602"/>
      <c r="S602"/>
      <c r="T602"/>
      <c r="U602"/>
      <c r="V602"/>
      <c r="W602" s="17"/>
    </row>
    <row r="603" spans="1:23">
      <c r="A603" s="125" t="s">
        <v>25</v>
      </c>
      <c r="B603" s="14" t="s">
        <v>4</v>
      </c>
      <c r="C603" s="127" t="s">
        <v>32</v>
      </c>
      <c r="D603" s="14" t="s">
        <v>19</v>
      </c>
      <c r="E603" s="129">
        <f>41851+(7*364+7)</f>
        <v>44406</v>
      </c>
      <c r="F603" s="15">
        <v>340.95</v>
      </c>
      <c r="G603" s="130">
        <v>12</v>
      </c>
      <c r="H603" s="123">
        <f t="shared" si="10"/>
        <v>4091.3999999999996</v>
      </c>
      <c r="I603" s="16"/>
      <c r="J603" s="16"/>
      <c r="K603"/>
      <c r="L603"/>
      <c r="M603" s="16"/>
      <c r="N603" s="16"/>
      <c r="O603"/>
      <c r="P603"/>
      <c r="Q603"/>
      <c r="R603"/>
      <c r="S603"/>
      <c r="T603"/>
      <c r="U603"/>
      <c r="V603"/>
      <c r="W603" s="17"/>
    </row>
    <row r="604" spans="1:23">
      <c r="A604" s="125" t="s">
        <v>33</v>
      </c>
      <c r="B604" s="14" t="s">
        <v>2</v>
      </c>
      <c r="C604" s="127" t="s">
        <v>18</v>
      </c>
      <c r="D604" s="14" t="s">
        <v>19</v>
      </c>
      <c r="E604" s="129">
        <f>41676+(7*364+7)</f>
        <v>44231</v>
      </c>
      <c r="F604" s="15">
        <v>340.95</v>
      </c>
      <c r="G604" s="130">
        <v>9</v>
      </c>
      <c r="H604" s="123">
        <f t="shared" si="10"/>
        <v>3068.5499999999997</v>
      </c>
      <c r="I604" s="16"/>
      <c r="J604" s="16"/>
      <c r="K604"/>
      <c r="L604"/>
      <c r="M604" s="16"/>
      <c r="N604" s="16"/>
      <c r="O604"/>
      <c r="P604"/>
      <c r="Q604"/>
      <c r="R604"/>
      <c r="S604"/>
      <c r="T604"/>
      <c r="U604"/>
      <c r="V604"/>
      <c r="W604" s="17"/>
    </row>
    <row r="605" spans="1:23">
      <c r="A605" s="125" t="s">
        <v>28</v>
      </c>
      <c r="B605" s="14" t="s">
        <v>4</v>
      </c>
      <c r="C605" s="127" t="s">
        <v>32</v>
      </c>
      <c r="D605" s="14" t="s">
        <v>20</v>
      </c>
      <c r="E605" s="129">
        <f>41728+(7*364+7)</f>
        <v>44283</v>
      </c>
      <c r="F605" s="15">
        <v>340.95</v>
      </c>
      <c r="G605" s="130">
        <v>15</v>
      </c>
      <c r="H605" s="123">
        <f t="shared" si="10"/>
        <v>5114.25</v>
      </c>
      <c r="I605" s="16"/>
      <c r="J605" s="16"/>
      <c r="K605"/>
      <c r="L605"/>
      <c r="M605" s="16"/>
      <c r="N605" s="16"/>
      <c r="O605"/>
      <c r="P605"/>
      <c r="Q605"/>
      <c r="R605"/>
      <c r="S605"/>
      <c r="T605"/>
      <c r="U605"/>
      <c r="V605"/>
      <c r="W605" s="17"/>
    </row>
    <row r="606" spans="1:23">
      <c r="A606" s="125" t="s">
        <v>34</v>
      </c>
      <c r="B606" s="14" t="s">
        <v>0</v>
      </c>
      <c r="C606" s="127" t="s">
        <v>32</v>
      </c>
      <c r="D606" s="14" t="s">
        <v>23</v>
      </c>
      <c r="E606" s="129">
        <f>41656+(7*364+7)</f>
        <v>44211</v>
      </c>
      <c r="F606" s="15">
        <v>168.95</v>
      </c>
      <c r="G606" s="130">
        <v>10</v>
      </c>
      <c r="H606" s="123">
        <f t="shared" si="10"/>
        <v>1689.5</v>
      </c>
      <c r="I606" s="16"/>
      <c r="J606" s="16"/>
      <c r="K606"/>
      <c r="L606"/>
      <c r="M606" s="16"/>
      <c r="N606" s="16"/>
      <c r="O606"/>
      <c r="P606"/>
      <c r="Q606"/>
      <c r="R606"/>
      <c r="S606"/>
      <c r="T606"/>
      <c r="U606"/>
      <c r="V606"/>
      <c r="W606" s="17"/>
    </row>
    <row r="607" spans="1:23">
      <c r="A607" s="125" t="s">
        <v>7</v>
      </c>
      <c r="B607" s="14" t="s">
        <v>2</v>
      </c>
      <c r="C607" s="127" t="s">
        <v>27</v>
      </c>
      <c r="D607" s="14" t="s">
        <v>19</v>
      </c>
      <c r="E607" s="129">
        <f>41955+(7*364+7)</f>
        <v>44510</v>
      </c>
      <c r="F607" s="15">
        <v>340.95</v>
      </c>
      <c r="G607" s="130">
        <v>16</v>
      </c>
      <c r="H607" s="123">
        <f t="shared" si="10"/>
        <v>5455.2</v>
      </c>
      <c r="I607" s="16"/>
      <c r="J607" s="16"/>
      <c r="K607"/>
      <c r="L607"/>
      <c r="M607" s="16"/>
      <c r="N607" s="16"/>
      <c r="O607"/>
      <c r="P607"/>
      <c r="Q607"/>
      <c r="R607"/>
      <c r="S607"/>
      <c r="T607"/>
      <c r="U607"/>
      <c r="V607"/>
      <c r="W607" s="17"/>
    </row>
    <row r="608" spans="1:23">
      <c r="A608" s="125" t="s">
        <v>6</v>
      </c>
      <c r="B608" s="14" t="s">
        <v>2</v>
      </c>
      <c r="C608" s="127" t="s">
        <v>29</v>
      </c>
      <c r="D608" s="14" t="s">
        <v>20</v>
      </c>
      <c r="E608" s="129">
        <f>42176+(7*364+7)</f>
        <v>44731</v>
      </c>
      <c r="F608" s="15">
        <v>340.95</v>
      </c>
      <c r="G608" s="130">
        <v>7</v>
      </c>
      <c r="H608" s="123">
        <f t="shared" si="10"/>
        <v>2386.65</v>
      </c>
      <c r="I608" s="16"/>
      <c r="J608" s="16"/>
      <c r="K608"/>
      <c r="L608"/>
      <c r="M608" s="16"/>
      <c r="N608" s="16"/>
      <c r="O608"/>
      <c r="P608"/>
      <c r="Q608"/>
      <c r="R608"/>
      <c r="S608"/>
      <c r="T608"/>
      <c r="U608"/>
      <c r="V608"/>
      <c r="W608" s="17"/>
    </row>
    <row r="609" spans="1:23">
      <c r="A609" s="125" t="s">
        <v>17</v>
      </c>
      <c r="B609" s="14" t="s">
        <v>3</v>
      </c>
      <c r="C609" s="127" t="s">
        <v>18</v>
      </c>
      <c r="D609" s="14" t="s">
        <v>19</v>
      </c>
      <c r="E609" s="129">
        <f>42231+(7*364+7)</f>
        <v>44786</v>
      </c>
      <c r="F609" s="15">
        <v>799.95</v>
      </c>
      <c r="G609" s="130">
        <v>16</v>
      </c>
      <c r="H609" s="123">
        <f t="shared" si="10"/>
        <v>12799.2</v>
      </c>
      <c r="I609" s="16"/>
      <c r="J609" s="16"/>
      <c r="K609"/>
      <c r="L609"/>
      <c r="M609" s="16"/>
      <c r="N609" s="16"/>
      <c r="O609"/>
      <c r="P609"/>
      <c r="Q609"/>
      <c r="R609"/>
      <c r="S609"/>
      <c r="T609"/>
      <c r="U609"/>
      <c r="V609"/>
      <c r="W609" s="17"/>
    </row>
    <row r="610" spans="1:23">
      <c r="A610" s="125" t="s">
        <v>31</v>
      </c>
      <c r="B610" s="14" t="s">
        <v>1</v>
      </c>
      <c r="C610" s="127" t="s">
        <v>32</v>
      </c>
      <c r="D610" s="14" t="s">
        <v>19</v>
      </c>
      <c r="E610" s="129">
        <f>41962+(7*364+7)</f>
        <v>44517</v>
      </c>
      <c r="F610" s="15">
        <v>79.989999999999995</v>
      </c>
      <c r="G610" s="130">
        <v>13</v>
      </c>
      <c r="H610" s="123">
        <f t="shared" si="10"/>
        <v>1039.8699999999999</v>
      </c>
      <c r="I610" s="16"/>
      <c r="J610" s="16"/>
      <c r="K610"/>
      <c r="L610"/>
      <c r="M610" s="16"/>
      <c r="N610" s="16"/>
      <c r="O610"/>
      <c r="P610"/>
      <c r="Q610"/>
      <c r="R610"/>
      <c r="S610"/>
      <c r="T610"/>
      <c r="U610"/>
      <c r="V610"/>
      <c r="W610" s="17"/>
    </row>
    <row r="611" spans="1:23">
      <c r="A611" s="125" t="s">
        <v>35</v>
      </c>
      <c r="B611" s="14" t="s">
        <v>4</v>
      </c>
      <c r="C611" s="127" t="s">
        <v>29</v>
      </c>
      <c r="D611" s="14" t="s">
        <v>22</v>
      </c>
      <c r="E611" s="129">
        <f>42118+(7*364+7)</f>
        <v>44673</v>
      </c>
      <c r="F611" s="15">
        <v>340.95</v>
      </c>
      <c r="G611" s="130">
        <v>2</v>
      </c>
      <c r="H611" s="123">
        <f t="shared" si="10"/>
        <v>681.9</v>
      </c>
      <c r="I611" s="16"/>
      <c r="J611" s="16"/>
      <c r="K611"/>
      <c r="L611"/>
      <c r="M611" s="16"/>
      <c r="N611" s="16"/>
      <c r="O611"/>
      <c r="P611"/>
      <c r="Q611"/>
      <c r="R611"/>
      <c r="S611"/>
      <c r="T611"/>
      <c r="U611"/>
      <c r="V611"/>
      <c r="W611" s="17"/>
    </row>
    <row r="612" spans="1:23">
      <c r="A612" s="125" t="s">
        <v>34</v>
      </c>
      <c r="B612" s="14" t="s">
        <v>0</v>
      </c>
      <c r="C612" s="127" t="s">
        <v>32</v>
      </c>
      <c r="D612" s="14" t="s">
        <v>19</v>
      </c>
      <c r="E612" s="129">
        <f>41850+(7*364+7)</f>
        <v>44405</v>
      </c>
      <c r="F612" s="15">
        <v>168.95</v>
      </c>
      <c r="G612" s="130">
        <v>12</v>
      </c>
      <c r="H612" s="123">
        <f t="shared" si="10"/>
        <v>2027.3999999999999</v>
      </c>
      <c r="I612" s="16"/>
      <c r="J612" s="16"/>
      <c r="K612"/>
      <c r="L612"/>
      <c r="M612" s="16"/>
      <c r="N612" s="16"/>
      <c r="O612"/>
      <c r="P612"/>
      <c r="Q612"/>
      <c r="R612"/>
      <c r="S612"/>
      <c r="T612"/>
      <c r="U612"/>
      <c r="V612"/>
      <c r="W612" s="17"/>
    </row>
    <row r="613" spans="1:23">
      <c r="A613" s="125" t="s">
        <v>33</v>
      </c>
      <c r="B613" s="14" t="s">
        <v>1</v>
      </c>
      <c r="C613" s="127" t="s">
        <v>18</v>
      </c>
      <c r="D613" s="14" t="s">
        <v>22</v>
      </c>
      <c r="E613" s="129">
        <f>42202+(7*364+7)</f>
        <v>44757</v>
      </c>
      <c r="F613" s="15">
        <v>79.989999999999995</v>
      </c>
      <c r="G613" s="130">
        <v>12</v>
      </c>
      <c r="H613" s="123">
        <f t="shared" si="10"/>
        <v>959.87999999999988</v>
      </c>
      <c r="I613" s="16"/>
      <c r="J613" s="16"/>
      <c r="K613"/>
      <c r="L613"/>
      <c r="M613" s="16"/>
      <c r="N613" s="16"/>
      <c r="O613"/>
      <c r="P613"/>
      <c r="Q613"/>
      <c r="R613"/>
      <c r="S613"/>
      <c r="T613"/>
      <c r="U613"/>
      <c r="V613"/>
      <c r="W613" s="17"/>
    </row>
    <row r="614" spans="1:23">
      <c r="A614" s="125" t="s">
        <v>26</v>
      </c>
      <c r="B614" s="14" t="s">
        <v>1</v>
      </c>
      <c r="C614" s="127" t="s">
        <v>27</v>
      </c>
      <c r="D614" s="14" t="s">
        <v>23</v>
      </c>
      <c r="E614" s="129">
        <f>42264+(7*364+7)</f>
        <v>44819</v>
      </c>
      <c r="F614" s="15">
        <v>79.989999999999995</v>
      </c>
      <c r="G614" s="130">
        <v>1</v>
      </c>
      <c r="H614" s="123">
        <f t="shared" si="10"/>
        <v>79.989999999999995</v>
      </c>
      <c r="I614" s="16"/>
      <c r="J614" s="16"/>
      <c r="K614"/>
      <c r="L614"/>
      <c r="M614" s="16"/>
      <c r="N614" s="16"/>
      <c r="O614"/>
      <c r="P614"/>
      <c r="Q614"/>
      <c r="R614"/>
      <c r="S614"/>
      <c r="T614"/>
      <c r="U614"/>
      <c r="V614"/>
      <c r="W614" s="17"/>
    </row>
    <row r="615" spans="1:23">
      <c r="A615" s="125" t="s">
        <v>17</v>
      </c>
      <c r="B615" s="14" t="s">
        <v>2</v>
      </c>
      <c r="C615" s="127" t="s">
        <v>18</v>
      </c>
      <c r="D615" s="14" t="s">
        <v>22</v>
      </c>
      <c r="E615" s="129">
        <f>42091+(7*364+7)</f>
        <v>44646</v>
      </c>
      <c r="F615" s="15">
        <v>340.95</v>
      </c>
      <c r="G615" s="130">
        <v>4</v>
      </c>
      <c r="H615" s="123">
        <f t="shared" si="10"/>
        <v>1363.8</v>
      </c>
      <c r="I615" s="16"/>
      <c r="J615" s="16"/>
      <c r="K615"/>
      <c r="L615"/>
      <c r="M615" s="16"/>
      <c r="N615" s="16"/>
      <c r="O615"/>
      <c r="P615"/>
      <c r="Q615"/>
      <c r="R615"/>
      <c r="S615"/>
      <c r="T615"/>
      <c r="U615"/>
      <c r="V615"/>
      <c r="W615" s="17"/>
    </row>
    <row r="616" spans="1:23">
      <c r="A616" s="125" t="s">
        <v>28</v>
      </c>
      <c r="B616" s="14" t="s">
        <v>3</v>
      </c>
      <c r="C616" s="127" t="s">
        <v>32</v>
      </c>
      <c r="D616" s="14" t="s">
        <v>23</v>
      </c>
      <c r="E616" s="129">
        <f>42277+(7*364+7)</f>
        <v>44832</v>
      </c>
      <c r="F616" s="15">
        <v>799.95</v>
      </c>
      <c r="G616" s="130">
        <v>15</v>
      </c>
      <c r="H616" s="123">
        <f t="shared" si="10"/>
        <v>11999.25</v>
      </c>
      <c r="I616" s="16"/>
      <c r="J616" s="16"/>
      <c r="K616"/>
      <c r="L616"/>
      <c r="M616" s="16"/>
      <c r="N616" s="16"/>
      <c r="O616"/>
      <c r="P616"/>
      <c r="Q616"/>
      <c r="R616"/>
      <c r="S616"/>
      <c r="T616"/>
      <c r="U616"/>
      <c r="V616"/>
      <c r="W616" s="17"/>
    </row>
    <row r="617" spans="1:23">
      <c r="A617" s="125" t="s">
        <v>31</v>
      </c>
      <c r="B617" s="14" t="s">
        <v>0</v>
      </c>
      <c r="C617" s="127" t="s">
        <v>32</v>
      </c>
      <c r="D617" s="14" t="s">
        <v>21</v>
      </c>
      <c r="E617" s="129">
        <f>42003+(7*364+7)</f>
        <v>44558</v>
      </c>
      <c r="F617" s="15">
        <v>168.95</v>
      </c>
      <c r="G617" s="130">
        <v>3</v>
      </c>
      <c r="H617" s="123">
        <f t="shared" si="10"/>
        <v>506.84999999999997</v>
      </c>
      <c r="I617" s="16"/>
      <c r="J617" s="16"/>
      <c r="K617"/>
      <c r="L617"/>
      <c r="M617" s="16"/>
      <c r="N617" s="16"/>
      <c r="O617"/>
      <c r="P617"/>
      <c r="Q617"/>
      <c r="R617"/>
      <c r="S617"/>
      <c r="T617"/>
      <c r="U617"/>
      <c r="V617"/>
      <c r="W617" s="17"/>
    </row>
    <row r="618" spans="1:23">
      <c r="A618" s="125" t="s">
        <v>34</v>
      </c>
      <c r="B618" s="14" t="s">
        <v>2</v>
      </c>
      <c r="C618" s="127" t="s">
        <v>32</v>
      </c>
      <c r="D618" s="14" t="s">
        <v>22</v>
      </c>
      <c r="E618" s="129">
        <f>42295+(7*364+7)</f>
        <v>44850</v>
      </c>
      <c r="F618" s="15">
        <v>340.95</v>
      </c>
      <c r="G618" s="130">
        <v>8</v>
      </c>
      <c r="H618" s="123">
        <f t="shared" si="10"/>
        <v>2727.6</v>
      </c>
      <c r="I618" s="16"/>
      <c r="J618" s="16"/>
      <c r="K618"/>
      <c r="L618"/>
      <c r="M618" s="16"/>
      <c r="N618" s="16"/>
      <c r="O618"/>
      <c r="P618"/>
      <c r="Q618"/>
      <c r="R618"/>
      <c r="S618"/>
      <c r="T618"/>
      <c r="U618"/>
      <c r="V618"/>
      <c r="W618" s="17"/>
    </row>
    <row r="619" spans="1:23">
      <c r="A619" s="125" t="s">
        <v>25</v>
      </c>
      <c r="B619" s="14" t="s">
        <v>2</v>
      </c>
      <c r="C619" s="127" t="s">
        <v>32</v>
      </c>
      <c r="D619" s="14" t="s">
        <v>21</v>
      </c>
      <c r="E619" s="129">
        <f>41965+(7*364+7)</f>
        <v>44520</v>
      </c>
      <c r="F619" s="15">
        <v>340.95</v>
      </c>
      <c r="G619" s="130">
        <v>15</v>
      </c>
      <c r="H619" s="123">
        <f t="shared" si="10"/>
        <v>5114.25</v>
      </c>
      <c r="I619" s="16"/>
      <c r="J619" s="16"/>
      <c r="K619"/>
      <c r="L619"/>
      <c r="M619" s="16"/>
      <c r="N619" s="16"/>
      <c r="O619"/>
      <c r="P619"/>
      <c r="Q619"/>
      <c r="R619"/>
      <c r="S619"/>
      <c r="T619"/>
      <c r="U619"/>
      <c r="V619"/>
      <c r="W619" s="17"/>
    </row>
    <row r="620" spans="1:23">
      <c r="A620" s="125" t="s">
        <v>6</v>
      </c>
      <c r="B620" s="14" t="s">
        <v>0</v>
      </c>
      <c r="C620" s="127" t="s">
        <v>18</v>
      </c>
      <c r="D620" s="14" t="s">
        <v>19</v>
      </c>
      <c r="E620" s="129">
        <f>41947+(7*364+7)</f>
        <v>44502</v>
      </c>
      <c r="F620" s="15">
        <v>168.95</v>
      </c>
      <c r="G620" s="130">
        <v>11</v>
      </c>
      <c r="H620" s="123">
        <f t="shared" si="10"/>
        <v>1858.4499999999998</v>
      </c>
      <c r="I620" s="16"/>
      <c r="J620" s="16"/>
      <c r="K620"/>
      <c r="L620"/>
      <c r="M620" s="16"/>
      <c r="N620" s="16"/>
      <c r="O620"/>
      <c r="P620"/>
      <c r="Q620"/>
      <c r="R620"/>
      <c r="S620"/>
      <c r="T620"/>
      <c r="U620"/>
      <c r="V620"/>
      <c r="W620" s="17"/>
    </row>
    <row r="621" spans="1:23">
      <c r="A621" s="125" t="s">
        <v>34</v>
      </c>
      <c r="B621" s="14" t="s">
        <v>2</v>
      </c>
      <c r="C621" s="127" t="s">
        <v>32</v>
      </c>
      <c r="D621" s="14" t="s">
        <v>22</v>
      </c>
      <c r="E621" s="129">
        <f>41824+(7*364+7)</f>
        <v>44379</v>
      </c>
      <c r="F621" s="15">
        <v>340.95</v>
      </c>
      <c r="G621" s="130">
        <v>14</v>
      </c>
      <c r="H621" s="123">
        <f t="shared" si="10"/>
        <v>4773.3</v>
      </c>
      <c r="I621" s="16"/>
      <c r="J621" s="16"/>
      <c r="K621"/>
      <c r="L621"/>
      <c r="M621" s="16"/>
      <c r="N621" s="16"/>
      <c r="O621"/>
      <c r="P621"/>
      <c r="Q621"/>
      <c r="R621"/>
      <c r="S621"/>
      <c r="T621"/>
      <c r="U621"/>
      <c r="V621"/>
      <c r="W621" s="17"/>
    </row>
    <row r="622" spans="1:23">
      <c r="A622" s="125" t="s">
        <v>31</v>
      </c>
      <c r="B622" s="14" t="s">
        <v>0</v>
      </c>
      <c r="C622" s="127" t="s">
        <v>32</v>
      </c>
      <c r="D622" s="14" t="s">
        <v>19</v>
      </c>
      <c r="E622" s="129">
        <f>41919+(7*364+7)</f>
        <v>44474</v>
      </c>
      <c r="F622" s="15">
        <v>168.95</v>
      </c>
      <c r="G622" s="130">
        <v>18</v>
      </c>
      <c r="H622" s="123">
        <f t="shared" si="10"/>
        <v>3041.1</v>
      </c>
      <c r="I622" s="16"/>
      <c r="J622" s="16"/>
      <c r="K622"/>
      <c r="L622"/>
      <c r="M622" s="16"/>
      <c r="N622" s="16"/>
      <c r="O622"/>
      <c r="P622"/>
      <c r="Q622"/>
      <c r="R622"/>
      <c r="S622"/>
      <c r="T622"/>
      <c r="U622"/>
      <c r="V622"/>
      <c r="W622" s="17"/>
    </row>
    <row r="623" spans="1:23">
      <c r="A623" s="125" t="s">
        <v>25</v>
      </c>
      <c r="B623" s="14" t="s">
        <v>4</v>
      </c>
      <c r="C623" s="127" t="s">
        <v>32</v>
      </c>
      <c r="D623" s="14" t="s">
        <v>21</v>
      </c>
      <c r="E623" s="129">
        <f>41912+(7*364+7)</f>
        <v>44467</v>
      </c>
      <c r="F623" s="15">
        <v>340.95</v>
      </c>
      <c r="G623" s="130">
        <v>1</v>
      </c>
      <c r="H623" s="123">
        <f t="shared" si="10"/>
        <v>340.95</v>
      </c>
      <c r="I623" s="16"/>
      <c r="J623" s="16"/>
      <c r="K623"/>
      <c r="L623"/>
      <c r="M623" s="16"/>
      <c r="N623" s="16"/>
      <c r="O623"/>
      <c r="P623"/>
      <c r="Q623"/>
      <c r="R623"/>
      <c r="S623"/>
      <c r="T623"/>
      <c r="U623"/>
      <c r="V623"/>
      <c r="W623" s="17"/>
    </row>
    <row r="624" spans="1:23">
      <c r="A624" s="125" t="s">
        <v>7</v>
      </c>
      <c r="B624" s="14" t="s">
        <v>1</v>
      </c>
      <c r="C624" s="127" t="s">
        <v>27</v>
      </c>
      <c r="D624" s="14" t="s">
        <v>21</v>
      </c>
      <c r="E624" s="129">
        <f>42172+(7*364+7)</f>
        <v>44727</v>
      </c>
      <c r="F624" s="15">
        <v>79.989999999999995</v>
      </c>
      <c r="G624" s="130">
        <v>11</v>
      </c>
      <c r="H624" s="123">
        <f t="shared" si="10"/>
        <v>879.89</v>
      </c>
      <c r="I624" s="16"/>
      <c r="J624" s="16"/>
      <c r="K624"/>
      <c r="L624"/>
      <c r="M624" s="16"/>
      <c r="N624" s="16"/>
      <c r="O624"/>
      <c r="P624"/>
      <c r="Q624"/>
      <c r="R624"/>
      <c r="S624"/>
      <c r="T624"/>
      <c r="U624"/>
      <c r="V624"/>
      <c r="W624" s="17"/>
    </row>
    <row r="625" spans="1:23">
      <c r="A625" s="125" t="s">
        <v>25</v>
      </c>
      <c r="B625" s="14" t="s">
        <v>3</v>
      </c>
      <c r="C625" s="127" t="s">
        <v>32</v>
      </c>
      <c r="D625" s="14" t="s">
        <v>21</v>
      </c>
      <c r="E625" s="129">
        <f>42015+(7*364+7)</f>
        <v>44570</v>
      </c>
      <c r="F625" s="15">
        <v>799.95</v>
      </c>
      <c r="G625" s="130">
        <v>7</v>
      </c>
      <c r="H625" s="123">
        <f t="shared" si="10"/>
        <v>5599.6500000000005</v>
      </c>
      <c r="I625" s="16"/>
      <c r="J625" s="16"/>
      <c r="K625"/>
      <c r="L625"/>
      <c r="M625" s="16"/>
      <c r="N625" s="16"/>
      <c r="O625"/>
      <c r="P625"/>
      <c r="Q625"/>
      <c r="R625"/>
      <c r="S625"/>
      <c r="T625"/>
      <c r="U625"/>
      <c r="V625"/>
      <c r="W625" s="17"/>
    </row>
    <row r="626" spans="1:23">
      <c r="A626" s="125" t="s">
        <v>26</v>
      </c>
      <c r="B626" s="14" t="s">
        <v>3</v>
      </c>
      <c r="C626" s="127" t="s">
        <v>27</v>
      </c>
      <c r="D626" s="14" t="s">
        <v>20</v>
      </c>
      <c r="E626" s="129">
        <f>42123+(7*364+7)</f>
        <v>44678</v>
      </c>
      <c r="F626" s="15">
        <v>799.95</v>
      </c>
      <c r="G626" s="130">
        <v>8</v>
      </c>
      <c r="H626" s="123">
        <f t="shared" si="10"/>
        <v>6399.6</v>
      </c>
      <c r="I626" s="16"/>
      <c r="J626" s="16"/>
      <c r="K626"/>
      <c r="L626"/>
      <c r="M626" s="16"/>
      <c r="N626" s="16"/>
      <c r="O626"/>
      <c r="P626"/>
      <c r="Q626"/>
      <c r="R626"/>
      <c r="S626"/>
      <c r="T626"/>
      <c r="U626"/>
      <c r="V626"/>
      <c r="W626" s="17"/>
    </row>
    <row r="627" spans="1:23">
      <c r="A627" s="125" t="s">
        <v>26</v>
      </c>
      <c r="B627" s="14" t="s">
        <v>3</v>
      </c>
      <c r="C627" s="127" t="s">
        <v>27</v>
      </c>
      <c r="D627" s="14" t="s">
        <v>19</v>
      </c>
      <c r="E627" s="129">
        <f>42092+(7*364+7)</f>
        <v>44647</v>
      </c>
      <c r="F627" s="15">
        <v>799.95</v>
      </c>
      <c r="G627" s="130">
        <v>7</v>
      </c>
      <c r="H627" s="123">
        <f t="shared" si="10"/>
        <v>5599.6500000000005</v>
      </c>
      <c r="I627" s="16"/>
      <c r="J627" s="16"/>
      <c r="K627"/>
      <c r="L627"/>
      <c r="M627" s="16"/>
      <c r="N627" s="16"/>
      <c r="O627"/>
      <c r="P627"/>
      <c r="Q627"/>
      <c r="R627"/>
      <c r="S627"/>
      <c r="T627"/>
      <c r="U627"/>
      <c r="V627"/>
      <c r="W627" s="17"/>
    </row>
    <row r="628" spans="1:23">
      <c r="A628" s="125" t="s">
        <v>28</v>
      </c>
      <c r="B628" s="14" t="s">
        <v>0</v>
      </c>
      <c r="C628" s="127" t="s">
        <v>32</v>
      </c>
      <c r="D628" s="14" t="s">
        <v>20</v>
      </c>
      <c r="E628" s="129">
        <f>42130+(7*364+7)</f>
        <v>44685</v>
      </c>
      <c r="F628" s="15">
        <v>168.95</v>
      </c>
      <c r="G628" s="130">
        <v>7</v>
      </c>
      <c r="H628" s="123">
        <f t="shared" si="10"/>
        <v>1182.6499999999999</v>
      </c>
      <c r="I628" s="16"/>
      <c r="J628" s="16"/>
      <c r="K628"/>
      <c r="L628"/>
      <c r="M628" s="16"/>
      <c r="N628" s="16"/>
      <c r="O628"/>
      <c r="P628"/>
      <c r="Q628"/>
      <c r="R628"/>
      <c r="S628"/>
      <c r="T628"/>
      <c r="U628"/>
      <c r="V628"/>
      <c r="W628" s="17"/>
    </row>
    <row r="629" spans="1:23">
      <c r="A629" s="125" t="s">
        <v>33</v>
      </c>
      <c r="B629" s="14" t="s">
        <v>1</v>
      </c>
      <c r="C629" s="127" t="s">
        <v>18</v>
      </c>
      <c r="D629" s="14" t="s">
        <v>20</v>
      </c>
      <c r="E629" s="129">
        <f>42183+(7*364+7)</f>
        <v>44738</v>
      </c>
      <c r="F629" s="15">
        <v>79.989999999999995</v>
      </c>
      <c r="G629" s="130">
        <v>6</v>
      </c>
      <c r="H629" s="123">
        <f t="shared" si="10"/>
        <v>479.93999999999994</v>
      </c>
      <c r="I629" s="16"/>
      <c r="J629" s="16"/>
      <c r="K629"/>
      <c r="L629"/>
      <c r="M629" s="16"/>
      <c r="N629" s="16"/>
      <c r="O629"/>
      <c r="P629"/>
      <c r="Q629"/>
      <c r="R629"/>
      <c r="S629"/>
      <c r="T629"/>
      <c r="U629"/>
      <c r="V629"/>
      <c r="W629" s="17"/>
    </row>
    <row r="630" spans="1:23">
      <c r="A630" s="125" t="s">
        <v>26</v>
      </c>
      <c r="B630" s="14" t="s">
        <v>1</v>
      </c>
      <c r="C630" s="127" t="s">
        <v>27</v>
      </c>
      <c r="D630" s="14" t="s">
        <v>21</v>
      </c>
      <c r="E630" s="129">
        <f>42011+(7*364+7)</f>
        <v>44566</v>
      </c>
      <c r="F630" s="15">
        <v>79.989999999999995</v>
      </c>
      <c r="G630" s="130">
        <v>1</v>
      </c>
      <c r="H630" s="123">
        <f t="shared" si="10"/>
        <v>79.989999999999995</v>
      </c>
      <c r="I630" s="16"/>
      <c r="J630" s="16"/>
      <c r="K630"/>
      <c r="L630"/>
      <c r="M630" s="16"/>
      <c r="N630" s="16"/>
      <c r="O630"/>
      <c r="P630"/>
      <c r="Q630"/>
      <c r="R630"/>
      <c r="S630"/>
      <c r="T630"/>
      <c r="U630"/>
      <c r="V630"/>
      <c r="W630" s="17"/>
    </row>
    <row r="631" spans="1:23">
      <c r="A631" s="125" t="s">
        <v>7</v>
      </c>
      <c r="B631" s="14" t="s">
        <v>1</v>
      </c>
      <c r="C631" s="127" t="s">
        <v>27</v>
      </c>
      <c r="D631" s="14" t="s">
        <v>20</v>
      </c>
      <c r="E631" s="129">
        <f>41717+(7*364+7)</f>
        <v>44272</v>
      </c>
      <c r="F631" s="15">
        <v>79.989999999999995</v>
      </c>
      <c r="G631" s="130">
        <v>5</v>
      </c>
      <c r="H631" s="123">
        <f t="shared" si="10"/>
        <v>399.95</v>
      </c>
      <c r="I631" s="16"/>
      <c r="J631" s="16"/>
      <c r="K631"/>
      <c r="L631"/>
      <c r="M631" s="16"/>
      <c r="N631" s="16"/>
      <c r="O631"/>
      <c r="P631"/>
      <c r="Q631"/>
      <c r="R631"/>
      <c r="S631"/>
      <c r="T631"/>
      <c r="U631"/>
      <c r="V631"/>
      <c r="W631" s="17"/>
    </row>
    <row r="632" spans="1:23">
      <c r="A632" s="125" t="s">
        <v>31</v>
      </c>
      <c r="B632" s="14" t="s">
        <v>3</v>
      </c>
      <c r="C632" s="127" t="s">
        <v>32</v>
      </c>
      <c r="D632" s="14" t="s">
        <v>22</v>
      </c>
      <c r="E632" s="129">
        <f>42278+(7*364+7)</f>
        <v>44833</v>
      </c>
      <c r="F632" s="15">
        <v>799.95</v>
      </c>
      <c r="G632" s="130">
        <v>11</v>
      </c>
      <c r="H632" s="123">
        <f t="shared" si="10"/>
        <v>8799.4500000000007</v>
      </c>
      <c r="I632" s="16"/>
      <c r="J632" s="16"/>
      <c r="K632"/>
      <c r="L632"/>
      <c r="M632" s="16"/>
      <c r="N632" s="16"/>
      <c r="O632"/>
      <c r="P632"/>
      <c r="Q632"/>
      <c r="R632"/>
      <c r="S632"/>
      <c r="T632"/>
      <c r="U632"/>
      <c r="V632"/>
      <c r="W632" s="17"/>
    </row>
    <row r="633" spans="1:23">
      <c r="A633" s="125" t="s">
        <v>34</v>
      </c>
      <c r="B633" s="14" t="s">
        <v>1</v>
      </c>
      <c r="C633" s="127" t="s">
        <v>32</v>
      </c>
      <c r="D633" s="14" t="s">
        <v>23</v>
      </c>
      <c r="E633" s="129">
        <f>42082+(7*364+7)</f>
        <v>44637</v>
      </c>
      <c r="F633" s="15">
        <v>79.989999999999995</v>
      </c>
      <c r="G633" s="130">
        <v>9</v>
      </c>
      <c r="H633" s="123">
        <f t="shared" si="10"/>
        <v>719.91</v>
      </c>
      <c r="I633" s="16"/>
      <c r="J633" s="16"/>
      <c r="K633"/>
      <c r="L633"/>
      <c r="M633" s="16"/>
      <c r="N633" s="16"/>
      <c r="O633"/>
      <c r="P633"/>
      <c r="Q633"/>
      <c r="R633"/>
      <c r="S633"/>
      <c r="T633"/>
      <c r="U633"/>
      <c r="V633"/>
      <c r="W633" s="17"/>
    </row>
    <row r="634" spans="1:23">
      <c r="A634" s="125" t="s">
        <v>7</v>
      </c>
      <c r="B634" s="14" t="s">
        <v>2</v>
      </c>
      <c r="C634" s="127" t="s">
        <v>27</v>
      </c>
      <c r="D634" s="14" t="s">
        <v>19</v>
      </c>
      <c r="E634" s="129">
        <f>42194+(7*364+7)</f>
        <v>44749</v>
      </c>
      <c r="F634" s="15">
        <v>340.95</v>
      </c>
      <c r="G634" s="130">
        <v>6</v>
      </c>
      <c r="H634" s="123">
        <f t="shared" si="10"/>
        <v>2045.6999999999998</v>
      </c>
      <c r="I634" s="16"/>
      <c r="J634" s="16"/>
      <c r="K634"/>
      <c r="L634"/>
      <c r="M634" s="16"/>
      <c r="N634" s="16"/>
      <c r="O634"/>
      <c r="P634"/>
      <c r="Q634"/>
      <c r="R634"/>
      <c r="S634"/>
      <c r="T634"/>
      <c r="U634"/>
      <c r="V634"/>
      <c r="W634" s="17"/>
    </row>
    <row r="635" spans="1:23">
      <c r="A635" s="125" t="s">
        <v>33</v>
      </c>
      <c r="B635" s="14" t="s">
        <v>2</v>
      </c>
      <c r="C635" s="127" t="s">
        <v>18</v>
      </c>
      <c r="D635" s="14" t="s">
        <v>19</v>
      </c>
      <c r="E635" s="129">
        <f>42057+(7*364+7)</f>
        <v>44612</v>
      </c>
      <c r="F635" s="15">
        <v>340.95</v>
      </c>
      <c r="G635" s="130">
        <v>19</v>
      </c>
      <c r="H635" s="123">
        <f t="shared" si="10"/>
        <v>6478.05</v>
      </c>
      <c r="I635" s="16"/>
      <c r="J635" s="16"/>
      <c r="K635"/>
      <c r="L635"/>
      <c r="M635" s="16"/>
      <c r="N635" s="16"/>
      <c r="O635"/>
      <c r="P635"/>
      <c r="Q635"/>
      <c r="R635"/>
      <c r="S635"/>
      <c r="T635"/>
      <c r="U635"/>
      <c r="V635"/>
      <c r="W635" s="17"/>
    </row>
    <row r="636" spans="1:23">
      <c r="A636" s="125" t="s">
        <v>31</v>
      </c>
      <c r="B636" s="14" t="s">
        <v>3</v>
      </c>
      <c r="C636" s="127" t="s">
        <v>32</v>
      </c>
      <c r="D636" s="14" t="s">
        <v>22</v>
      </c>
      <c r="E636" s="129">
        <f>42158+(7*364+7)</f>
        <v>44713</v>
      </c>
      <c r="F636" s="15">
        <v>799.95</v>
      </c>
      <c r="G636" s="130">
        <v>10</v>
      </c>
      <c r="H636" s="123">
        <f t="shared" si="10"/>
        <v>7999.5</v>
      </c>
      <c r="I636" s="16"/>
      <c r="J636" s="16"/>
      <c r="K636"/>
      <c r="L636"/>
      <c r="M636" s="16"/>
      <c r="N636" s="16"/>
      <c r="O636"/>
      <c r="P636"/>
      <c r="Q636"/>
      <c r="R636"/>
      <c r="S636"/>
      <c r="T636"/>
      <c r="U636"/>
      <c r="V636"/>
      <c r="W636" s="17"/>
    </row>
    <row r="637" spans="1:23">
      <c r="A637" s="125" t="s">
        <v>16</v>
      </c>
      <c r="B637" s="14" t="s">
        <v>0</v>
      </c>
      <c r="C637" s="127" t="s">
        <v>29</v>
      </c>
      <c r="D637" s="14" t="s">
        <v>19</v>
      </c>
      <c r="E637" s="129">
        <f>41856+(7*364+7)</f>
        <v>44411</v>
      </c>
      <c r="F637" s="15">
        <v>168.95</v>
      </c>
      <c r="G637" s="130">
        <v>20</v>
      </c>
      <c r="H637" s="123">
        <f t="shared" si="10"/>
        <v>3379</v>
      </c>
      <c r="I637" s="16"/>
      <c r="J637" s="16"/>
      <c r="K637"/>
      <c r="L637"/>
      <c r="M637" s="16"/>
      <c r="N637" s="16"/>
      <c r="O637"/>
      <c r="P637"/>
      <c r="Q637"/>
      <c r="R637"/>
      <c r="S637"/>
      <c r="T637"/>
      <c r="U637"/>
      <c r="V637"/>
      <c r="W637" s="17"/>
    </row>
    <row r="638" spans="1:23">
      <c r="A638" s="125" t="s">
        <v>25</v>
      </c>
      <c r="B638" s="14" t="s">
        <v>3</v>
      </c>
      <c r="C638" s="127" t="s">
        <v>32</v>
      </c>
      <c r="D638" s="14" t="s">
        <v>23</v>
      </c>
      <c r="E638" s="129">
        <f>41751+(7*364+7)</f>
        <v>44306</v>
      </c>
      <c r="F638" s="15">
        <v>799.95</v>
      </c>
      <c r="G638" s="130">
        <v>8</v>
      </c>
      <c r="H638" s="123">
        <f t="shared" si="10"/>
        <v>6399.6</v>
      </c>
      <c r="I638" s="16"/>
      <c r="J638" s="16"/>
      <c r="K638"/>
      <c r="L638"/>
      <c r="M638" s="16"/>
      <c r="N638" s="16"/>
      <c r="O638"/>
      <c r="P638"/>
      <c r="Q638"/>
      <c r="R638"/>
      <c r="S638"/>
      <c r="T638"/>
      <c r="U638"/>
      <c r="V638"/>
      <c r="W638" s="17"/>
    </row>
    <row r="639" spans="1:23">
      <c r="A639" s="125" t="s">
        <v>28</v>
      </c>
      <c r="B639" s="14" t="s">
        <v>0</v>
      </c>
      <c r="C639" s="127" t="s">
        <v>32</v>
      </c>
      <c r="D639" s="14" t="s">
        <v>21</v>
      </c>
      <c r="E639" s="129">
        <f>42046+(7*364+7)</f>
        <v>44601</v>
      </c>
      <c r="F639" s="15">
        <v>168.95</v>
      </c>
      <c r="G639" s="130">
        <v>7</v>
      </c>
      <c r="H639" s="123">
        <f t="shared" si="10"/>
        <v>1182.6499999999999</v>
      </c>
      <c r="I639" s="16"/>
      <c r="J639" s="16"/>
      <c r="K639"/>
      <c r="L639"/>
      <c r="M639" s="16"/>
      <c r="N639" s="16"/>
      <c r="O639"/>
      <c r="P639"/>
      <c r="Q639"/>
      <c r="R639"/>
      <c r="S639"/>
      <c r="T639"/>
      <c r="U639"/>
      <c r="V639"/>
      <c r="W639" s="17"/>
    </row>
    <row r="640" spans="1:23">
      <c r="A640" s="125" t="s">
        <v>35</v>
      </c>
      <c r="B640" s="14" t="s">
        <v>0</v>
      </c>
      <c r="C640" s="127" t="s">
        <v>29</v>
      </c>
      <c r="D640" s="14" t="s">
        <v>21</v>
      </c>
      <c r="E640" s="129">
        <f>42192+(7*364+7)</f>
        <v>44747</v>
      </c>
      <c r="F640" s="15">
        <v>168.95</v>
      </c>
      <c r="G640" s="130">
        <v>3</v>
      </c>
      <c r="H640" s="123">
        <f t="shared" si="10"/>
        <v>506.84999999999997</v>
      </c>
      <c r="I640" s="16"/>
      <c r="J640" s="16"/>
      <c r="K640"/>
      <c r="L640"/>
      <c r="M640" s="16"/>
      <c r="N640" s="16"/>
      <c r="O640"/>
      <c r="P640"/>
      <c r="Q640"/>
      <c r="R640"/>
      <c r="S640"/>
      <c r="T640"/>
      <c r="U640"/>
      <c r="V640"/>
      <c r="W640" s="17"/>
    </row>
    <row r="641" spans="1:23">
      <c r="A641" s="125" t="s">
        <v>35</v>
      </c>
      <c r="B641" s="14" t="s">
        <v>3</v>
      </c>
      <c r="C641" s="127" t="s">
        <v>29</v>
      </c>
      <c r="D641" s="14" t="s">
        <v>23</v>
      </c>
      <c r="E641" s="129">
        <f>42213+(7*364+7)</f>
        <v>44768</v>
      </c>
      <c r="F641" s="15">
        <v>799.95</v>
      </c>
      <c r="G641" s="130">
        <v>10</v>
      </c>
      <c r="H641" s="123">
        <f t="shared" si="10"/>
        <v>7999.5</v>
      </c>
      <c r="I641" s="16"/>
      <c r="J641" s="16"/>
      <c r="K641"/>
      <c r="L641"/>
      <c r="M641" s="16"/>
      <c r="N641" s="16"/>
      <c r="O641"/>
      <c r="P641"/>
      <c r="Q641"/>
      <c r="R641"/>
      <c r="S641"/>
      <c r="T641"/>
      <c r="U641"/>
      <c r="V641"/>
      <c r="W641" s="17"/>
    </row>
    <row r="642" spans="1:23">
      <c r="A642" s="125" t="s">
        <v>28</v>
      </c>
      <c r="B642" s="14" t="s">
        <v>0</v>
      </c>
      <c r="C642" s="127" t="s">
        <v>32</v>
      </c>
      <c r="D642" s="14" t="s">
        <v>23</v>
      </c>
      <c r="E642" s="129">
        <f>41710+(7*364+7)</f>
        <v>44265</v>
      </c>
      <c r="F642" s="15">
        <v>168.95</v>
      </c>
      <c r="G642" s="130">
        <v>15</v>
      </c>
      <c r="H642" s="123">
        <f t="shared" si="10"/>
        <v>2534.25</v>
      </c>
      <c r="I642" s="16"/>
      <c r="J642" s="16"/>
      <c r="K642"/>
      <c r="L642"/>
      <c r="M642" s="16"/>
      <c r="N642" s="16"/>
      <c r="O642"/>
      <c r="P642"/>
      <c r="Q642"/>
      <c r="R642"/>
      <c r="S642"/>
      <c r="T642"/>
      <c r="U642"/>
      <c r="V642"/>
      <c r="W642" s="17"/>
    </row>
    <row r="643" spans="1:23">
      <c r="A643" s="125" t="s">
        <v>7</v>
      </c>
      <c r="B643" s="14" t="s">
        <v>1</v>
      </c>
      <c r="C643" s="127" t="s">
        <v>27</v>
      </c>
      <c r="D643" s="14" t="s">
        <v>22</v>
      </c>
      <c r="E643" s="129">
        <f>41802+(7*364+7)</f>
        <v>44357</v>
      </c>
      <c r="F643" s="15">
        <v>79.989999999999995</v>
      </c>
      <c r="G643" s="130">
        <v>14</v>
      </c>
      <c r="H643" s="123">
        <f t="shared" ref="H643:H706" si="11">F643*G643</f>
        <v>1119.8599999999999</v>
      </c>
      <c r="I643" s="16"/>
      <c r="J643" s="16"/>
      <c r="K643"/>
      <c r="L643"/>
      <c r="M643" s="16"/>
      <c r="N643" s="16"/>
      <c r="O643"/>
      <c r="P643"/>
      <c r="Q643"/>
      <c r="R643"/>
      <c r="S643"/>
      <c r="T643"/>
      <c r="U643"/>
      <c r="V643"/>
      <c r="W643" s="17"/>
    </row>
    <row r="644" spans="1:23">
      <c r="A644" s="125" t="s">
        <v>34</v>
      </c>
      <c r="B644" s="14" t="s">
        <v>4</v>
      </c>
      <c r="C644" s="127" t="s">
        <v>32</v>
      </c>
      <c r="D644" s="14" t="s">
        <v>21</v>
      </c>
      <c r="E644" s="129">
        <f>41707+(7*364+7)</f>
        <v>44262</v>
      </c>
      <c r="F644" s="15">
        <v>340.95</v>
      </c>
      <c r="G644" s="130">
        <v>1</v>
      </c>
      <c r="H644" s="123">
        <f t="shared" si="11"/>
        <v>340.95</v>
      </c>
      <c r="I644" s="16"/>
      <c r="J644" s="16"/>
      <c r="K644"/>
      <c r="L644"/>
      <c r="M644" s="16"/>
      <c r="N644" s="16"/>
      <c r="O644"/>
      <c r="P644"/>
      <c r="Q644"/>
      <c r="R644"/>
      <c r="S644"/>
      <c r="T644"/>
      <c r="U644"/>
      <c r="V644"/>
      <c r="W644" s="17"/>
    </row>
    <row r="645" spans="1:23">
      <c r="A645" s="125" t="s">
        <v>7</v>
      </c>
      <c r="B645" s="14" t="s">
        <v>2</v>
      </c>
      <c r="C645" s="127" t="s">
        <v>27</v>
      </c>
      <c r="D645" s="14" t="s">
        <v>23</v>
      </c>
      <c r="E645" s="129">
        <f>42312+(7*364+7)</f>
        <v>44867</v>
      </c>
      <c r="F645" s="15">
        <v>340.95</v>
      </c>
      <c r="G645" s="130">
        <v>11</v>
      </c>
      <c r="H645" s="123">
        <f t="shared" si="11"/>
        <v>3750.45</v>
      </c>
      <c r="I645" s="16"/>
      <c r="J645" s="16"/>
      <c r="K645"/>
      <c r="L645"/>
      <c r="M645" s="16"/>
      <c r="N645" s="16"/>
      <c r="O645"/>
      <c r="P645"/>
      <c r="Q645"/>
      <c r="R645"/>
      <c r="S645"/>
      <c r="T645"/>
      <c r="U645"/>
      <c r="V645"/>
      <c r="W645" s="17"/>
    </row>
    <row r="646" spans="1:23">
      <c r="A646" s="125" t="s">
        <v>7</v>
      </c>
      <c r="B646" s="14" t="s">
        <v>4</v>
      </c>
      <c r="C646" s="127" t="s">
        <v>27</v>
      </c>
      <c r="D646" s="14" t="s">
        <v>22</v>
      </c>
      <c r="E646" s="129">
        <f>42362+(7*364+7)</f>
        <v>44917</v>
      </c>
      <c r="F646" s="15">
        <v>340.95</v>
      </c>
      <c r="G646" s="130">
        <v>12</v>
      </c>
      <c r="H646" s="123">
        <f t="shared" si="11"/>
        <v>4091.3999999999996</v>
      </c>
      <c r="I646" s="16"/>
      <c r="J646" s="16"/>
      <c r="K646"/>
      <c r="L646"/>
      <c r="M646" s="16"/>
      <c r="N646" s="16"/>
      <c r="O646"/>
      <c r="P646"/>
      <c r="Q646"/>
      <c r="R646"/>
      <c r="S646"/>
      <c r="T646"/>
      <c r="U646"/>
      <c r="V646"/>
      <c r="W646" s="17"/>
    </row>
    <row r="647" spans="1:23">
      <c r="A647" s="125" t="s">
        <v>30</v>
      </c>
      <c r="B647" s="14" t="s">
        <v>1</v>
      </c>
      <c r="C647" s="127" t="s">
        <v>18</v>
      </c>
      <c r="D647" s="14" t="s">
        <v>23</v>
      </c>
      <c r="E647" s="129">
        <f>41829+(7*364+7)</f>
        <v>44384</v>
      </c>
      <c r="F647" s="15">
        <v>79.989999999999995</v>
      </c>
      <c r="G647" s="130">
        <v>12</v>
      </c>
      <c r="H647" s="123">
        <f t="shared" si="11"/>
        <v>959.87999999999988</v>
      </c>
      <c r="I647" s="16"/>
      <c r="J647" s="16"/>
      <c r="K647"/>
      <c r="L647"/>
      <c r="M647" s="16"/>
      <c r="N647" s="16"/>
      <c r="O647"/>
      <c r="P647"/>
      <c r="Q647"/>
      <c r="R647"/>
      <c r="S647"/>
      <c r="T647"/>
      <c r="U647"/>
      <c r="V647"/>
      <c r="W647" s="17"/>
    </row>
    <row r="648" spans="1:23">
      <c r="A648" s="125" t="s">
        <v>17</v>
      </c>
      <c r="B648" s="14" t="s">
        <v>4</v>
      </c>
      <c r="C648" s="127" t="s">
        <v>18</v>
      </c>
      <c r="D648" s="14" t="s">
        <v>19</v>
      </c>
      <c r="E648" s="129">
        <f>42304+(7*364+7)</f>
        <v>44859</v>
      </c>
      <c r="F648" s="15">
        <v>340.95</v>
      </c>
      <c r="G648" s="130">
        <v>16</v>
      </c>
      <c r="H648" s="123">
        <f t="shared" si="11"/>
        <v>5455.2</v>
      </c>
      <c r="I648" s="16"/>
      <c r="J648" s="16"/>
      <c r="K648"/>
      <c r="L648"/>
      <c r="M648" s="16"/>
      <c r="N648" s="16"/>
      <c r="O648"/>
      <c r="P648"/>
      <c r="Q648"/>
      <c r="R648"/>
      <c r="S648"/>
      <c r="T648"/>
      <c r="U648"/>
      <c r="V648"/>
      <c r="W648" s="17"/>
    </row>
    <row r="649" spans="1:23">
      <c r="A649" s="125" t="s">
        <v>6</v>
      </c>
      <c r="B649" s="14" t="s">
        <v>2</v>
      </c>
      <c r="C649" s="127" t="s">
        <v>29</v>
      </c>
      <c r="D649" s="14" t="s">
        <v>23</v>
      </c>
      <c r="E649" s="129">
        <f>42129+(7*364+7)</f>
        <v>44684</v>
      </c>
      <c r="F649" s="15">
        <v>340.95</v>
      </c>
      <c r="G649" s="130">
        <v>1</v>
      </c>
      <c r="H649" s="123">
        <f t="shared" si="11"/>
        <v>340.95</v>
      </c>
      <c r="I649" s="16"/>
      <c r="J649" s="16"/>
      <c r="K649"/>
      <c r="L649"/>
      <c r="M649" s="16"/>
      <c r="N649" s="16"/>
      <c r="O649"/>
      <c r="P649"/>
      <c r="Q649"/>
      <c r="R649"/>
      <c r="S649"/>
      <c r="T649"/>
      <c r="U649"/>
      <c r="V649"/>
      <c r="W649" s="17"/>
    </row>
    <row r="650" spans="1:23">
      <c r="A650" s="125" t="s">
        <v>17</v>
      </c>
      <c r="B650" s="14" t="s">
        <v>3</v>
      </c>
      <c r="C650" s="127" t="s">
        <v>18</v>
      </c>
      <c r="D650" s="14" t="s">
        <v>20</v>
      </c>
      <c r="E650" s="129">
        <f>42314+(7*364+7)</f>
        <v>44869</v>
      </c>
      <c r="F650" s="15">
        <v>799.95</v>
      </c>
      <c r="G650" s="130">
        <v>2</v>
      </c>
      <c r="H650" s="123">
        <f t="shared" si="11"/>
        <v>1599.9</v>
      </c>
      <c r="I650" s="16"/>
      <c r="J650" s="16"/>
      <c r="K650"/>
      <c r="L650"/>
      <c r="M650" s="16"/>
      <c r="N650" s="16"/>
      <c r="O650"/>
      <c r="P650"/>
      <c r="Q650"/>
      <c r="R650"/>
      <c r="S650"/>
      <c r="T650"/>
      <c r="U650"/>
      <c r="V650"/>
      <c r="W650" s="17"/>
    </row>
    <row r="651" spans="1:23">
      <c r="A651" s="125" t="s">
        <v>16</v>
      </c>
      <c r="B651" s="14" t="s">
        <v>1</v>
      </c>
      <c r="C651" s="127" t="s">
        <v>29</v>
      </c>
      <c r="D651" s="14" t="s">
        <v>19</v>
      </c>
      <c r="E651" s="129">
        <f>41951+(7*364+7)</f>
        <v>44506</v>
      </c>
      <c r="F651" s="15">
        <v>79.989999999999995</v>
      </c>
      <c r="G651" s="130">
        <v>9</v>
      </c>
      <c r="H651" s="123">
        <f t="shared" si="11"/>
        <v>719.91</v>
      </c>
      <c r="I651" s="16"/>
      <c r="J651" s="16"/>
      <c r="K651"/>
      <c r="L651"/>
      <c r="M651" s="16"/>
      <c r="N651" s="16"/>
      <c r="O651"/>
      <c r="P651"/>
      <c r="Q651"/>
      <c r="R651"/>
      <c r="S651"/>
      <c r="T651"/>
      <c r="U651"/>
      <c r="V651"/>
      <c r="W651" s="17"/>
    </row>
    <row r="652" spans="1:23">
      <c r="A652" s="125" t="s">
        <v>26</v>
      </c>
      <c r="B652" s="14" t="s">
        <v>1</v>
      </c>
      <c r="C652" s="127" t="s">
        <v>27</v>
      </c>
      <c r="D652" s="14" t="s">
        <v>23</v>
      </c>
      <c r="E652" s="129">
        <f>41675+(7*364+7)</f>
        <v>44230</v>
      </c>
      <c r="F652" s="15">
        <v>79.989999999999995</v>
      </c>
      <c r="G652" s="130">
        <v>10</v>
      </c>
      <c r="H652" s="123">
        <f t="shared" si="11"/>
        <v>799.9</v>
      </c>
      <c r="I652" s="16"/>
      <c r="J652" s="16"/>
      <c r="K652"/>
      <c r="L652"/>
      <c r="M652" s="16"/>
      <c r="N652" s="16"/>
      <c r="O652"/>
      <c r="P652"/>
      <c r="Q652"/>
      <c r="R652"/>
      <c r="S652"/>
      <c r="T652"/>
      <c r="U652"/>
      <c r="V652"/>
      <c r="W652" s="17"/>
    </row>
    <row r="653" spans="1:23">
      <c r="A653" s="125" t="s">
        <v>35</v>
      </c>
      <c r="B653" s="14" t="s">
        <v>0</v>
      </c>
      <c r="C653" s="127" t="s">
        <v>29</v>
      </c>
      <c r="D653" s="14" t="s">
        <v>23</v>
      </c>
      <c r="E653" s="129">
        <f>42098+(7*364+7)</f>
        <v>44653</v>
      </c>
      <c r="F653" s="15">
        <v>168.95</v>
      </c>
      <c r="G653" s="130">
        <v>15</v>
      </c>
      <c r="H653" s="123">
        <f t="shared" si="11"/>
        <v>2534.25</v>
      </c>
      <c r="I653" s="16"/>
      <c r="J653" s="16"/>
      <c r="K653"/>
      <c r="L653"/>
      <c r="M653" s="16"/>
      <c r="N653" s="16"/>
      <c r="O653"/>
      <c r="P653"/>
      <c r="Q653"/>
      <c r="R653"/>
      <c r="S653"/>
      <c r="T653"/>
      <c r="U653"/>
      <c r="V653"/>
      <c r="W653" s="17"/>
    </row>
    <row r="654" spans="1:23">
      <c r="A654" s="125" t="s">
        <v>31</v>
      </c>
      <c r="B654" s="14" t="s">
        <v>4</v>
      </c>
      <c r="C654" s="127" t="s">
        <v>32</v>
      </c>
      <c r="D654" s="14" t="s">
        <v>20</v>
      </c>
      <c r="E654" s="129">
        <f>42340+(7*364+7)</f>
        <v>44895</v>
      </c>
      <c r="F654" s="15">
        <v>340.95</v>
      </c>
      <c r="G654" s="130">
        <v>9</v>
      </c>
      <c r="H654" s="123">
        <f t="shared" si="11"/>
        <v>3068.5499999999997</v>
      </c>
      <c r="I654" s="16"/>
      <c r="J654" s="16"/>
      <c r="K654"/>
      <c r="L654"/>
      <c r="M654" s="16"/>
      <c r="N654" s="16"/>
      <c r="O654"/>
      <c r="P654"/>
      <c r="Q654"/>
      <c r="R654"/>
      <c r="S654"/>
      <c r="T654"/>
      <c r="U654"/>
      <c r="V654"/>
      <c r="W654" s="17"/>
    </row>
    <row r="655" spans="1:23">
      <c r="A655" s="125" t="s">
        <v>30</v>
      </c>
      <c r="B655" s="14" t="s">
        <v>2</v>
      </c>
      <c r="C655" s="127" t="s">
        <v>18</v>
      </c>
      <c r="D655" s="14" t="s">
        <v>20</v>
      </c>
      <c r="E655" s="129">
        <f>41990+(7*364+7)</f>
        <v>44545</v>
      </c>
      <c r="F655" s="15">
        <v>340.95</v>
      </c>
      <c r="G655" s="130">
        <v>9</v>
      </c>
      <c r="H655" s="123">
        <f t="shared" si="11"/>
        <v>3068.5499999999997</v>
      </c>
      <c r="I655" s="16"/>
      <c r="J655" s="16"/>
      <c r="K655"/>
      <c r="L655"/>
      <c r="M655" s="16"/>
      <c r="N655" s="16"/>
      <c r="O655"/>
      <c r="P655"/>
      <c r="Q655"/>
      <c r="R655"/>
      <c r="S655"/>
      <c r="T655"/>
      <c r="U655"/>
      <c r="V655"/>
      <c r="W655" s="17"/>
    </row>
    <row r="656" spans="1:23">
      <c r="A656" s="125" t="s">
        <v>28</v>
      </c>
      <c r="B656" s="14" t="s">
        <v>4</v>
      </c>
      <c r="C656" s="127" t="s">
        <v>32</v>
      </c>
      <c r="D656" s="14" t="s">
        <v>21</v>
      </c>
      <c r="E656" s="129">
        <f>41725+(7*364+7)</f>
        <v>44280</v>
      </c>
      <c r="F656" s="15">
        <v>340.95</v>
      </c>
      <c r="G656" s="130">
        <v>6</v>
      </c>
      <c r="H656" s="123">
        <f t="shared" si="11"/>
        <v>2045.6999999999998</v>
      </c>
      <c r="I656" s="16"/>
      <c r="J656" s="16"/>
      <c r="K656"/>
      <c r="L656"/>
      <c r="M656" s="16"/>
      <c r="N656" s="16"/>
      <c r="O656"/>
      <c r="P656"/>
      <c r="Q656"/>
      <c r="R656"/>
      <c r="S656"/>
      <c r="T656"/>
      <c r="U656"/>
      <c r="V656"/>
      <c r="W656" s="17"/>
    </row>
    <row r="657" spans="1:23">
      <c r="A657" s="125" t="s">
        <v>17</v>
      </c>
      <c r="B657" s="14" t="s">
        <v>2</v>
      </c>
      <c r="C657" s="127" t="s">
        <v>18</v>
      </c>
      <c r="D657" s="14" t="s">
        <v>20</v>
      </c>
      <c r="E657" s="129">
        <f>42342+(7*364+7)</f>
        <v>44897</v>
      </c>
      <c r="F657" s="15">
        <v>340.95</v>
      </c>
      <c r="G657" s="130">
        <v>9</v>
      </c>
      <c r="H657" s="123">
        <f t="shared" si="11"/>
        <v>3068.5499999999997</v>
      </c>
      <c r="I657" s="16"/>
      <c r="J657" s="16"/>
      <c r="K657"/>
      <c r="L657"/>
      <c r="M657" s="16"/>
      <c r="N657" s="16"/>
      <c r="O657"/>
      <c r="P657"/>
      <c r="Q657"/>
      <c r="R657"/>
      <c r="S657"/>
      <c r="T657"/>
      <c r="U657"/>
      <c r="V657"/>
      <c r="W657" s="17"/>
    </row>
    <row r="658" spans="1:23">
      <c r="A658" s="125" t="s">
        <v>7</v>
      </c>
      <c r="B658" s="14" t="s">
        <v>2</v>
      </c>
      <c r="C658" s="127" t="s">
        <v>27</v>
      </c>
      <c r="D658" s="14" t="s">
        <v>22</v>
      </c>
      <c r="E658" s="129">
        <f>42032+(7*364+7)</f>
        <v>44587</v>
      </c>
      <c r="F658" s="15">
        <v>340.95</v>
      </c>
      <c r="G658" s="130">
        <v>15</v>
      </c>
      <c r="H658" s="123">
        <f t="shared" si="11"/>
        <v>5114.25</v>
      </c>
      <c r="I658" s="16"/>
      <c r="J658" s="16"/>
      <c r="K658"/>
      <c r="L658"/>
      <c r="M658" s="16"/>
      <c r="N658" s="16"/>
      <c r="O658"/>
      <c r="P658"/>
      <c r="Q658"/>
      <c r="R658"/>
      <c r="S658"/>
      <c r="T658"/>
      <c r="U658"/>
      <c r="V658"/>
      <c r="W658" s="17"/>
    </row>
    <row r="659" spans="1:23">
      <c r="A659" s="125" t="s">
        <v>16</v>
      </c>
      <c r="B659" s="14" t="s">
        <v>3</v>
      </c>
      <c r="C659" s="127" t="s">
        <v>29</v>
      </c>
      <c r="D659" s="14" t="s">
        <v>19</v>
      </c>
      <c r="E659" s="129">
        <f>42124+(7*364+7)</f>
        <v>44679</v>
      </c>
      <c r="F659" s="15">
        <v>799.95</v>
      </c>
      <c r="G659" s="130">
        <v>11</v>
      </c>
      <c r="H659" s="123">
        <f t="shared" si="11"/>
        <v>8799.4500000000007</v>
      </c>
      <c r="I659" s="16"/>
      <c r="J659" s="16"/>
      <c r="K659"/>
      <c r="L659"/>
      <c r="M659" s="16"/>
      <c r="N659" s="16"/>
      <c r="O659"/>
      <c r="P659"/>
      <c r="Q659"/>
      <c r="R659"/>
      <c r="S659"/>
      <c r="T659"/>
      <c r="U659"/>
      <c r="V659"/>
      <c r="W659" s="17"/>
    </row>
    <row r="660" spans="1:23">
      <c r="A660" s="125" t="s">
        <v>17</v>
      </c>
      <c r="B660" s="14" t="s">
        <v>2</v>
      </c>
      <c r="C660" s="127" t="s">
        <v>18</v>
      </c>
      <c r="D660" s="14" t="s">
        <v>19</v>
      </c>
      <c r="E660" s="129">
        <f>41676+(7*364+7)</f>
        <v>44231</v>
      </c>
      <c r="F660" s="15">
        <v>340.95</v>
      </c>
      <c r="G660" s="130">
        <v>15</v>
      </c>
      <c r="H660" s="123">
        <f t="shared" si="11"/>
        <v>5114.25</v>
      </c>
      <c r="I660" s="16"/>
      <c r="J660" s="16"/>
      <c r="K660"/>
      <c r="L660"/>
      <c r="M660" s="16"/>
      <c r="N660" s="16"/>
      <c r="O660"/>
      <c r="P660"/>
      <c r="Q660"/>
      <c r="R660"/>
      <c r="S660"/>
      <c r="T660"/>
      <c r="U660"/>
      <c r="V660"/>
      <c r="W660" s="17"/>
    </row>
    <row r="661" spans="1:23">
      <c r="A661" s="125" t="s">
        <v>7</v>
      </c>
      <c r="B661" s="14" t="s">
        <v>3</v>
      </c>
      <c r="C661" s="127" t="s">
        <v>27</v>
      </c>
      <c r="D661" s="14" t="s">
        <v>21</v>
      </c>
      <c r="E661" s="129">
        <f>41818+(7*364+7)</f>
        <v>44373</v>
      </c>
      <c r="F661" s="15">
        <v>799.95</v>
      </c>
      <c r="G661" s="130">
        <v>14</v>
      </c>
      <c r="H661" s="123">
        <f t="shared" si="11"/>
        <v>11199.300000000001</v>
      </c>
      <c r="I661" s="16"/>
      <c r="J661" s="16"/>
      <c r="K661"/>
      <c r="L661"/>
      <c r="M661" s="16"/>
      <c r="N661" s="16"/>
      <c r="O661"/>
      <c r="P661"/>
      <c r="Q661"/>
      <c r="R661"/>
      <c r="S661"/>
      <c r="T661"/>
      <c r="U661"/>
      <c r="V661"/>
      <c r="W661" s="17"/>
    </row>
    <row r="662" spans="1:23">
      <c r="A662" s="125" t="s">
        <v>7</v>
      </c>
      <c r="B662" s="14" t="s">
        <v>3</v>
      </c>
      <c r="C662" s="127" t="s">
        <v>27</v>
      </c>
      <c r="D662" s="14" t="s">
        <v>20</v>
      </c>
      <c r="E662" s="129">
        <f>42349+(7*364+7)</f>
        <v>44904</v>
      </c>
      <c r="F662" s="15">
        <v>799.95</v>
      </c>
      <c r="G662" s="130">
        <v>14</v>
      </c>
      <c r="H662" s="123">
        <f t="shared" si="11"/>
        <v>11199.300000000001</v>
      </c>
      <c r="I662" s="16"/>
      <c r="J662" s="16"/>
      <c r="K662"/>
      <c r="L662"/>
      <c r="M662" s="16"/>
      <c r="N662" s="16"/>
      <c r="O662"/>
      <c r="P662"/>
      <c r="Q662"/>
      <c r="R662"/>
      <c r="S662"/>
      <c r="T662"/>
      <c r="U662"/>
      <c r="V662"/>
      <c r="W662" s="17"/>
    </row>
    <row r="663" spans="1:23">
      <c r="A663" s="125" t="s">
        <v>16</v>
      </c>
      <c r="B663" s="14" t="s">
        <v>4</v>
      </c>
      <c r="C663" s="127" t="s">
        <v>29</v>
      </c>
      <c r="D663" s="14" t="s">
        <v>19</v>
      </c>
      <c r="E663" s="129">
        <f>42000+(7*364+7)</f>
        <v>44555</v>
      </c>
      <c r="F663" s="15">
        <v>340.95</v>
      </c>
      <c r="G663" s="130">
        <v>16</v>
      </c>
      <c r="H663" s="123">
        <f t="shared" si="11"/>
        <v>5455.2</v>
      </c>
      <c r="I663" s="16"/>
      <c r="J663" s="16"/>
      <c r="K663"/>
      <c r="L663"/>
      <c r="M663" s="16"/>
      <c r="N663" s="16"/>
      <c r="O663"/>
      <c r="P663"/>
      <c r="Q663"/>
      <c r="R663"/>
      <c r="S663"/>
      <c r="T663"/>
      <c r="U663"/>
      <c r="V663"/>
      <c r="W663" s="17"/>
    </row>
    <row r="664" spans="1:23">
      <c r="A664" s="125" t="s">
        <v>6</v>
      </c>
      <c r="B664" s="14" t="s">
        <v>2</v>
      </c>
      <c r="C664" s="127" t="s">
        <v>29</v>
      </c>
      <c r="D664" s="14" t="s">
        <v>22</v>
      </c>
      <c r="E664" s="129">
        <f>42006+(7*364+7)</f>
        <v>44561</v>
      </c>
      <c r="F664" s="15">
        <v>340.95</v>
      </c>
      <c r="G664" s="130">
        <v>4</v>
      </c>
      <c r="H664" s="123">
        <f t="shared" si="11"/>
        <v>1363.8</v>
      </c>
      <c r="I664" s="16"/>
      <c r="J664" s="16"/>
      <c r="K664"/>
      <c r="L664"/>
      <c r="M664" s="16"/>
      <c r="N664" s="16"/>
      <c r="O664"/>
      <c r="P664"/>
      <c r="Q664"/>
      <c r="R664"/>
      <c r="S664"/>
      <c r="T664"/>
      <c r="U664"/>
      <c r="V664"/>
      <c r="W664" s="17"/>
    </row>
    <row r="665" spans="1:23">
      <c r="A665" s="125" t="s">
        <v>6</v>
      </c>
      <c r="B665" s="14" t="s">
        <v>3</v>
      </c>
      <c r="C665" s="127" t="s">
        <v>18</v>
      </c>
      <c r="D665" s="14" t="s">
        <v>22</v>
      </c>
      <c r="E665" s="129">
        <f>42042+(7*364+7)</f>
        <v>44597</v>
      </c>
      <c r="F665" s="15">
        <v>799.95</v>
      </c>
      <c r="G665" s="130">
        <v>6</v>
      </c>
      <c r="H665" s="123">
        <f t="shared" si="11"/>
        <v>4799.7000000000007</v>
      </c>
      <c r="I665" s="16"/>
      <c r="J665" s="16"/>
      <c r="K665"/>
      <c r="L665"/>
      <c r="M665" s="16"/>
      <c r="N665" s="16"/>
      <c r="O665"/>
      <c r="P665"/>
      <c r="Q665"/>
      <c r="R665"/>
      <c r="S665"/>
      <c r="T665"/>
      <c r="U665"/>
      <c r="V665"/>
      <c r="W665" s="17"/>
    </row>
    <row r="666" spans="1:23">
      <c r="A666" s="125" t="s">
        <v>35</v>
      </c>
      <c r="B666" s="14" t="s">
        <v>1</v>
      </c>
      <c r="C666" s="127" t="s">
        <v>29</v>
      </c>
      <c r="D666" s="14" t="s">
        <v>22</v>
      </c>
      <c r="E666" s="129">
        <f>42305+(7*364+7)</f>
        <v>44860</v>
      </c>
      <c r="F666" s="15">
        <v>79.989999999999995</v>
      </c>
      <c r="G666" s="130">
        <v>8</v>
      </c>
      <c r="H666" s="123">
        <f t="shared" si="11"/>
        <v>639.91999999999996</v>
      </c>
      <c r="I666" s="16"/>
      <c r="J666" s="16"/>
      <c r="K666"/>
      <c r="L666"/>
      <c r="M666" s="16"/>
      <c r="N666" s="16"/>
      <c r="O666"/>
      <c r="P666"/>
      <c r="Q666"/>
      <c r="R666"/>
      <c r="S666"/>
      <c r="T666"/>
      <c r="U666"/>
      <c r="V666"/>
      <c r="W666" s="17"/>
    </row>
    <row r="667" spans="1:23">
      <c r="A667" s="125" t="s">
        <v>35</v>
      </c>
      <c r="B667" s="14" t="s">
        <v>4</v>
      </c>
      <c r="C667" s="127" t="s">
        <v>29</v>
      </c>
      <c r="D667" s="14" t="s">
        <v>22</v>
      </c>
      <c r="E667" s="129">
        <f>41920+(7*364+7)</f>
        <v>44475</v>
      </c>
      <c r="F667" s="15">
        <v>340.95</v>
      </c>
      <c r="G667" s="130">
        <v>1</v>
      </c>
      <c r="H667" s="123">
        <f t="shared" si="11"/>
        <v>340.95</v>
      </c>
      <c r="I667" s="16"/>
      <c r="J667" s="16"/>
      <c r="K667"/>
      <c r="L667"/>
      <c r="M667" s="16"/>
      <c r="N667" s="16"/>
      <c r="O667"/>
      <c r="P667"/>
      <c r="Q667"/>
      <c r="R667"/>
      <c r="S667"/>
      <c r="T667"/>
      <c r="U667"/>
      <c r="V667"/>
      <c r="W667" s="17"/>
    </row>
    <row r="668" spans="1:23">
      <c r="A668" s="125" t="s">
        <v>6</v>
      </c>
      <c r="B668" s="14" t="s">
        <v>3</v>
      </c>
      <c r="C668" s="127" t="s">
        <v>18</v>
      </c>
      <c r="D668" s="14" t="s">
        <v>19</v>
      </c>
      <c r="E668" s="129">
        <f>42078+(7*364+7)</f>
        <v>44633</v>
      </c>
      <c r="F668" s="15">
        <v>799.95</v>
      </c>
      <c r="G668" s="130">
        <v>8</v>
      </c>
      <c r="H668" s="123">
        <f t="shared" si="11"/>
        <v>6399.6</v>
      </c>
      <c r="I668" s="16"/>
      <c r="J668" s="16"/>
      <c r="K668"/>
      <c r="L668"/>
      <c r="M668" s="16"/>
      <c r="N668" s="16"/>
      <c r="O668"/>
      <c r="P668"/>
      <c r="Q668"/>
      <c r="R668"/>
      <c r="S668"/>
      <c r="T668"/>
      <c r="U668"/>
      <c r="V668"/>
      <c r="W668" s="17"/>
    </row>
    <row r="669" spans="1:23">
      <c r="A669" s="125" t="s">
        <v>33</v>
      </c>
      <c r="B669" s="14" t="s">
        <v>1</v>
      </c>
      <c r="C669" s="127" t="s">
        <v>18</v>
      </c>
      <c r="D669" s="14" t="s">
        <v>22</v>
      </c>
      <c r="E669" s="129">
        <f>41815+(7*364+7)</f>
        <v>44370</v>
      </c>
      <c r="F669" s="15">
        <v>79.989999999999995</v>
      </c>
      <c r="G669" s="130">
        <v>10</v>
      </c>
      <c r="H669" s="123">
        <f t="shared" si="11"/>
        <v>799.9</v>
      </c>
      <c r="I669" s="16"/>
      <c r="J669" s="16"/>
      <c r="K669"/>
      <c r="L669"/>
      <c r="M669" s="16"/>
      <c r="N669" s="16"/>
      <c r="O669"/>
      <c r="P669"/>
      <c r="Q669"/>
      <c r="R669"/>
      <c r="S669"/>
      <c r="T669"/>
      <c r="U669"/>
      <c r="V669"/>
      <c r="W669" s="17"/>
    </row>
    <row r="670" spans="1:23">
      <c r="A670" s="125" t="s">
        <v>30</v>
      </c>
      <c r="B670" s="14" t="s">
        <v>2</v>
      </c>
      <c r="C670" s="127" t="s">
        <v>18</v>
      </c>
      <c r="D670" s="14" t="s">
        <v>23</v>
      </c>
      <c r="E670" s="129">
        <f>41920+(7*364+7)</f>
        <v>44475</v>
      </c>
      <c r="F670" s="15">
        <v>340.95</v>
      </c>
      <c r="G670" s="130">
        <v>15</v>
      </c>
      <c r="H670" s="123">
        <f t="shared" si="11"/>
        <v>5114.25</v>
      </c>
      <c r="I670" s="16"/>
      <c r="J670" s="16"/>
      <c r="K670"/>
      <c r="L670"/>
      <c r="M670" s="16"/>
      <c r="N670" s="16"/>
      <c r="O670"/>
      <c r="P670"/>
      <c r="Q670"/>
      <c r="R670"/>
      <c r="S670"/>
      <c r="T670"/>
      <c r="U670"/>
      <c r="V670"/>
      <c r="W670" s="17"/>
    </row>
    <row r="671" spans="1:23">
      <c r="A671" s="125" t="s">
        <v>30</v>
      </c>
      <c r="B671" s="14" t="s">
        <v>4</v>
      </c>
      <c r="C671" s="127" t="s">
        <v>18</v>
      </c>
      <c r="D671" s="14" t="s">
        <v>21</v>
      </c>
      <c r="E671" s="129">
        <f>41920+(7*364+7)</f>
        <v>44475</v>
      </c>
      <c r="F671" s="15">
        <v>340.95</v>
      </c>
      <c r="G671" s="130">
        <v>6</v>
      </c>
      <c r="H671" s="123">
        <f t="shared" si="11"/>
        <v>2045.6999999999998</v>
      </c>
      <c r="I671" s="16"/>
      <c r="J671" s="16"/>
      <c r="K671"/>
      <c r="L671"/>
      <c r="M671" s="16"/>
      <c r="N671" s="16"/>
      <c r="O671"/>
      <c r="P671"/>
      <c r="Q671"/>
      <c r="R671"/>
      <c r="S671"/>
      <c r="T671"/>
      <c r="U671"/>
      <c r="V671"/>
      <c r="W671" s="17"/>
    </row>
    <row r="672" spans="1:23">
      <c r="A672" s="125" t="s">
        <v>33</v>
      </c>
      <c r="B672" s="14" t="s">
        <v>3</v>
      </c>
      <c r="C672" s="127" t="s">
        <v>18</v>
      </c>
      <c r="D672" s="14" t="s">
        <v>19</v>
      </c>
      <c r="E672" s="129">
        <f>41655+(7*364+7)</f>
        <v>44210</v>
      </c>
      <c r="F672" s="15">
        <v>799.95</v>
      </c>
      <c r="G672" s="130">
        <v>6</v>
      </c>
      <c r="H672" s="123">
        <f t="shared" si="11"/>
        <v>4799.7000000000007</v>
      </c>
      <c r="I672" s="16"/>
      <c r="J672" s="16"/>
      <c r="K672"/>
      <c r="L672"/>
      <c r="M672" s="16"/>
      <c r="N672" s="16"/>
      <c r="O672"/>
      <c r="P672"/>
      <c r="Q672"/>
      <c r="R672"/>
      <c r="S672"/>
      <c r="T672"/>
      <c r="U672"/>
      <c r="V672"/>
      <c r="W672" s="17"/>
    </row>
    <row r="673" spans="1:23">
      <c r="A673" s="125" t="s">
        <v>28</v>
      </c>
      <c r="B673" s="14" t="s">
        <v>2</v>
      </c>
      <c r="C673" s="127" t="s">
        <v>32</v>
      </c>
      <c r="D673" s="14" t="s">
        <v>21</v>
      </c>
      <c r="E673" s="129">
        <f>41818+(7*364+7)</f>
        <v>44373</v>
      </c>
      <c r="F673" s="15">
        <v>340.95</v>
      </c>
      <c r="G673" s="130">
        <v>4</v>
      </c>
      <c r="H673" s="123">
        <f t="shared" si="11"/>
        <v>1363.8</v>
      </c>
      <c r="I673" s="16"/>
      <c r="J673" s="16"/>
      <c r="K673"/>
      <c r="L673"/>
      <c r="M673" s="16"/>
      <c r="N673" s="16"/>
      <c r="O673"/>
      <c r="P673"/>
      <c r="Q673"/>
      <c r="R673"/>
      <c r="S673"/>
      <c r="T673"/>
      <c r="U673"/>
      <c r="V673"/>
      <c r="W673" s="17"/>
    </row>
    <row r="674" spans="1:23">
      <c r="A674" s="125" t="s">
        <v>33</v>
      </c>
      <c r="B674" s="14" t="s">
        <v>0</v>
      </c>
      <c r="C674" s="127" t="s">
        <v>18</v>
      </c>
      <c r="D674" s="14" t="s">
        <v>22</v>
      </c>
      <c r="E674" s="129">
        <f>41738+(7*364+7)</f>
        <v>44293</v>
      </c>
      <c r="F674" s="15">
        <v>168.95</v>
      </c>
      <c r="G674" s="130">
        <v>13</v>
      </c>
      <c r="H674" s="123">
        <f t="shared" si="11"/>
        <v>2196.35</v>
      </c>
      <c r="I674" s="16"/>
      <c r="J674" s="16"/>
      <c r="K674"/>
      <c r="L674"/>
      <c r="M674" s="16"/>
      <c r="N674" s="16"/>
      <c r="O674"/>
      <c r="P674"/>
      <c r="Q674"/>
      <c r="R674"/>
      <c r="S674"/>
      <c r="T674"/>
      <c r="U674"/>
      <c r="V674"/>
      <c r="W674" s="17"/>
    </row>
    <row r="675" spans="1:23">
      <c r="A675" s="125" t="s">
        <v>33</v>
      </c>
      <c r="B675" s="14" t="s">
        <v>1</v>
      </c>
      <c r="C675" s="127" t="s">
        <v>18</v>
      </c>
      <c r="D675" s="14" t="s">
        <v>19</v>
      </c>
      <c r="E675" s="129">
        <f>41982+(7*364+7)</f>
        <v>44537</v>
      </c>
      <c r="F675" s="15">
        <v>79.989999999999995</v>
      </c>
      <c r="G675" s="130">
        <v>13</v>
      </c>
      <c r="H675" s="123">
        <f t="shared" si="11"/>
        <v>1039.8699999999999</v>
      </c>
      <c r="I675" s="16"/>
      <c r="J675" s="16"/>
      <c r="K675"/>
      <c r="L675"/>
      <c r="M675" s="16"/>
      <c r="N675" s="16"/>
      <c r="O675"/>
      <c r="P675"/>
      <c r="Q675"/>
      <c r="R675"/>
      <c r="S675"/>
      <c r="T675"/>
      <c r="U675"/>
      <c r="V675"/>
      <c r="W675" s="17"/>
    </row>
    <row r="676" spans="1:23">
      <c r="A676" s="125" t="s">
        <v>25</v>
      </c>
      <c r="B676" s="14" t="s">
        <v>2</v>
      </c>
      <c r="C676" s="127" t="s">
        <v>32</v>
      </c>
      <c r="D676" s="14" t="s">
        <v>22</v>
      </c>
      <c r="E676" s="129">
        <f>41693+(7*364+7)</f>
        <v>44248</v>
      </c>
      <c r="F676" s="15">
        <v>340.95</v>
      </c>
      <c r="G676" s="130">
        <v>12</v>
      </c>
      <c r="H676" s="123">
        <f t="shared" si="11"/>
        <v>4091.3999999999996</v>
      </c>
      <c r="I676" s="16"/>
      <c r="J676" s="16"/>
      <c r="K676"/>
      <c r="L676"/>
      <c r="M676" s="16"/>
      <c r="N676" s="16"/>
      <c r="O676"/>
      <c r="P676"/>
      <c r="Q676"/>
      <c r="R676"/>
      <c r="S676"/>
      <c r="T676"/>
      <c r="U676"/>
      <c r="V676"/>
      <c r="W676" s="17"/>
    </row>
    <row r="677" spans="1:23">
      <c r="A677" s="125" t="s">
        <v>17</v>
      </c>
      <c r="B677" s="14" t="s">
        <v>2</v>
      </c>
      <c r="C677" s="127" t="s">
        <v>18</v>
      </c>
      <c r="D677" s="14" t="s">
        <v>19</v>
      </c>
      <c r="E677" s="129">
        <f>41965+(7*364+7)</f>
        <v>44520</v>
      </c>
      <c r="F677" s="15">
        <v>340.95</v>
      </c>
      <c r="G677" s="130">
        <v>8</v>
      </c>
      <c r="H677" s="123">
        <f t="shared" si="11"/>
        <v>2727.6</v>
      </c>
      <c r="I677" s="16"/>
      <c r="J677" s="16"/>
      <c r="K677"/>
      <c r="L677"/>
      <c r="M677" s="16"/>
      <c r="N677" s="16"/>
      <c r="O677"/>
      <c r="P677"/>
      <c r="Q677"/>
      <c r="R677"/>
      <c r="S677"/>
      <c r="T677"/>
      <c r="U677"/>
      <c r="V677"/>
      <c r="W677" s="17"/>
    </row>
    <row r="678" spans="1:23">
      <c r="A678" s="125" t="s">
        <v>28</v>
      </c>
      <c r="B678" s="14" t="s">
        <v>4</v>
      </c>
      <c r="C678" s="127" t="s">
        <v>32</v>
      </c>
      <c r="D678" s="14" t="s">
        <v>19</v>
      </c>
      <c r="E678" s="129">
        <f>41966+(7*364+7)</f>
        <v>44521</v>
      </c>
      <c r="F678" s="15">
        <v>340.95</v>
      </c>
      <c r="G678" s="130">
        <v>14</v>
      </c>
      <c r="H678" s="123">
        <f t="shared" si="11"/>
        <v>4773.3</v>
      </c>
      <c r="I678" s="16"/>
      <c r="J678" s="16"/>
      <c r="K678"/>
      <c r="L678"/>
      <c r="M678" s="16"/>
      <c r="N678" s="16"/>
      <c r="O678"/>
      <c r="P678"/>
      <c r="Q678"/>
      <c r="R678"/>
      <c r="S678"/>
      <c r="T678"/>
      <c r="U678"/>
      <c r="V678"/>
      <c r="W678" s="17"/>
    </row>
    <row r="679" spans="1:23">
      <c r="A679" s="125" t="s">
        <v>26</v>
      </c>
      <c r="B679" s="14" t="s">
        <v>4</v>
      </c>
      <c r="C679" s="127" t="s">
        <v>27</v>
      </c>
      <c r="D679" s="14" t="s">
        <v>21</v>
      </c>
      <c r="E679" s="129">
        <f>42256+(7*364+7)</f>
        <v>44811</v>
      </c>
      <c r="F679" s="15">
        <v>340.95</v>
      </c>
      <c r="G679" s="130">
        <v>8</v>
      </c>
      <c r="H679" s="123">
        <f t="shared" si="11"/>
        <v>2727.6</v>
      </c>
      <c r="I679" s="16"/>
      <c r="J679" s="16"/>
      <c r="K679"/>
      <c r="L679"/>
      <c r="M679" s="16"/>
      <c r="N679" s="16"/>
      <c r="O679"/>
      <c r="P679"/>
      <c r="Q679"/>
      <c r="R679"/>
      <c r="S679"/>
      <c r="T679"/>
      <c r="U679"/>
      <c r="V679"/>
      <c r="W679" s="17"/>
    </row>
    <row r="680" spans="1:23">
      <c r="A680" s="125" t="s">
        <v>17</v>
      </c>
      <c r="B680" s="14" t="s">
        <v>3</v>
      </c>
      <c r="C680" s="127" t="s">
        <v>18</v>
      </c>
      <c r="D680" s="14" t="s">
        <v>20</v>
      </c>
      <c r="E680" s="129">
        <f>42174+(7*364+7)</f>
        <v>44729</v>
      </c>
      <c r="F680" s="15">
        <v>799.95</v>
      </c>
      <c r="G680" s="130">
        <v>1</v>
      </c>
      <c r="H680" s="123">
        <f t="shared" si="11"/>
        <v>799.95</v>
      </c>
      <c r="I680" s="16"/>
      <c r="J680" s="16"/>
      <c r="K680"/>
      <c r="L680"/>
      <c r="M680" s="16"/>
      <c r="N680" s="16"/>
      <c r="O680"/>
      <c r="P680"/>
      <c r="Q680"/>
      <c r="R680"/>
      <c r="S680"/>
      <c r="T680"/>
      <c r="U680"/>
      <c r="V680"/>
      <c r="W680" s="17"/>
    </row>
    <row r="681" spans="1:23">
      <c r="A681" s="125" t="s">
        <v>6</v>
      </c>
      <c r="B681" s="14" t="s">
        <v>2</v>
      </c>
      <c r="C681" s="127" t="s">
        <v>29</v>
      </c>
      <c r="D681" s="14" t="s">
        <v>21</v>
      </c>
      <c r="E681" s="129">
        <f>42130+(7*364+7)</f>
        <v>44685</v>
      </c>
      <c r="F681" s="15">
        <v>340.95</v>
      </c>
      <c r="G681" s="130">
        <v>9</v>
      </c>
      <c r="H681" s="123">
        <f t="shared" si="11"/>
        <v>3068.5499999999997</v>
      </c>
      <c r="I681" s="16"/>
      <c r="J681" s="16"/>
      <c r="K681"/>
      <c r="L681"/>
      <c r="M681" s="16"/>
      <c r="N681" s="16"/>
      <c r="O681"/>
      <c r="P681"/>
      <c r="Q681"/>
      <c r="R681"/>
      <c r="S681"/>
      <c r="T681"/>
      <c r="U681"/>
      <c r="V681"/>
      <c r="W681" s="17"/>
    </row>
    <row r="682" spans="1:23">
      <c r="A682" s="125" t="s">
        <v>34</v>
      </c>
      <c r="B682" s="14" t="s">
        <v>1</v>
      </c>
      <c r="C682" s="127" t="s">
        <v>32</v>
      </c>
      <c r="D682" s="14" t="s">
        <v>21</v>
      </c>
      <c r="E682" s="129">
        <f>42342+(7*364+7)</f>
        <v>44897</v>
      </c>
      <c r="F682" s="15">
        <v>79.989999999999995</v>
      </c>
      <c r="G682" s="130">
        <v>5</v>
      </c>
      <c r="H682" s="123">
        <f t="shared" si="11"/>
        <v>399.95</v>
      </c>
      <c r="I682" s="16"/>
      <c r="J682" s="16"/>
      <c r="K682"/>
      <c r="L682"/>
      <c r="M682" s="16"/>
      <c r="N682" s="16"/>
      <c r="O682"/>
      <c r="P682"/>
      <c r="Q682"/>
      <c r="R682"/>
      <c r="S682"/>
      <c r="T682"/>
      <c r="U682"/>
      <c r="V682"/>
      <c r="W682" s="17"/>
    </row>
    <row r="683" spans="1:23">
      <c r="A683" s="125" t="s">
        <v>25</v>
      </c>
      <c r="B683" s="14" t="s">
        <v>1</v>
      </c>
      <c r="C683" s="127" t="s">
        <v>32</v>
      </c>
      <c r="D683" s="14" t="s">
        <v>22</v>
      </c>
      <c r="E683" s="129">
        <f>42130+(7*364+7)</f>
        <v>44685</v>
      </c>
      <c r="F683" s="15">
        <v>79.989999999999995</v>
      </c>
      <c r="G683" s="130">
        <v>11</v>
      </c>
      <c r="H683" s="123">
        <f t="shared" si="11"/>
        <v>879.89</v>
      </c>
      <c r="I683" s="16"/>
      <c r="J683" s="16"/>
      <c r="K683"/>
      <c r="L683"/>
      <c r="M683" s="16"/>
      <c r="N683" s="16"/>
      <c r="O683"/>
      <c r="P683"/>
      <c r="Q683"/>
      <c r="R683"/>
      <c r="S683"/>
      <c r="T683"/>
      <c r="U683"/>
      <c r="V683"/>
      <c r="W683" s="17"/>
    </row>
    <row r="684" spans="1:23">
      <c r="A684" s="125" t="s">
        <v>35</v>
      </c>
      <c r="B684" s="14" t="s">
        <v>4</v>
      </c>
      <c r="C684" s="127" t="s">
        <v>29</v>
      </c>
      <c r="D684" s="14" t="s">
        <v>23</v>
      </c>
      <c r="E684" s="129">
        <f>42203+(7*364+7)</f>
        <v>44758</v>
      </c>
      <c r="F684" s="15">
        <v>340.95</v>
      </c>
      <c r="G684" s="130">
        <v>5</v>
      </c>
      <c r="H684" s="123">
        <f t="shared" si="11"/>
        <v>1704.75</v>
      </c>
      <c r="I684" s="16"/>
      <c r="J684" s="16"/>
      <c r="K684"/>
      <c r="L684"/>
      <c r="M684" s="16"/>
      <c r="N684" s="16"/>
      <c r="O684"/>
      <c r="P684"/>
      <c r="Q684"/>
      <c r="R684"/>
      <c r="S684"/>
      <c r="T684"/>
      <c r="U684"/>
      <c r="V684"/>
      <c r="W684" s="17"/>
    </row>
    <row r="685" spans="1:23">
      <c r="A685" s="125" t="s">
        <v>28</v>
      </c>
      <c r="B685" s="14" t="s">
        <v>0</v>
      </c>
      <c r="C685" s="127" t="s">
        <v>32</v>
      </c>
      <c r="D685" s="14" t="s">
        <v>21</v>
      </c>
      <c r="E685" s="129">
        <f>42244+(7*364+7)</f>
        <v>44799</v>
      </c>
      <c r="F685" s="15">
        <v>168.95</v>
      </c>
      <c r="G685" s="130">
        <v>12</v>
      </c>
      <c r="H685" s="123">
        <f t="shared" si="11"/>
        <v>2027.3999999999999</v>
      </c>
      <c r="I685" s="16"/>
      <c r="J685" s="16"/>
      <c r="K685"/>
      <c r="L685"/>
      <c r="M685" s="16"/>
      <c r="N685" s="16"/>
      <c r="O685"/>
      <c r="P685"/>
      <c r="Q685"/>
      <c r="R685"/>
      <c r="S685"/>
      <c r="T685"/>
      <c r="U685"/>
      <c r="V685"/>
      <c r="W685" s="17"/>
    </row>
    <row r="686" spans="1:23">
      <c r="A686" s="125" t="s">
        <v>25</v>
      </c>
      <c r="B686" s="14" t="s">
        <v>3</v>
      </c>
      <c r="C686" s="127" t="s">
        <v>32</v>
      </c>
      <c r="D686" s="14" t="s">
        <v>22</v>
      </c>
      <c r="E686" s="129">
        <f>41873+(7*364+7)</f>
        <v>44428</v>
      </c>
      <c r="F686" s="15">
        <v>799.95</v>
      </c>
      <c r="G686" s="130">
        <v>13</v>
      </c>
      <c r="H686" s="123">
        <f t="shared" si="11"/>
        <v>10399.35</v>
      </c>
      <c r="I686" s="16"/>
      <c r="J686" s="16"/>
      <c r="K686"/>
      <c r="L686"/>
      <c r="M686" s="16"/>
      <c r="N686" s="16"/>
      <c r="O686"/>
      <c r="P686"/>
      <c r="Q686"/>
      <c r="R686"/>
      <c r="S686"/>
      <c r="T686"/>
      <c r="U686"/>
      <c r="V686"/>
      <c r="W686" s="17"/>
    </row>
    <row r="687" spans="1:23">
      <c r="A687" s="125" t="s">
        <v>31</v>
      </c>
      <c r="B687" s="14" t="s">
        <v>2</v>
      </c>
      <c r="C687" s="127" t="s">
        <v>32</v>
      </c>
      <c r="D687" s="14" t="s">
        <v>23</v>
      </c>
      <c r="E687" s="129">
        <f>42106+(7*364+7)</f>
        <v>44661</v>
      </c>
      <c r="F687" s="15">
        <v>340.95</v>
      </c>
      <c r="G687" s="130">
        <v>4</v>
      </c>
      <c r="H687" s="123">
        <f t="shared" si="11"/>
        <v>1363.8</v>
      </c>
      <c r="I687" s="16"/>
      <c r="J687" s="16"/>
      <c r="K687"/>
      <c r="L687"/>
      <c r="M687" s="16"/>
      <c r="N687" s="16"/>
      <c r="O687"/>
      <c r="P687"/>
      <c r="Q687"/>
      <c r="R687"/>
      <c r="S687"/>
      <c r="T687"/>
      <c r="U687"/>
      <c r="V687"/>
      <c r="W687" s="17"/>
    </row>
    <row r="688" spans="1:23">
      <c r="A688" s="125" t="s">
        <v>28</v>
      </c>
      <c r="B688" s="14" t="s">
        <v>1</v>
      </c>
      <c r="C688" s="127" t="s">
        <v>32</v>
      </c>
      <c r="D688" s="14" t="s">
        <v>20</v>
      </c>
      <c r="E688" s="129">
        <f>41937+(7*364+7)</f>
        <v>44492</v>
      </c>
      <c r="F688" s="15">
        <v>79.989999999999995</v>
      </c>
      <c r="G688" s="130">
        <v>12</v>
      </c>
      <c r="H688" s="123">
        <f t="shared" si="11"/>
        <v>959.87999999999988</v>
      </c>
      <c r="I688" s="16"/>
      <c r="J688" s="16"/>
      <c r="K688"/>
      <c r="L688"/>
      <c r="M688" s="16"/>
      <c r="N688" s="16"/>
      <c r="O688"/>
      <c r="P688"/>
      <c r="Q688"/>
      <c r="R688"/>
      <c r="S688"/>
      <c r="T688"/>
      <c r="U688"/>
      <c r="V688"/>
      <c r="W688" s="17"/>
    </row>
    <row r="689" spans="1:23">
      <c r="A689" s="125" t="s">
        <v>34</v>
      </c>
      <c r="B689" s="14" t="s">
        <v>2</v>
      </c>
      <c r="C689" s="127" t="s">
        <v>32</v>
      </c>
      <c r="D689" s="14" t="s">
        <v>19</v>
      </c>
      <c r="E689" s="129">
        <f>42046+(7*364+7)</f>
        <v>44601</v>
      </c>
      <c r="F689" s="15">
        <v>340.95</v>
      </c>
      <c r="G689" s="130">
        <v>11</v>
      </c>
      <c r="H689" s="123">
        <f t="shared" si="11"/>
        <v>3750.45</v>
      </c>
      <c r="I689" s="16"/>
      <c r="J689" s="16"/>
      <c r="K689"/>
      <c r="L689"/>
      <c r="M689" s="16"/>
      <c r="N689" s="16"/>
      <c r="O689"/>
      <c r="P689"/>
      <c r="Q689"/>
      <c r="R689"/>
      <c r="S689"/>
      <c r="T689"/>
      <c r="U689"/>
      <c r="V689"/>
      <c r="W689" s="17"/>
    </row>
    <row r="690" spans="1:23">
      <c r="A690" s="125" t="s">
        <v>31</v>
      </c>
      <c r="B690" s="14" t="s">
        <v>3</v>
      </c>
      <c r="C690" s="127" t="s">
        <v>32</v>
      </c>
      <c r="D690" s="14" t="s">
        <v>19</v>
      </c>
      <c r="E690" s="129">
        <f>42141+(7*364+7)</f>
        <v>44696</v>
      </c>
      <c r="F690" s="15">
        <v>799.95</v>
      </c>
      <c r="G690" s="130">
        <v>14</v>
      </c>
      <c r="H690" s="123">
        <f t="shared" si="11"/>
        <v>11199.300000000001</v>
      </c>
      <c r="I690" s="16"/>
      <c r="J690" s="16"/>
      <c r="K690"/>
      <c r="L690"/>
      <c r="M690" s="16"/>
      <c r="N690" s="16"/>
      <c r="O690"/>
      <c r="P690"/>
      <c r="Q690"/>
      <c r="R690"/>
      <c r="S690"/>
      <c r="T690"/>
      <c r="U690"/>
      <c r="V690"/>
      <c r="W690" s="17"/>
    </row>
    <row r="691" spans="1:23">
      <c r="A691" s="125" t="s">
        <v>28</v>
      </c>
      <c r="B691" s="14" t="s">
        <v>2</v>
      </c>
      <c r="C691" s="127" t="s">
        <v>32</v>
      </c>
      <c r="D691" s="14" t="s">
        <v>23</v>
      </c>
      <c r="E691" s="129">
        <f>42351+(7*364+7)</f>
        <v>44906</v>
      </c>
      <c r="F691" s="15">
        <v>340.95</v>
      </c>
      <c r="G691" s="130">
        <v>14</v>
      </c>
      <c r="H691" s="123">
        <f t="shared" si="11"/>
        <v>4773.3</v>
      </c>
      <c r="I691" s="16"/>
      <c r="J691" s="16"/>
      <c r="K691"/>
      <c r="L691"/>
      <c r="M691" s="16"/>
      <c r="N691" s="16"/>
      <c r="O691"/>
      <c r="P691"/>
      <c r="Q691"/>
      <c r="R691"/>
      <c r="S691"/>
      <c r="T691"/>
      <c r="U691"/>
      <c r="V691"/>
      <c r="W691" s="17"/>
    </row>
    <row r="692" spans="1:23">
      <c r="A692" s="125" t="s">
        <v>6</v>
      </c>
      <c r="B692" s="14" t="s">
        <v>4</v>
      </c>
      <c r="C692" s="127" t="s">
        <v>18</v>
      </c>
      <c r="D692" s="14" t="s">
        <v>22</v>
      </c>
      <c r="E692" s="129">
        <f>42104+(7*364+7)</f>
        <v>44659</v>
      </c>
      <c r="F692" s="15">
        <v>340.95</v>
      </c>
      <c r="G692" s="130">
        <v>6</v>
      </c>
      <c r="H692" s="123">
        <f t="shared" si="11"/>
        <v>2045.6999999999998</v>
      </c>
      <c r="I692" s="16"/>
      <c r="J692" s="16"/>
      <c r="K692"/>
      <c r="L692"/>
      <c r="M692" s="16"/>
      <c r="N692" s="16"/>
      <c r="O692"/>
      <c r="P692"/>
      <c r="Q692"/>
      <c r="R692"/>
      <c r="S692"/>
      <c r="T692"/>
      <c r="U692"/>
      <c r="V692"/>
      <c r="W692" s="17"/>
    </row>
    <row r="693" spans="1:23">
      <c r="A693" s="125" t="s">
        <v>25</v>
      </c>
      <c r="B693" s="14" t="s">
        <v>1</v>
      </c>
      <c r="C693" s="127" t="s">
        <v>32</v>
      </c>
      <c r="D693" s="14" t="s">
        <v>20</v>
      </c>
      <c r="E693" s="129">
        <f>41979+(7*364+7)</f>
        <v>44534</v>
      </c>
      <c r="F693" s="15">
        <v>79.989999999999995</v>
      </c>
      <c r="G693" s="130">
        <v>3</v>
      </c>
      <c r="H693" s="123">
        <f t="shared" si="11"/>
        <v>239.96999999999997</v>
      </c>
      <c r="I693" s="16"/>
      <c r="J693" s="16"/>
      <c r="K693"/>
      <c r="L693"/>
      <c r="M693" s="16"/>
      <c r="N693" s="16"/>
      <c r="O693"/>
      <c r="P693"/>
      <c r="Q693"/>
      <c r="R693"/>
      <c r="S693"/>
      <c r="T693"/>
      <c r="U693"/>
      <c r="V693"/>
      <c r="W693" s="17"/>
    </row>
    <row r="694" spans="1:23">
      <c r="A694" s="125" t="s">
        <v>26</v>
      </c>
      <c r="B694" s="14" t="s">
        <v>3</v>
      </c>
      <c r="C694" s="127" t="s">
        <v>27</v>
      </c>
      <c r="D694" s="14" t="s">
        <v>21</v>
      </c>
      <c r="E694" s="129">
        <f>42193+(7*364+7)</f>
        <v>44748</v>
      </c>
      <c r="F694" s="15">
        <v>799.95</v>
      </c>
      <c r="G694" s="130">
        <v>5</v>
      </c>
      <c r="H694" s="123">
        <f t="shared" si="11"/>
        <v>3999.75</v>
      </c>
      <c r="I694" s="16"/>
      <c r="J694" s="16"/>
      <c r="K694"/>
      <c r="L694"/>
      <c r="M694" s="16"/>
      <c r="N694" s="16"/>
      <c r="O694"/>
      <c r="P694"/>
      <c r="Q694"/>
      <c r="R694"/>
      <c r="S694"/>
      <c r="T694"/>
      <c r="U694"/>
      <c r="V694"/>
      <c r="W694" s="17"/>
    </row>
    <row r="695" spans="1:23">
      <c r="A695" s="125" t="s">
        <v>17</v>
      </c>
      <c r="B695" s="14" t="s">
        <v>0</v>
      </c>
      <c r="C695" s="127" t="s">
        <v>18</v>
      </c>
      <c r="D695" s="14" t="s">
        <v>19</v>
      </c>
      <c r="E695" s="129">
        <f>42038+(7*364+7)</f>
        <v>44593</v>
      </c>
      <c r="F695" s="15">
        <v>168.95</v>
      </c>
      <c r="G695" s="130">
        <v>13</v>
      </c>
      <c r="H695" s="123">
        <f t="shared" si="11"/>
        <v>2196.35</v>
      </c>
      <c r="I695" s="16"/>
      <c r="J695" s="16"/>
      <c r="K695"/>
      <c r="L695"/>
      <c r="M695" s="16"/>
      <c r="N695" s="16"/>
      <c r="O695"/>
      <c r="P695"/>
      <c r="Q695"/>
      <c r="R695"/>
      <c r="S695"/>
      <c r="T695"/>
      <c r="U695"/>
      <c r="V695"/>
      <c r="W695" s="17"/>
    </row>
    <row r="696" spans="1:23">
      <c r="A696" s="125" t="s">
        <v>6</v>
      </c>
      <c r="B696" s="14" t="s">
        <v>2</v>
      </c>
      <c r="C696" s="127" t="s">
        <v>29</v>
      </c>
      <c r="D696" s="14" t="s">
        <v>21</v>
      </c>
      <c r="E696" s="129">
        <f>41731+(7*364+7)</f>
        <v>44286</v>
      </c>
      <c r="F696" s="15">
        <v>340.95</v>
      </c>
      <c r="G696" s="130">
        <v>9</v>
      </c>
      <c r="H696" s="123">
        <f t="shared" si="11"/>
        <v>3068.5499999999997</v>
      </c>
      <c r="I696" s="16"/>
      <c r="J696" s="16"/>
      <c r="K696"/>
      <c r="L696"/>
      <c r="M696" s="16"/>
      <c r="N696" s="16"/>
      <c r="O696"/>
      <c r="P696"/>
      <c r="Q696"/>
      <c r="R696"/>
      <c r="S696"/>
      <c r="T696"/>
      <c r="U696"/>
      <c r="V696"/>
      <c r="W696" s="17"/>
    </row>
    <row r="697" spans="1:23">
      <c r="A697" s="125" t="s">
        <v>25</v>
      </c>
      <c r="B697" s="14" t="s">
        <v>3</v>
      </c>
      <c r="C697" s="127" t="s">
        <v>32</v>
      </c>
      <c r="D697" s="14" t="s">
        <v>19</v>
      </c>
      <c r="E697" s="129">
        <f>42283+(7*364+7)</f>
        <v>44838</v>
      </c>
      <c r="F697" s="15">
        <v>799.95</v>
      </c>
      <c r="G697" s="130">
        <v>14</v>
      </c>
      <c r="H697" s="123">
        <f t="shared" si="11"/>
        <v>11199.300000000001</v>
      </c>
      <c r="I697" s="16"/>
      <c r="J697" s="16"/>
      <c r="K697"/>
      <c r="L697"/>
      <c r="M697" s="16"/>
      <c r="N697" s="16"/>
      <c r="O697"/>
      <c r="P697"/>
      <c r="Q697"/>
      <c r="R697"/>
      <c r="S697"/>
      <c r="T697"/>
      <c r="U697"/>
      <c r="V697"/>
      <c r="W697" s="17"/>
    </row>
    <row r="698" spans="1:23">
      <c r="A698" s="125" t="s">
        <v>25</v>
      </c>
      <c r="B698" s="14" t="s">
        <v>4</v>
      </c>
      <c r="C698" s="127" t="s">
        <v>32</v>
      </c>
      <c r="D698" s="14" t="s">
        <v>23</v>
      </c>
      <c r="E698" s="129">
        <f>42081+(7*364+7)</f>
        <v>44636</v>
      </c>
      <c r="F698" s="15">
        <v>340.95</v>
      </c>
      <c r="G698" s="130">
        <v>4</v>
      </c>
      <c r="H698" s="123">
        <f t="shared" si="11"/>
        <v>1363.8</v>
      </c>
      <c r="I698" s="16"/>
      <c r="J698" s="16"/>
      <c r="K698"/>
      <c r="L698"/>
      <c r="M698" s="16"/>
      <c r="N698" s="16"/>
      <c r="O698"/>
      <c r="P698"/>
      <c r="Q698"/>
      <c r="R698"/>
      <c r="S698"/>
      <c r="T698"/>
      <c r="U698"/>
      <c r="V698"/>
      <c r="W698" s="17"/>
    </row>
    <row r="699" spans="1:23">
      <c r="A699" s="125" t="s">
        <v>17</v>
      </c>
      <c r="B699" s="14" t="s">
        <v>2</v>
      </c>
      <c r="C699" s="127" t="s">
        <v>18</v>
      </c>
      <c r="D699" s="14" t="s">
        <v>22</v>
      </c>
      <c r="E699" s="129">
        <f>42000+(7*364+7)</f>
        <v>44555</v>
      </c>
      <c r="F699" s="15">
        <v>340.95</v>
      </c>
      <c r="G699" s="130">
        <v>3</v>
      </c>
      <c r="H699" s="123">
        <f t="shared" si="11"/>
        <v>1022.8499999999999</v>
      </c>
      <c r="I699" s="16"/>
      <c r="J699" s="16"/>
      <c r="K699"/>
      <c r="L699"/>
      <c r="M699" s="16"/>
      <c r="N699" s="16"/>
      <c r="O699"/>
      <c r="P699"/>
      <c r="Q699"/>
      <c r="R699"/>
      <c r="S699"/>
      <c r="T699"/>
      <c r="U699"/>
      <c r="V699"/>
      <c r="W699" s="17"/>
    </row>
    <row r="700" spans="1:23">
      <c r="A700" s="125" t="s">
        <v>26</v>
      </c>
      <c r="B700" s="14" t="s">
        <v>2</v>
      </c>
      <c r="C700" s="127" t="s">
        <v>27</v>
      </c>
      <c r="D700" s="14" t="s">
        <v>22</v>
      </c>
      <c r="E700" s="129">
        <f>42323+(7*364+7)</f>
        <v>44878</v>
      </c>
      <c r="F700" s="15">
        <v>340.95</v>
      </c>
      <c r="G700" s="130">
        <v>13</v>
      </c>
      <c r="H700" s="123">
        <f t="shared" si="11"/>
        <v>4432.3499999999995</v>
      </c>
      <c r="I700" s="16"/>
      <c r="J700" s="16"/>
      <c r="K700"/>
      <c r="L700"/>
      <c r="M700" s="16"/>
      <c r="N700" s="16"/>
      <c r="O700"/>
      <c r="P700"/>
      <c r="Q700"/>
      <c r="R700"/>
      <c r="S700"/>
      <c r="T700"/>
      <c r="U700"/>
      <c r="V700"/>
      <c r="W700" s="17"/>
    </row>
    <row r="701" spans="1:23">
      <c r="A701" s="125" t="s">
        <v>33</v>
      </c>
      <c r="B701" s="14" t="s">
        <v>1</v>
      </c>
      <c r="C701" s="127" t="s">
        <v>18</v>
      </c>
      <c r="D701" s="14" t="s">
        <v>21</v>
      </c>
      <c r="E701" s="129">
        <f>42192+(7*364+7)</f>
        <v>44747</v>
      </c>
      <c r="F701" s="15">
        <v>79.989999999999995</v>
      </c>
      <c r="G701" s="130">
        <v>15</v>
      </c>
      <c r="H701" s="123">
        <f t="shared" si="11"/>
        <v>1199.8499999999999</v>
      </c>
      <c r="I701" s="16"/>
      <c r="J701" s="16"/>
      <c r="K701"/>
      <c r="L701"/>
      <c r="M701" s="16"/>
      <c r="N701" s="16"/>
      <c r="O701"/>
      <c r="P701"/>
      <c r="Q701"/>
      <c r="R701"/>
      <c r="S701"/>
      <c r="T701"/>
      <c r="U701"/>
      <c r="V701"/>
      <c r="W701" s="17"/>
    </row>
    <row r="702" spans="1:23">
      <c r="A702" s="125" t="s">
        <v>16</v>
      </c>
      <c r="B702" s="14" t="s">
        <v>4</v>
      </c>
      <c r="C702" s="127" t="s">
        <v>29</v>
      </c>
      <c r="D702" s="14" t="s">
        <v>20</v>
      </c>
      <c r="E702" s="129">
        <f>42057+(7*364+7)</f>
        <v>44612</v>
      </c>
      <c r="F702" s="15">
        <v>340.95</v>
      </c>
      <c r="G702" s="130">
        <v>6</v>
      </c>
      <c r="H702" s="123">
        <f t="shared" si="11"/>
        <v>2045.6999999999998</v>
      </c>
      <c r="I702" s="16"/>
      <c r="J702" s="16"/>
      <c r="K702"/>
      <c r="L702"/>
      <c r="M702" s="16"/>
      <c r="N702" s="16"/>
      <c r="O702"/>
      <c r="P702"/>
      <c r="Q702"/>
      <c r="R702"/>
      <c r="S702"/>
      <c r="T702"/>
      <c r="U702"/>
      <c r="V702"/>
      <c r="W702" s="17"/>
    </row>
    <row r="703" spans="1:23">
      <c r="A703" s="125" t="s">
        <v>26</v>
      </c>
      <c r="B703" s="14" t="s">
        <v>1</v>
      </c>
      <c r="C703" s="127" t="s">
        <v>27</v>
      </c>
      <c r="D703" s="14" t="s">
        <v>22</v>
      </c>
      <c r="E703" s="129">
        <f>41678+(7*364+7)</f>
        <v>44233</v>
      </c>
      <c r="F703" s="15">
        <v>79.989999999999995</v>
      </c>
      <c r="G703" s="130">
        <v>9</v>
      </c>
      <c r="H703" s="123">
        <f t="shared" si="11"/>
        <v>719.91</v>
      </c>
      <c r="I703" s="16"/>
      <c r="J703" s="16"/>
      <c r="K703"/>
      <c r="L703"/>
      <c r="M703" s="16"/>
      <c r="N703" s="16"/>
      <c r="O703"/>
      <c r="P703"/>
      <c r="Q703"/>
      <c r="R703"/>
      <c r="S703"/>
      <c r="T703"/>
      <c r="U703"/>
      <c r="V703"/>
      <c r="W703" s="17"/>
    </row>
    <row r="704" spans="1:23">
      <c r="A704" s="125" t="s">
        <v>7</v>
      </c>
      <c r="B704" s="14" t="s">
        <v>2</v>
      </c>
      <c r="C704" s="127" t="s">
        <v>27</v>
      </c>
      <c r="D704" s="14" t="s">
        <v>19</v>
      </c>
      <c r="E704" s="129">
        <f>42314+(7*364+7)</f>
        <v>44869</v>
      </c>
      <c r="F704" s="15">
        <v>340.95</v>
      </c>
      <c r="G704" s="130">
        <v>17</v>
      </c>
      <c r="H704" s="123">
        <f t="shared" si="11"/>
        <v>5796.15</v>
      </c>
      <c r="I704" s="16"/>
      <c r="J704" s="16"/>
      <c r="K704"/>
      <c r="L704"/>
      <c r="M704" s="16"/>
      <c r="N704" s="16"/>
      <c r="O704"/>
      <c r="P704"/>
      <c r="Q704"/>
      <c r="R704"/>
      <c r="S704"/>
      <c r="T704"/>
      <c r="U704"/>
      <c r="V704"/>
      <c r="W704" s="17"/>
    </row>
    <row r="705" spans="1:23">
      <c r="A705" s="125" t="s">
        <v>17</v>
      </c>
      <c r="B705" s="14" t="s">
        <v>3</v>
      </c>
      <c r="C705" s="127" t="s">
        <v>18</v>
      </c>
      <c r="D705" s="14" t="s">
        <v>23</v>
      </c>
      <c r="E705" s="129">
        <f>42218+(7*364+7)</f>
        <v>44773</v>
      </c>
      <c r="F705" s="15">
        <v>799.95</v>
      </c>
      <c r="G705" s="130">
        <v>7</v>
      </c>
      <c r="H705" s="123">
        <f t="shared" si="11"/>
        <v>5599.6500000000005</v>
      </c>
      <c r="I705" s="16"/>
      <c r="J705" s="16"/>
      <c r="K705"/>
      <c r="L705"/>
      <c r="M705" s="16"/>
      <c r="N705" s="16"/>
      <c r="O705"/>
      <c r="P705"/>
      <c r="Q705"/>
      <c r="R705"/>
      <c r="S705"/>
      <c r="T705"/>
      <c r="U705"/>
      <c r="V705"/>
      <c r="W705" s="17"/>
    </row>
    <row r="706" spans="1:23">
      <c r="A706" s="125" t="s">
        <v>33</v>
      </c>
      <c r="B706" s="14" t="s">
        <v>0</v>
      </c>
      <c r="C706" s="127" t="s">
        <v>18</v>
      </c>
      <c r="D706" s="14" t="s">
        <v>19</v>
      </c>
      <c r="E706" s="129">
        <f>42052+(7*364+7)</f>
        <v>44607</v>
      </c>
      <c r="F706" s="15">
        <v>168.95</v>
      </c>
      <c r="G706" s="130">
        <v>14</v>
      </c>
      <c r="H706" s="123">
        <f t="shared" si="11"/>
        <v>2365.2999999999997</v>
      </c>
      <c r="I706" s="16"/>
      <c r="J706" s="16"/>
      <c r="K706"/>
      <c r="L706"/>
      <c r="M706" s="16"/>
      <c r="N706" s="16"/>
      <c r="O706"/>
      <c r="P706"/>
      <c r="Q706"/>
      <c r="R706"/>
      <c r="S706"/>
      <c r="T706"/>
      <c r="U706"/>
      <c r="V706"/>
      <c r="W706" s="17"/>
    </row>
    <row r="707" spans="1:23">
      <c r="A707" s="125" t="s">
        <v>30</v>
      </c>
      <c r="B707" s="14" t="s">
        <v>2</v>
      </c>
      <c r="C707" s="127" t="s">
        <v>18</v>
      </c>
      <c r="D707" s="14" t="s">
        <v>21</v>
      </c>
      <c r="E707" s="129">
        <f>41815+(7*364+7)</f>
        <v>44370</v>
      </c>
      <c r="F707" s="15">
        <v>340.95</v>
      </c>
      <c r="G707" s="130">
        <v>8</v>
      </c>
      <c r="H707" s="123">
        <f t="shared" ref="H707:H770" si="12">F707*G707</f>
        <v>2727.6</v>
      </c>
      <c r="I707" s="16"/>
      <c r="J707" s="16"/>
      <c r="K707"/>
      <c r="L707"/>
      <c r="M707" s="16"/>
      <c r="N707" s="16"/>
      <c r="O707"/>
      <c r="P707"/>
      <c r="Q707"/>
      <c r="R707"/>
      <c r="S707"/>
      <c r="T707"/>
      <c r="U707"/>
      <c r="V707"/>
      <c r="W707" s="17"/>
    </row>
    <row r="708" spans="1:23">
      <c r="A708" s="125" t="s">
        <v>31</v>
      </c>
      <c r="B708" s="14" t="s">
        <v>2</v>
      </c>
      <c r="C708" s="127" t="s">
        <v>32</v>
      </c>
      <c r="D708" s="14" t="s">
        <v>19</v>
      </c>
      <c r="E708" s="129">
        <f>41656+(7*364+7)</f>
        <v>44211</v>
      </c>
      <c r="F708" s="15">
        <v>340.95</v>
      </c>
      <c r="G708" s="130">
        <v>14</v>
      </c>
      <c r="H708" s="123">
        <f t="shared" si="12"/>
        <v>4773.3</v>
      </c>
      <c r="I708" s="16"/>
      <c r="J708" s="16"/>
      <c r="K708"/>
      <c r="L708"/>
      <c r="M708" s="16"/>
      <c r="N708" s="16"/>
      <c r="O708"/>
      <c r="P708"/>
      <c r="Q708"/>
      <c r="R708"/>
      <c r="S708"/>
      <c r="T708"/>
      <c r="U708"/>
      <c r="V708"/>
      <c r="W708" s="17"/>
    </row>
    <row r="709" spans="1:23">
      <c r="A709" s="125" t="s">
        <v>28</v>
      </c>
      <c r="B709" s="14" t="s">
        <v>4</v>
      </c>
      <c r="C709" s="127" t="s">
        <v>32</v>
      </c>
      <c r="D709" s="14" t="s">
        <v>20</v>
      </c>
      <c r="E709" s="129">
        <f>41896+(7*364+7)</f>
        <v>44451</v>
      </c>
      <c r="F709" s="15">
        <v>340.95</v>
      </c>
      <c r="G709" s="130">
        <v>8</v>
      </c>
      <c r="H709" s="123">
        <f t="shared" si="12"/>
        <v>2727.6</v>
      </c>
      <c r="I709" s="16"/>
      <c r="J709" s="16"/>
      <c r="K709"/>
      <c r="L709"/>
      <c r="M709" s="16"/>
      <c r="N709" s="16"/>
      <c r="O709"/>
      <c r="P709"/>
      <c r="Q709"/>
      <c r="R709"/>
      <c r="S709"/>
      <c r="T709"/>
      <c r="U709"/>
      <c r="V709"/>
      <c r="W709" s="17"/>
    </row>
    <row r="710" spans="1:23">
      <c r="A710" s="125" t="s">
        <v>16</v>
      </c>
      <c r="B710" s="14" t="s">
        <v>0</v>
      </c>
      <c r="C710" s="127" t="s">
        <v>29</v>
      </c>
      <c r="D710" s="14" t="s">
        <v>20</v>
      </c>
      <c r="E710" s="129">
        <f>42288+(7*364+7)</f>
        <v>44843</v>
      </c>
      <c r="F710" s="15">
        <v>168.95</v>
      </c>
      <c r="G710" s="130">
        <v>10</v>
      </c>
      <c r="H710" s="123">
        <f t="shared" si="12"/>
        <v>1689.5</v>
      </c>
      <c r="I710" s="16"/>
      <c r="J710" s="16"/>
      <c r="K710"/>
      <c r="L710"/>
      <c r="M710" s="16"/>
      <c r="N710" s="16"/>
      <c r="O710"/>
      <c r="P710"/>
      <c r="Q710"/>
      <c r="R710"/>
      <c r="S710"/>
      <c r="T710"/>
      <c r="U710"/>
      <c r="V710"/>
      <c r="W710" s="17"/>
    </row>
    <row r="711" spans="1:23">
      <c r="A711" s="125" t="s">
        <v>26</v>
      </c>
      <c r="B711" s="14" t="s">
        <v>3</v>
      </c>
      <c r="C711" s="127" t="s">
        <v>27</v>
      </c>
      <c r="D711" s="14" t="s">
        <v>19</v>
      </c>
      <c r="E711" s="129">
        <f>41896+(7*364+7)</f>
        <v>44451</v>
      </c>
      <c r="F711" s="15">
        <v>799.95</v>
      </c>
      <c r="G711" s="130">
        <v>13</v>
      </c>
      <c r="H711" s="123">
        <f t="shared" si="12"/>
        <v>10399.35</v>
      </c>
      <c r="I711" s="16"/>
      <c r="J711" s="16"/>
      <c r="K711"/>
      <c r="L711"/>
      <c r="M711" s="16"/>
      <c r="N711" s="16"/>
      <c r="O711"/>
      <c r="P711"/>
      <c r="Q711"/>
      <c r="R711"/>
      <c r="S711"/>
      <c r="T711"/>
      <c r="U711"/>
      <c r="V711"/>
      <c r="W711" s="17"/>
    </row>
    <row r="712" spans="1:23">
      <c r="A712" s="125" t="s">
        <v>33</v>
      </c>
      <c r="B712" s="14" t="s">
        <v>0</v>
      </c>
      <c r="C712" s="127" t="s">
        <v>18</v>
      </c>
      <c r="D712" s="14" t="s">
        <v>23</v>
      </c>
      <c r="E712" s="129">
        <f>42012+(7*364+7)</f>
        <v>44567</v>
      </c>
      <c r="F712" s="15">
        <v>168.95</v>
      </c>
      <c r="G712" s="130">
        <v>4</v>
      </c>
      <c r="H712" s="123">
        <f t="shared" si="12"/>
        <v>675.8</v>
      </c>
      <c r="I712" s="16"/>
      <c r="J712" s="16"/>
      <c r="K712"/>
      <c r="L712"/>
      <c r="M712" s="16"/>
      <c r="N712" s="16"/>
      <c r="O712"/>
      <c r="P712"/>
      <c r="Q712"/>
      <c r="R712"/>
      <c r="S712"/>
      <c r="T712"/>
      <c r="U712"/>
      <c r="V712"/>
      <c r="W712" s="17"/>
    </row>
    <row r="713" spans="1:23">
      <c r="A713" s="125" t="s">
        <v>34</v>
      </c>
      <c r="B713" s="14" t="s">
        <v>0</v>
      </c>
      <c r="C713" s="127" t="s">
        <v>32</v>
      </c>
      <c r="D713" s="14" t="s">
        <v>21</v>
      </c>
      <c r="E713" s="129">
        <f>41760+(7*364+7)</f>
        <v>44315</v>
      </c>
      <c r="F713" s="15">
        <v>168.95</v>
      </c>
      <c r="G713" s="130">
        <v>12</v>
      </c>
      <c r="H713" s="123">
        <f t="shared" si="12"/>
        <v>2027.3999999999999</v>
      </c>
      <c r="I713" s="16"/>
      <c r="J713" s="16"/>
      <c r="K713"/>
      <c r="L713"/>
      <c r="M713" s="16"/>
      <c r="N713" s="16"/>
      <c r="O713"/>
      <c r="P713"/>
      <c r="Q713"/>
      <c r="R713"/>
      <c r="S713"/>
      <c r="T713"/>
      <c r="U713"/>
      <c r="V713"/>
      <c r="W713" s="17"/>
    </row>
    <row r="714" spans="1:23">
      <c r="A714" s="125" t="s">
        <v>33</v>
      </c>
      <c r="B714" s="14" t="s">
        <v>4</v>
      </c>
      <c r="C714" s="127" t="s">
        <v>18</v>
      </c>
      <c r="D714" s="14" t="s">
        <v>22</v>
      </c>
      <c r="E714" s="129">
        <f>41754+(7*364+7)</f>
        <v>44309</v>
      </c>
      <c r="F714" s="15">
        <v>340.95</v>
      </c>
      <c r="G714" s="130">
        <v>4</v>
      </c>
      <c r="H714" s="123">
        <f t="shared" si="12"/>
        <v>1363.8</v>
      </c>
      <c r="I714" s="16"/>
      <c r="J714" s="16"/>
      <c r="K714"/>
      <c r="L714"/>
      <c r="M714" s="16"/>
      <c r="N714" s="16"/>
      <c r="O714"/>
      <c r="P714"/>
      <c r="Q714"/>
      <c r="R714"/>
      <c r="S714"/>
      <c r="T714"/>
      <c r="U714"/>
      <c r="V714"/>
      <c r="W714" s="17"/>
    </row>
    <row r="715" spans="1:23">
      <c r="A715" s="125" t="s">
        <v>26</v>
      </c>
      <c r="B715" s="14" t="s">
        <v>0</v>
      </c>
      <c r="C715" s="127" t="s">
        <v>27</v>
      </c>
      <c r="D715" s="14" t="s">
        <v>19</v>
      </c>
      <c r="E715" s="129">
        <f>42153+(7*364+7)</f>
        <v>44708</v>
      </c>
      <c r="F715" s="15">
        <v>168.95</v>
      </c>
      <c r="G715" s="130">
        <v>17</v>
      </c>
      <c r="H715" s="123">
        <f t="shared" si="12"/>
        <v>2872.1499999999996</v>
      </c>
      <c r="I715" s="16"/>
      <c r="J715" s="16"/>
      <c r="K715"/>
      <c r="L715"/>
      <c r="M715" s="16"/>
      <c r="N715" s="16"/>
      <c r="O715"/>
      <c r="P715"/>
      <c r="Q715"/>
      <c r="R715"/>
      <c r="S715"/>
      <c r="T715"/>
      <c r="U715"/>
      <c r="V715"/>
      <c r="W715" s="17"/>
    </row>
    <row r="716" spans="1:23">
      <c r="A716" s="125" t="s">
        <v>17</v>
      </c>
      <c r="B716" s="14" t="s">
        <v>1</v>
      </c>
      <c r="C716" s="127" t="s">
        <v>18</v>
      </c>
      <c r="D716" s="14" t="s">
        <v>22</v>
      </c>
      <c r="E716" s="129">
        <f>42204+(7*364+7)</f>
        <v>44759</v>
      </c>
      <c r="F716" s="15">
        <v>79.989999999999995</v>
      </c>
      <c r="G716" s="130">
        <v>3</v>
      </c>
      <c r="H716" s="123">
        <f t="shared" si="12"/>
        <v>239.96999999999997</v>
      </c>
      <c r="I716" s="16"/>
      <c r="J716" s="16"/>
      <c r="K716"/>
      <c r="L716"/>
      <c r="M716" s="16"/>
      <c r="N716" s="16"/>
      <c r="O716"/>
      <c r="P716"/>
      <c r="Q716"/>
      <c r="R716"/>
      <c r="S716"/>
      <c r="T716"/>
      <c r="U716"/>
      <c r="V716"/>
      <c r="W716" s="17"/>
    </row>
    <row r="717" spans="1:23">
      <c r="A717" s="125" t="s">
        <v>34</v>
      </c>
      <c r="B717" s="14" t="s">
        <v>3</v>
      </c>
      <c r="C717" s="127" t="s">
        <v>32</v>
      </c>
      <c r="D717" s="14" t="s">
        <v>19</v>
      </c>
      <c r="E717" s="129">
        <f>41693+(7*364+7)</f>
        <v>44248</v>
      </c>
      <c r="F717" s="15">
        <v>799.95</v>
      </c>
      <c r="G717" s="130">
        <v>17</v>
      </c>
      <c r="H717" s="123">
        <f t="shared" si="12"/>
        <v>13599.150000000001</v>
      </c>
      <c r="I717" s="16"/>
      <c r="J717" s="16"/>
      <c r="K717"/>
      <c r="L717"/>
      <c r="M717" s="16"/>
      <c r="N717" s="16"/>
      <c r="O717"/>
      <c r="P717"/>
      <c r="Q717"/>
      <c r="R717"/>
      <c r="S717"/>
      <c r="T717"/>
      <c r="U717"/>
      <c r="V717"/>
      <c r="W717" s="17"/>
    </row>
    <row r="718" spans="1:23">
      <c r="A718" s="125" t="s">
        <v>33</v>
      </c>
      <c r="B718" s="14" t="s">
        <v>4</v>
      </c>
      <c r="C718" s="127" t="s">
        <v>18</v>
      </c>
      <c r="D718" s="14" t="s">
        <v>21</v>
      </c>
      <c r="E718" s="129">
        <f>42203+(7*364+7)</f>
        <v>44758</v>
      </c>
      <c r="F718" s="15">
        <v>340.95</v>
      </c>
      <c r="G718" s="130">
        <v>3</v>
      </c>
      <c r="H718" s="123">
        <f t="shared" si="12"/>
        <v>1022.8499999999999</v>
      </c>
      <c r="I718" s="16"/>
      <c r="J718" s="16"/>
      <c r="K718"/>
      <c r="L718"/>
      <c r="M718" s="16"/>
      <c r="N718" s="16"/>
      <c r="O718"/>
      <c r="P718"/>
      <c r="Q718"/>
      <c r="R718"/>
      <c r="S718"/>
      <c r="T718"/>
      <c r="U718"/>
      <c r="V718"/>
      <c r="W718" s="17"/>
    </row>
    <row r="719" spans="1:23">
      <c r="A719" s="125" t="s">
        <v>25</v>
      </c>
      <c r="B719" s="14" t="s">
        <v>1</v>
      </c>
      <c r="C719" s="127" t="s">
        <v>32</v>
      </c>
      <c r="D719" s="14" t="s">
        <v>20</v>
      </c>
      <c r="E719" s="129">
        <f>41787+(7*364+7)</f>
        <v>44342</v>
      </c>
      <c r="F719" s="15">
        <v>79.989999999999995</v>
      </c>
      <c r="G719" s="130">
        <v>1</v>
      </c>
      <c r="H719" s="123">
        <f t="shared" si="12"/>
        <v>79.989999999999995</v>
      </c>
      <c r="I719" s="16"/>
      <c r="J719" s="16"/>
      <c r="K719"/>
      <c r="L719"/>
      <c r="M719" s="16"/>
      <c r="N719" s="16"/>
      <c r="O719"/>
      <c r="P719"/>
      <c r="Q719"/>
      <c r="R719"/>
      <c r="S719"/>
      <c r="T719"/>
      <c r="U719"/>
      <c r="V719"/>
      <c r="W719" s="17"/>
    </row>
    <row r="720" spans="1:23">
      <c r="A720" s="125" t="s">
        <v>16</v>
      </c>
      <c r="B720" s="14" t="s">
        <v>4</v>
      </c>
      <c r="C720" s="127" t="s">
        <v>29</v>
      </c>
      <c r="D720" s="14" t="s">
        <v>23</v>
      </c>
      <c r="E720" s="129">
        <f>41955+(7*364+7)</f>
        <v>44510</v>
      </c>
      <c r="F720" s="15">
        <v>340.95</v>
      </c>
      <c r="G720" s="130">
        <v>2</v>
      </c>
      <c r="H720" s="123">
        <f t="shared" si="12"/>
        <v>681.9</v>
      </c>
      <c r="I720" s="16"/>
      <c r="J720" s="16"/>
      <c r="K720"/>
      <c r="L720"/>
      <c r="M720" s="16"/>
      <c r="N720" s="16"/>
      <c r="O720"/>
      <c r="P720"/>
      <c r="Q720"/>
      <c r="R720"/>
      <c r="S720"/>
      <c r="T720"/>
      <c r="U720"/>
      <c r="V720"/>
      <c r="W720" s="17"/>
    </row>
    <row r="721" spans="1:23">
      <c r="A721" s="125" t="s">
        <v>33</v>
      </c>
      <c r="B721" s="14" t="s">
        <v>0</v>
      </c>
      <c r="C721" s="127" t="s">
        <v>18</v>
      </c>
      <c r="D721" s="14" t="s">
        <v>23</v>
      </c>
      <c r="E721" s="129">
        <f>41983+(7*364+7)</f>
        <v>44538</v>
      </c>
      <c r="F721" s="15">
        <v>168.95</v>
      </c>
      <c r="G721" s="130">
        <v>15</v>
      </c>
      <c r="H721" s="123">
        <f t="shared" si="12"/>
        <v>2534.25</v>
      </c>
      <c r="I721" s="16"/>
      <c r="J721" s="16"/>
      <c r="K721"/>
      <c r="L721"/>
      <c r="M721" s="16"/>
      <c r="N721" s="16"/>
      <c r="O721"/>
      <c r="P721"/>
      <c r="Q721"/>
      <c r="R721"/>
      <c r="S721"/>
      <c r="T721"/>
      <c r="U721"/>
      <c r="V721"/>
      <c r="W721" s="17"/>
    </row>
    <row r="722" spans="1:23">
      <c r="A722" s="125" t="s">
        <v>7</v>
      </c>
      <c r="B722" s="14" t="s">
        <v>3</v>
      </c>
      <c r="C722" s="127" t="s">
        <v>27</v>
      </c>
      <c r="D722" s="14" t="s">
        <v>20</v>
      </c>
      <c r="E722" s="129">
        <f>42014+(7*364+7)</f>
        <v>44569</v>
      </c>
      <c r="F722" s="15">
        <v>799.95</v>
      </c>
      <c r="G722" s="130">
        <v>7</v>
      </c>
      <c r="H722" s="123">
        <f t="shared" si="12"/>
        <v>5599.6500000000005</v>
      </c>
      <c r="I722" s="16"/>
      <c r="J722" s="16"/>
      <c r="K722"/>
      <c r="L722"/>
      <c r="M722" s="16"/>
      <c r="N722" s="16"/>
      <c r="O722"/>
      <c r="P722"/>
      <c r="Q722"/>
      <c r="R722"/>
      <c r="S722"/>
      <c r="T722"/>
      <c r="U722"/>
      <c r="V722"/>
      <c r="W722" s="17"/>
    </row>
    <row r="723" spans="1:23">
      <c r="A723" s="125" t="s">
        <v>26</v>
      </c>
      <c r="B723" s="14" t="s">
        <v>3</v>
      </c>
      <c r="C723" s="127" t="s">
        <v>27</v>
      </c>
      <c r="D723" s="14" t="s">
        <v>19</v>
      </c>
      <c r="E723" s="129">
        <f>42271+(7*364+7)</f>
        <v>44826</v>
      </c>
      <c r="F723" s="15">
        <v>799.95</v>
      </c>
      <c r="G723" s="130">
        <v>19</v>
      </c>
      <c r="H723" s="123">
        <f t="shared" si="12"/>
        <v>15199.050000000001</v>
      </c>
      <c r="I723" s="16"/>
      <c r="J723" s="16"/>
      <c r="K723"/>
      <c r="L723"/>
      <c r="M723" s="16"/>
      <c r="N723" s="16"/>
      <c r="O723"/>
      <c r="P723"/>
      <c r="Q723"/>
      <c r="R723"/>
      <c r="S723"/>
      <c r="T723"/>
      <c r="U723"/>
      <c r="V723"/>
      <c r="W723" s="17"/>
    </row>
    <row r="724" spans="1:23">
      <c r="A724" s="125" t="s">
        <v>30</v>
      </c>
      <c r="B724" s="14" t="s">
        <v>3</v>
      </c>
      <c r="C724" s="127" t="s">
        <v>18</v>
      </c>
      <c r="D724" s="14" t="s">
        <v>22</v>
      </c>
      <c r="E724" s="129">
        <f>41719+(7*364+7)</f>
        <v>44274</v>
      </c>
      <c r="F724" s="15">
        <v>799.95</v>
      </c>
      <c r="G724" s="130">
        <v>9</v>
      </c>
      <c r="H724" s="123">
        <f t="shared" si="12"/>
        <v>7199.55</v>
      </c>
      <c r="I724" s="16"/>
      <c r="J724" s="16"/>
      <c r="K724"/>
      <c r="L724"/>
      <c r="M724" s="16"/>
      <c r="N724" s="16"/>
      <c r="O724"/>
      <c r="P724"/>
      <c r="Q724"/>
      <c r="R724"/>
      <c r="S724"/>
      <c r="T724"/>
      <c r="U724"/>
      <c r="V724"/>
      <c r="W724" s="17"/>
    </row>
    <row r="725" spans="1:23">
      <c r="A725" s="125" t="s">
        <v>6</v>
      </c>
      <c r="B725" s="14" t="s">
        <v>0</v>
      </c>
      <c r="C725" s="127" t="s">
        <v>18</v>
      </c>
      <c r="D725" s="14" t="s">
        <v>22</v>
      </c>
      <c r="E725" s="129">
        <f>42153+(7*364+7)</f>
        <v>44708</v>
      </c>
      <c r="F725" s="15">
        <v>168.95</v>
      </c>
      <c r="G725" s="130">
        <v>13</v>
      </c>
      <c r="H725" s="123">
        <f t="shared" si="12"/>
        <v>2196.35</v>
      </c>
      <c r="I725" s="16"/>
      <c r="J725" s="16"/>
      <c r="K725"/>
      <c r="L725"/>
      <c r="M725" s="16"/>
      <c r="N725" s="16"/>
      <c r="O725"/>
      <c r="P725"/>
      <c r="Q725"/>
      <c r="R725"/>
      <c r="S725"/>
      <c r="T725"/>
      <c r="U725"/>
      <c r="V725"/>
      <c r="W725" s="17"/>
    </row>
    <row r="726" spans="1:23">
      <c r="A726" s="125" t="s">
        <v>25</v>
      </c>
      <c r="B726" s="14" t="s">
        <v>1</v>
      </c>
      <c r="C726" s="127" t="s">
        <v>32</v>
      </c>
      <c r="D726" s="14" t="s">
        <v>23</v>
      </c>
      <c r="E726" s="129">
        <f>41754+(7*364+7)</f>
        <v>44309</v>
      </c>
      <c r="F726" s="15">
        <v>79.989999999999995</v>
      </c>
      <c r="G726" s="130">
        <v>7</v>
      </c>
      <c r="H726" s="123">
        <f t="shared" si="12"/>
        <v>559.92999999999995</v>
      </c>
      <c r="I726" s="16"/>
      <c r="J726" s="16"/>
      <c r="K726"/>
      <c r="L726"/>
      <c r="M726" s="16"/>
      <c r="N726" s="16"/>
      <c r="O726"/>
      <c r="P726"/>
      <c r="Q726"/>
      <c r="R726"/>
      <c r="S726"/>
      <c r="T726"/>
      <c r="U726"/>
      <c r="V726"/>
      <c r="W726" s="17"/>
    </row>
    <row r="727" spans="1:23">
      <c r="A727" s="125" t="s">
        <v>28</v>
      </c>
      <c r="B727" s="14" t="s">
        <v>3</v>
      </c>
      <c r="C727" s="127" t="s">
        <v>32</v>
      </c>
      <c r="D727" s="14" t="s">
        <v>20</v>
      </c>
      <c r="E727" s="129">
        <f>41689+(7*364+7)</f>
        <v>44244</v>
      </c>
      <c r="F727" s="15">
        <v>799.95</v>
      </c>
      <c r="G727" s="130">
        <v>9</v>
      </c>
      <c r="H727" s="123">
        <f t="shared" si="12"/>
        <v>7199.55</v>
      </c>
      <c r="I727" s="16"/>
      <c r="J727" s="16"/>
      <c r="K727"/>
      <c r="L727"/>
      <c r="M727" s="16"/>
      <c r="N727" s="16"/>
      <c r="O727"/>
      <c r="P727"/>
      <c r="Q727"/>
      <c r="R727"/>
      <c r="S727"/>
      <c r="T727"/>
      <c r="U727"/>
      <c r="V727"/>
      <c r="W727" s="17"/>
    </row>
    <row r="728" spans="1:23">
      <c r="A728" s="125" t="s">
        <v>28</v>
      </c>
      <c r="B728" s="14" t="s">
        <v>1</v>
      </c>
      <c r="C728" s="127" t="s">
        <v>32</v>
      </c>
      <c r="D728" s="14" t="s">
        <v>19</v>
      </c>
      <c r="E728" s="129">
        <f>42014+(7*364+7)</f>
        <v>44569</v>
      </c>
      <c r="F728" s="15">
        <v>79.989999999999995</v>
      </c>
      <c r="G728" s="130">
        <v>16</v>
      </c>
      <c r="H728" s="123">
        <f t="shared" si="12"/>
        <v>1279.8399999999999</v>
      </c>
      <c r="I728" s="16"/>
      <c r="J728" s="16"/>
      <c r="K728"/>
      <c r="L728"/>
      <c r="M728" s="16"/>
      <c r="N728" s="16"/>
      <c r="O728"/>
      <c r="P728"/>
      <c r="Q728"/>
      <c r="R728"/>
      <c r="S728"/>
      <c r="T728"/>
      <c r="U728"/>
      <c r="V728"/>
      <c r="W728" s="17"/>
    </row>
    <row r="729" spans="1:23">
      <c r="A729" s="125" t="s">
        <v>17</v>
      </c>
      <c r="B729" s="14" t="s">
        <v>3</v>
      </c>
      <c r="C729" s="127" t="s">
        <v>18</v>
      </c>
      <c r="D729" s="14" t="s">
        <v>19</v>
      </c>
      <c r="E729" s="129">
        <f>42361+(7*364+7)</f>
        <v>44916</v>
      </c>
      <c r="F729" s="15">
        <v>799.95</v>
      </c>
      <c r="G729" s="130">
        <v>9</v>
      </c>
      <c r="H729" s="123">
        <f t="shared" si="12"/>
        <v>7199.55</v>
      </c>
      <c r="I729" s="16"/>
      <c r="J729" s="16"/>
      <c r="K729"/>
      <c r="L729"/>
      <c r="M729" s="16"/>
      <c r="N729" s="16"/>
      <c r="O729"/>
      <c r="P729"/>
      <c r="Q729"/>
      <c r="R729"/>
      <c r="S729"/>
      <c r="T729"/>
      <c r="U729"/>
      <c r="V729"/>
      <c r="W729" s="17"/>
    </row>
    <row r="730" spans="1:23">
      <c r="A730" s="125" t="s">
        <v>34</v>
      </c>
      <c r="B730" s="14" t="s">
        <v>3</v>
      </c>
      <c r="C730" s="127" t="s">
        <v>32</v>
      </c>
      <c r="D730" s="14" t="s">
        <v>22</v>
      </c>
      <c r="E730" s="129">
        <f>41711+(7*364+7)</f>
        <v>44266</v>
      </c>
      <c r="F730" s="15">
        <v>799.95</v>
      </c>
      <c r="G730" s="130">
        <v>8</v>
      </c>
      <c r="H730" s="123">
        <f t="shared" si="12"/>
        <v>6399.6</v>
      </c>
      <c r="I730" s="16"/>
      <c r="J730" s="16"/>
      <c r="K730"/>
      <c r="L730"/>
      <c r="M730" s="16"/>
      <c r="N730" s="16"/>
      <c r="O730"/>
      <c r="P730"/>
      <c r="Q730"/>
      <c r="R730"/>
      <c r="S730"/>
      <c r="T730"/>
      <c r="U730"/>
      <c r="V730"/>
      <c r="W730" s="17"/>
    </row>
    <row r="731" spans="1:23">
      <c r="A731" s="125" t="s">
        <v>31</v>
      </c>
      <c r="B731" s="14" t="s">
        <v>4</v>
      </c>
      <c r="C731" s="127" t="s">
        <v>32</v>
      </c>
      <c r="D731" s="14" t="s">
        <v>21</v>
      </c>
      <c r="E731" s="129">
        <f>42290+(7*364+7)</f>
        <v>44845</v>
      </c>
      <c r="F731" s="15">
        <v>340.95</v>
      </c>
      <c r="G731" s="130">
        <v>1</v>
      </c>
      <c r="H731" s="123">
        <f t="shared" si="12"/>
        <v>340.95</v>
      </c>
      <c r="I731" s="16"/>
      <c r="J731" s="16"/>
      <c r="K731"/>
      <c r="L731"/>
      <c r="M731" s="16"/>
      <c r="N731" s="16"/>
      <c r="O731"/>
      <c r="P731"/>
      <c r="Q731"/>
      <c r="R731"/>
      <c r="S731"/>
      <c r="T731"/>
      <c r="U731"/>
      <c r="V731"/>
      <c r="W731" s="17"/>
    </row>
    <row r="732" spans="1:23">
      <c r="A732" s="125" t="s">
        <v>16</v>
      </c>
      <c r="B732" s="14" t="s">
        <v>3</v>
      </c>
      <c r="C732" s="127" t="s">
        <v>29</v>
      </c>
      <c r="D732" s="14" t="s">
        <v>19</v>
      </c>
      <c r="E732" s="129">
        <f>41912+(7*364+7)</f>
        <v>44467</v>
      </c>
      <c r="F732" s="15">
        <v>799.95</v>
      </c>
      <c r="G732" s="130">
        <v>6</v>
      </c>
      <c r="H732" s="123">
        <f t="shared" si="12"/>
        <v>4799.7000000000007</v>
      </c>
      <c r="I732" s="16"/>
      <c r="J732" s="16"/>
      <c r="K732"/>
      <c r="L732"/>
      <c r="M732" s="16"/>
      <c r="N732" s="16"/>
      <c r="O732"/>
      <c r="P732"/>
      <c r="Q732"/>
      <c r="R732"/>
      <c r="S732"/>
      <c r="T732"/>
      <c r="U732"/>
      <c r="V732"/>
      <c r="W732" s="17"/>
    </row>
    <row r="733" spans="1:23">
      <c r="A733" s="125" t="s">
        <v>17</v>
      </c>
      <c r="B733" s="14" t="s">
        <v>0</v>
      </c>
      <c r="C733" s="127" t="s">
        <v>18</v>
      </c>
      <c r="D733" s="14" t="s">
        <v>22</v>
      </c>
      <c r="E733" s="129">
        <f>42322+(7*364+7)</f>
        <v>44877</v>
      </c>
      <c r="F733" s="15">
        <v>168.95</v>
      </c>
      <c r="G733" s="130">
        <v>6</v>
      </c>
      <c r="H733" s="123">
        <f t="shared" si="12"/>
        <v>1013.6999999999999</v>
      </c>
      <c r="I733" s="16"/>
      <c r="J733" s="16"/>
      <c r="K733"/>
      <c r="L733"/>
      <c r="M733" s="16"/>
      <c r="N733" s="16"/>
      <c r="O733"/>
      <c r="P733"/>
      <c r="Q733"/>
      <c r="R733"/>
      <c r="S733"/>
      <c r="T733"/>
      <c r="U733"/>
      <c r="V733"/>
      <c r="W733" s="17"/>
    </row>
    <row r="734" spans="1:23">
      <c r="A734" s="125" t="s">
        <v>16</v>
      </c>
      <c r="B734" s="14" t="s">
        <v>1</v>
      </c>
      <c r="C734" s="127" t="s">
        <v>29</v>
      </c>
      <c r="D734" s="14" t="s">
        <v>23</v>
      </c>
      <c r="E734" s="129">
        <f>41774+(7*364+7)</f>
        <v>44329</v>
      </c>
      <c r="F734" s="15">
        <v>79.989999999999995</v>
      </c>
      <c r="G734" s="130">
        <v>3</v>
      </c>
      <c r="H734" s="123">
        <f t="shared" si="12"/>
        <v>239.96999999999997</v>
      </c>
      <c r="I734" s="16"/>
      <c r="J734" s="16"/>
      <c r="K734"/>
      <c r="L734"/>
      <c r="M734" s="16"/>
      <c r="N734" s="16"/>
      <c r="O734"/>
      <c r="P734"/>
      <c r="Q734"/>
      <c r="R734"/>
      <c r="S734"/>
      <c r="T734"/>
      <c r="U734"/>
      <c r="V734"/>
      <c r="W734" s="17"/>
    </row>
    <row r="735" spans="1:23">
      <c r="A735" s="125" t="s">
        <v>26</v>
      </c>
      <c r="B735" s="14" t="s">
        <v>0</v>
      </c>
      <c r="C735" s="127" t="s">
        <v>27</v>
      </c>
      <c r="D735" s="14" t="s">
        <v>23</v>
      </c>
      <c r="E735" s="129">
        <f>42368+(7*364+7)</f>
        <v>44923</v>
      </c>
      <c r="F735" s="15">
        <v>168.95</v>
      </c>
      <c r="G735" s="130">
        <v>8</v>
      </c>
      <c r="H735" s="123">
        <f t="shared" si="12"/>
        <v>1351.6</v>
      </c>
      <c r="I735" s="16"/>
      <c r="J735" s="16"/>
      <c r="K735"/>
      <c r="L735"/>
      <c r="M735" s="16"/>
      <c r="N735" s="16"/>
      <c r="O735"/>
      <c r="P735"/>
      <c r="Q735"/>
      <c r="R735"/>
      <c r="S735"/>
      <c r="T735"/>
      <c r="U735"/>
      <c r="V735"/>
      <c r="W735" s="17"/>
    </row>
    <row r="736" spans="1:23">
      <c r="A736" s="125" t="s">
        <v>17</v>
      </c>
      <c r="B736" s="14" t="s">
        <v>3</v>
      </c>
      <c r="C736" s="127" t="s">
        <v>18</v>
      </c>
      <c r="D736" s="14" t="s">
        <v>19</v>
      </c>
      <c r="E736" s="129">
        <f>42180+(7*364+7)</f>
        <v>44735</v>
      </c>
      <c r="F736" s="15">
        <v>799.95</v>
      </c>
      <c r="G736" s="130">
        <v>17</v>
      </c>
      <c r="H736" s="123">
        <f t="shared" si="12"/>
        <v>13599.150000000001</v>
      </c>
      <c r="I736" s="16"/>
      <c r="J736" s="16"/>
      <c r="K736"/>
      <c r="L736"/>
      <c r="M736" s="16"/>
      <c r="N736" s="16"/>
      <c r="O736"/>
      <c r="P736"/>
      <c r="Q736"/>
      <c r="R736"/>
      <c r="S736"/>
      <c r="T736"/>
      <c r="U736"/>
      <c r="V736"/>
      <c r="W736" s="17"/>
    </row>
    <row r="737" spans="1:23">
      <c r="A737" s="125" t="s">
        <v>33</v>
      </c>
      <c r="B737" s="14" t="s">
        <v>3</v>
      </c>
      <c r="C737" s="127" t="s">
        <v>18</v>
      </c>
      <c r="D737" s="14" t="s">
        <v>21</v>
      </c>
      <c r="E737" s="129">
        <f>41815+(7*364+7)</f>
        <v>44370</v>
      </c>
      <c r="F737" s="15">
        <v>799.95</v>
      </c>
      <c r="G737" s="130">
        <v>9</v>
      </c>
      <c r="H737" s="123">
        <f t="shared" si="12"/>
        <v>7199.55</v>
      </c>
      <c r="I737" s="16"/>
      <c r="J737" s="16"/>
      <c r="K737"/>
      <c r="L737"/>
      <c r="M737" s="16"/>
      <c r="N737" s="16"/>
      <c r="O737"/>
      <c r="P737"/>
      <c r="Q737"/>
      <c r="R737"/>
      <c r="S737"/>
      <c r="T737"/>
      <c r="U737"/>
      <c r="V737"/>
      <c r="W737" s="17"/>
    </row>
    <row r="738" spans="1:23">
      <c r="A738" s="125" t="s">
        <v>16</v>
      </c>
      <c r="B738" s="14" t="s">
        <v>3</v>
      </c>
      <c r="C738" s="127" t="s">
        <v>29</v>
      </c>
      <c r="D738" s="14" t="s">
        <v>19</v>
      </c>
      <c r="E738" s="129">
        <f>41994+(7*364+7)</f>
        <v>44549</v>
      </c>
      <c r="F738" s="15">
        <v>799.95</v>
      </c>
      <c r="G738" s="130">
        <v>11</v>
      </c>
      <c r="H738" s="123">
        <f t="shared" si="12"/>
        <v>8799.4500000000007</v>
      </c>
      <c r="I738" s="16"/>
      <c r="J738" s="16"/>
      <c r="K738"/>
      <c r="L738"/>
      <c r="M738" s="16"/>
      <c r="N738" s="16"/>
      <c r="O738"/>
      <c r="P738"/>
      <c r="Q738"/>
      <c r="R738"/>
      <c r="S738"/>
      <c r="T738"/>
      <c r="U738"/>
      <c r="V738"/>
      <c r="W738" s="17"/>
    </row>
    <row r="739" spans="1:23">
      <c r="A739" s="125" t="s">
        <v>26</v>
      </c>
      <c r="B739" s="14" t="s">
        <v>4</v>
      </c>
      <c r="C739" s="127" t="s">
        <v>27</v>
      </c>
      <c r="D739" s="14" t="s">
        <v>20</v>
      </c>
      <c r="E739" s="129">
        <f>42036+(7*364+7)</f>
        <v>44591</v>
      </c>
      <c r="F739" s="15">
        <v>340.95</v>
      </c>
      <c r="G739" s="130">
        <v>15</v>
      </c>
      <c r="H739" s="123">
        <f t="shared" si="12"/>
        <v>5114.25</v>
      </c>
      <c r="I739" s="16"/>
      <c r="J739" s="16"/>
      <c r="K739"/>
      <c r="L739"/>
      <c r="M739" s="16"/>
      <c r="N739" s="16"/>
      <c r="O739"/>
      <c r="P739"/>
      <c r="Q739"/>
      <c r="R739"/>
      <c r="S739"/>
      <c r="T739"/>
      <c r="U739"/>
      <c r="V739"/>
      <c r="W739" s="17"/>
    </row>
    <row r="740" spans="1:23">
      <c r="A740" s="125" t="s">
        <v>16</v>
      </c>
      <c r="B740" s="14" t="s">
        <v>0</v>
      </c>
      <c r="C740" s="127" t="s">
        <v>29</v>
      </c>
      <c r="D740" s="14" t="s">
        <v>22</v>
      </c>
      <c r="E740" s="129">
        <f>42031+(7*364+7)</f>
        <v>44586</v>
      </c>
      <c r="F740" s="15">
        <v>168.95</v>
      </c>
      <c r="G740" s="130">
        <v>11</v>
      </c>
      <c r="H740" s="123">
        <f t="shared" si="12"/>
        <v>1858.4499999999998</v>
      </c>
      <c r="I740" s="16"/>
      <c r="J740" s="16"/>
      <c r="K740"/>
      <c r="L740"/>
      <c r="M740" s="16"/>
      <c r="N740" s="16"/>
      <c r="O740"/>
      <c r="P740"/>
      <c r="Q740"/>
      <c r="R740"/>
      <c r="S740"/>
      <c r="T740"/>
      <c r="U740"/>
      <c r="V740"/>
      <c r="W740" s="17"/>
    </row>
    <row r="741" spans="1:23">
      <c r="A741" s="125" t="s">
        <v>35</v>
      </c>
      <c r="B741" s="14" t="s">
        <v>1</v>
      </c>
      <c r="C741" s="127" t="s">
        <v>29</v>
      </c>
      <c r="D741" s="14" t="s">
        <v>22</v>
      </c>
      <c r="E741" s="129">
        <f>42038+(7*364+7)</f>
        <v>44593</v>
      </c>
      <c r="F741" s="15">
        <v>79.989999999999995</v>
      </c>
      <c r="G741" s="130">
        <v>1</v>
      </c>
      <c r="H741" s="123">
        <f t="shared" si="12"/>
        <v>79.989999999999995</v>
      </c>
      <c r="I741" s="16"/>
      <c r="J741" s="16"/>
      <c r="K741"/>
      <c r="L741"/>
      <c r="M741" s="16"/>
      <c r="N741" s="16"/>
      <c r="O741"/>
      <c r="P741"/>
      <c r="Q741"/>
      <c r="R741"/>
      <c r="S741"/>
      <c r="T741"/>
      <c r="U741"/>
      <c r="V741"/>
      <c r="W741" s="17"/>
    </row>
    <row r="742" spans="1:23">
      <c r="A742" s="125" t="s">
        <v>6</v>
      </c>
      <c r="B742" s="14" t="s">
        <v>3</v>
      </c>
      <c r="C742" s="127" t="s">
        <v>18</v>
      </c>
      <c r="D742" s="14" t="s">
        <v>22</v>
      </c>
      <c r="E742" s="129">
        <f>41770+(7*364+7)</f>
        <v>44325</v>
      </c>
      <c r="F742" s="15">
        <v>799.95</v>
      </c>
      <c r="G742" s="130">
        <v>6</v>
      </c>
      <c r="H742" s="123">
        <f t="shared" si="12"/>
        <v>4799.7000000000007</v>
      </c>
      <c r="I742" s="16"/>
      <c r="J742" s="16"/>
      <c r="K742"/>
      <c r="L742"/>
      <c r="M742" s="16"/>
      <c r="N742" s="16"/>
      <c r="O742"/>
      <c r="P742"/>
      <c r="Q742"/>
      <c r="R742"/>
      <c r="S742"/>
      <c r="T742"/>
      <c r="U742"/>
      <c r="V742"/>
      <c r="W742" s="17"/>
    </row>
    <row r="743" spans="1:23">
      <c r="A743" s="125" t="s">
        <v>17</v>
      </c>
      <c r="B743" s="14" t="s">
        <v>1</v>
      </c>
      <c r="C743" s="127" t="s">
        <v>18</v>
      </c>
      <c r="D743" s="14" t="s">
        <v>20</v>
      </c>
      <c r="E743" s="129">
        <f>42188+(7*364+7)</f>
        <v>44743</v>
      </c>
      <c r="F743" s="15">
        <v>79.989999999999995</v>
      </c>
      <c r="G743" s="130">
        <v>4</v>
      </c>
      <c r="H743" s="123">
        <f t="shared" si="12"/>
        <v>319.95999999999998</v>
      </c>
      <c r="I743" s="16"/>
      <c r="J743" s="16"/>
      <c r="K743"/>
      <c r="L743"/>
      <c r="M743" s="16"/>
      <c r="N743" s="16"/>
      <c r="O743"/>
      <c r="P743"/>
      <c r="Q743"/>
      <c r="R743"/>
      <c r="S743"/>
      <c r="T743"/>
      <c r="U743"/>
      <c r="V743"/>
      <c r="W743" s="17"/>
    </row>
    <row r="744" spans="1:23">
      <c r="A744" s="125" t="s">
        <v>28</v>
      </c>
      <c r="B744" s="14" t="s">
        <v>1</v>
      </c>
      <c r="C744" s="127" t="s">
        <v>32</v>
      </c>
      <c r="D744" s="14" t="s">
        <v>21</v>
      </c>
      <c r="E744" s="129">
        <f>41962+(7*364+7)</f>
        <v>44517</v>
      </c>
      <c r="F744" s="15">
        <v>79.989999999999995</v>
      </c>
      <c r="G744" s="130">
        <v>10</v>
      </c>
      <c r="H744" s="123">
        <f t="shared" si="12"/>
        <v>799.9</v>
      </c>
      <c r="I744" s="16"/>
      <c r="J744" s="16"/>
      <c r="K744"/>
      <c r="L744"/>
      <c r="M744" s="16"/>
      <c r="N744" s="16"/>
      <c r="O744"/>
      <c r="P744"/>
      <c r="Q744"/>
      <c r="R744"/>
      <c r="S744"/>
      <c r="T744"/>
      <c r="U744"/>
      <c r="V744"/>
      <c r="W744" s="17"/>
    </row>
    <row r="745" spans="1:23">
      <c r="A745" s="125" t="s">
        <v>16</v>
      </c>
      <c r="B745" s="14" t="s">
        <v>2</v>
      </c>
      <c r="C745" s="127" t="s">
        <v>29</v>
      </c>
      <c r="D745" s="14" t="s">
        <v>23</v>
      </c>
      <c r="E745" s="129">
        <f>42220+(7*364+7)</f>
        <v>44775</v>
      </c>
      <c r="F745" s="15">
        <v>340.95</v>
      </c>
      <c r="G745" s="130">
        <v>8</v>
      </c>
      <c r="H745" s="123">
        <f t="shared" si="12"/>
        <v>2727.6</v>
      </c>
      <c r="I745" s="16"/>
      <c r="J745" s="16"/>
      <c r="K745"/>
      <c r="L745"/>
      <c r="M745" s="16"/>
      <c r="N745" s="16"/>
      <c r="O745"/>
      <c r="P745"/>
      <c r="Q745"/>
      <c r="R745"/>
      <c r="S745"/>
      <c r="T745"/>
      <c r="U745"/>
      <c r="V745"/>
      <c r="W745" s="17"/>
    </row>
    <row r="746" spans="1:23">
      <c r="A746" s="125" t="s">
        <v>31</v>
      </c>
      <c r="B746" s="14" t="s">
        <v>0</v>
      </c>
      <c r="C746" s="127" t="s">
        <v>32</v>
      </c>
      <c r="D746" s="14" t="s">
        <v>23</v>
      </c>
      <c r="E746" s="129">
        <f>42328+(7*364+7)</f>
        <v>44883</v>
      </c>
      <c r="F746" s="15">
        <v>168.95</v>
      </c>
      <c r="G746" s="130">
        <v>3</v>
      </c>
      <c r="H746" s="123">
        <f t="shared" si="12"/>
        <v>506.84999999999997</v>
      </c>
      <c r="I746" s="16"/>
      <c r="J746" s="16"/>
      <c r="K746"/>
      <c r="L746"/>
      <c r="M746" s="16"/>
      <c r="N746" s="16"/>
      <c r="O746"/>
      <c r="P746"/>
      <c r="Q746"/>
      <c r="R746"/>
      <c r="S746"/>
      <c r="T746"/>
      <c r="U746"/>
      <c r="V746"/>
      <c r="W746" s="17"/>
    </row>
    <row r="747" spans="1:23">
      <c r="A747" s="125" t="s">
        <v>17</v>
      </c>
      <c r="B747" s="14" t="s">
        <v>4</v>
      </c>
      <c r="C747" s="127" t="s">
        <v>18</v>
      </c>
      <c r="D747" s="14" t="s">
        <v>21</v>
      </c>
      <c r="E747" s="129">
        <f>41894+(7*364+7)</f>
        <v>44449</v>
      </c>
      <c r="F747" s="15">
        <v>340.95</v>
      </c>
      <c r="G747" s="130">
        <v>10</v>
      </c>
      <c r="H747" s="123">
        <f t="shared" si="12"/>
        <v>3409.5</v>
      </c>
      <c r="I747" s="16"/>
      <c r="J747" s="16"/>
      <c r="K747"/>
      <c r="L747"/>
      <c r="M747" s="16"/>
      <c r="N747" s="16"/>
      <c r="O747"/>
      <c r="P747"/>
      <c r="Q747"/>
      <c r="R747"/>
      <c r="S747"/>
      <c r="T747"/>
      <c r="U747"/>
      <c r="V747"/>
      <c r="W747" s="17"/>
    </row>
    <row r="748" spans="1:23">
      <c r="A748" s="125" t="s">
        <v>26</v>
      </c>
      <c r="B748" s="14" t="s">
        <v>3</v>
      </c>
      <c r="C748" s="127" t="s">
        <v>27</v>
      </c>
      <c r="D748" s="14" t="s">
        <v>21</v>
      </c>
      <c r="E748" s="129">
        <f>42125+(7*364+7)</f>
        <v>44680</v>
      </c>
      <c r="F748" s="15">
        <v>799.95</v>
      </c>
      <c r="G748" s="130">
        <v>9</v>
      </c>
      <c r="H748" s="123">
        <f t="shared" si="12"/>
        <v>7199.55</v>
      </c>
      <c r="I748" s="16"/>
      <c r="J748" s="16"/>
      <c r="K748"/>
      <c r="L748"/>
      <c r="M748" s="16"/>
      <c r="N748" s="16"/>
      <c r="O748"/>
      <c r="P748"/>
      <c r="Q748"/>
      <c r="R748"/>
      <c r="S748"/>
      <c r="T748"/>
      <c r="U748"/>
      <c r="V748"/>
      <c r="W748" s="17"/>
    </row>
    <row r="749" spans="1:23">
      <c r="A749" s="125" t="s">
        <v>16</v>
      </c>
      <c r="B749" s="14" t="s">
        <v>4</v>
      </c>
      <c r="C749" s="127" t="s">
        <v>29</v>
      </c>
      <c r="D749" s="14" t="s">
        <v>21</v>
      </c>
      <c r="E749" s="129">
        <f>42053+(7*364+7)</f>
        <v>44608</v>
      </c>
      <c r="F749" s="15">
        <v>340.95</v>
      </c>
      <c r="G749" s="130">
        <v>15</v>
      </c>
      <c r="H749" s="123">
        <f t="shared" si="12"/>
        <v>5114.25</v>
      </c>
      <c r="I749" s="16"/>
      <c r="J749" s="16"/>
      <c r="K749"/>
      <c r="L749"/>
      <c r="M749" s="16"/>
      <c r="N749" s="16"/>
      <c r="O749"/>
      <c r="P749"/>
      <c r="Q749"/>
      <c r="R749"/>
      <c r="S749"/>
      <c r="T749"/>
      <c r="U749"/>
      <c r="V749"/>
      <c r="W749" s="17"/>
    </row>
    <row r="750" spans="1:23">
      <c r="A750" s="125" t="s">
        <v>17</v>
      </c>
      <c r="B750" s="14" t="s">
        <v>1</v>
      </c>
      <c r="C750" s="127" t="s">
        <v>18</v>
      </c>
      <c r="D750" s="14" t="s">
        <v>21</v>
      </c>
      <c r="E750" s="129">
        <f>42180+(7*364+7)</f>
        <v>44735</v>
      </c>
      <c r="F750" s="15">
        <v>79.989999999999995</v>
      </c>
      <c r="G750" s="130">
        <v>3</v>
      </c>
      <c r="H750" s="123">
        <f t="shared" si="12"/>
        <v>239.96999999999997</v>
      </c>
      <c r="I750" s="16"/>
      <c r="J750" s="16"/>
      <c r="K750"/>
      <c r="L750"/>
      <c r="M750" s="16"/>
      <c r="N750" s="16"/>
      <c r="O750"/>
      <c r="P750"/>
      <c r="Q750"/>
      <c r="R750"/>
      <c r="S750"/>
      <c r="T750"/>
      <c r="U750"/>
      <c r="V750"/>
      <c r="W750" s="17"/>
    </row>
    <row r="751" spans="1:23">
      <c r="A751" s="125" t="s">
        <v>31</v>
      </c>
      <c r="B751" s="14" t="s">
        <v>2</v>
      </c>
      <c r="C751" s="127" t="s">
        <v>32</v>
      </c>
      <c r="D751" s="14" t="s">
        <v>20</v>
      </c>
      <c r="E751" s="129">
        <f>42077+(7*364+7)</f>
        <v>44632</v>
      </c>
      <c r="F751" s="15">
        <v>340.95</v>
      </c>
      <c r="G751" s="130">
        <v>13</v>
      </c>
      <c r="H751" s="123">
        <f t="shared" si="12"/>
        <v>4432.3499999999995</v>
      </c>
      <c r="I751" s="16"/>
      <c r="J751" s="16"/>
      <c r="K751"/>
      <c r="L751"/>
      <c r="M751" s="16"/>
      <c r="N751" s="16"/>
      <c r="O751"/>
      <c r="P751"/>
      <c r="Q751"/>
      <c r="R751"/>
      <c r="S751"/>
      <c r="T751"/>
      <c r="U751"/>
      <c r="V751"/>
      <c r="W751" s="17"/>
    </row>
    <row r="752" spans="1:23">
      <c r="A752" s="125" t="s">
        <v>16</v>
      </c>
      <c r="B752" s="14" t="s">
        <v>2</v>
      </c>
      <c r="C752" s="127" t="s">
        <v>29</v>
      </c>
      <c r="D752" s="14" t="s">
        <v>19</v>
      </c>
      <c r="E752" s="129">
        <f>42040+(7*364+7)</f>
        <v>44595</v>
      </c>
      <c r="F752" s="15">
        <v>340.95</v>
      </c>
      <c r="G752" s="130">
        <v>12</v>
      </c>
      <c r="H752" s="123">
        <f t="shared" si="12"/>
        <v>4091.3999999999996</v>
      </c>
      <c r="I752" s="16"/>
      <c r="J752" s="16"/>
      <c r="K752"/>
      <c r="L752"/>
      <c r="M752" s="16"/>
      <c r="N752" s="16"/>
      <c r="O752"/>
      <c r="P752"/>
      <c r="Q752"/>
      <c r="R752"/>
      <c r="S752"/>
      <c r="T752"/>
      <c r="U752"/>
      <c r="V752"/>
      <c r="W752" s="17"/>
    </row>
    <row r="753" spans="1:23">
      <c r="A753" s="125" t="s">
        <v>34</v>
      </c>
      <c r="B753" s="14" t="s">
        <v>2</v>
      </c>
      <c r="C753" s="127" t="s">
        <v>32</v>
      </c>
      <c r="D753" s="14" t="s">
        <v>23</v>
      </c>
      <c r="E753" s="129">
        <f>41840+(7*364+7)</f>
        <v>44395</v>
      </c>
      <c r="F753" s="15">
        <v>340.95</v>
      </c>
      <c r="G753" s="130">
        <v>13</v>
      </c>
      <c r="H753" s="123">
        <f t="shared" si="12"/>
        <v>4432.3499999999995</v>
      </c>
      <c r="I753" s="16"/>
      <c r="J753" s="16"/>
      <c r="K753"/>
      <c r="L753"/>
      <c r="M753" s="16"/>
      <c r="N753" s="16"/>
      <c r="O753"/>
      <c r="P753"/>
      <c r="Q753"/>
      <c r="R753"/>
      <c r="S753"/>
      <c r="T753"/>
      <c r="U753"/>
      <c r="V753"/>
      <c r="W753" s="17"/>
    </row>
    <row r="754" spans="1:23">
      <c r="A754" s="125" t="s">
        <v>26</v>
      </c>
      <c r="B754" s="14" t="s">
        <v>1</v>
      </c>
      <c r="C754" s="127" t="s">
        <v>27</v>
      </c>
      <c r="D754" s="14" t="s">
        <v>19</v>
      </c>
      <c r="E754" s="129">
        <f>41887+(7*364+7)</f>
        <v>44442</v>
      </c>
      <c r="F754" s="15">
        <v>79.989999999999995</v>
      </c>
      <c r="G754" s="130">
        <v>11</v>
      </c>
      <c r="H754" s="123">
        <f t="shared" si="12"/>
        <v>879.89</v>
      </c>
      <c r="I754" s="16"/>
      <c r="J754" s="16"/>
      <c r="K754"/>
      <c r="L754"/>
      <c r="M754" s="16"/>
      <c r="N754" s="16"/>
      <c r="O754"/>
      <c r="P754"/>
      <c r="Q754"/>
      <c r="R754"/>
      <c r="S754"/>
      <c r="T754"/>
      <c r="U754"/>
      <c r="V754"/>
      <c r="W754" s="17"/>
    </row>
    <row r="755" spans="1:23">
      <c r="A755" s="125" t="s">
        <v>6</v>
      </c>
      <c r="B755" s="14" t="s">
        <v>3</v>
      </c>
      <c r="C755" s="127" t="s">
        <v>18</v>
      </c>
      <c r="D755" s="14" t="s">
        <v>22</v>
      </c>
      <c r="E755" s="129">
        <f>41867+(7*364+7)</f>
        <v>44422</v>
      </c>
      <c r="F755" s="15">
        <v>799.95</v>
      </c>
      <c r="G755" s="130">
        <v>9</v>
      </c>
      <c r="H755" s="123">
        <f t="shared" si="12"/>
        <v>7199.55</v>
      </c>
      <c r="I755" s="16"/>
      <c r="J755" s="16"/>
      <c r="K755"/>
      <c r="L755"/>
      <c r="M755" s="16"/>
      <c r="N755" s="16"/>
      <c r="O755"/>
      <c r="P755"/>
      <c r="Q755"/>
      <c r="R755"/>
      <c r="S755"/>
      <c r="T755"/>
      <c r="U755"/>
      <c r="V755"/>
      <c r="W755" s="17"/>
    </row>
    <row r="756" spans="1:23">
      <c r="A756" s="125" t="s">
        <v>30</v>
      </c>
      <c r="B756" s="14" t="s">
        <v>4</v>
      </c>
      <c r="C756" s="127" t="s">
        <v>18</v>
      </c>
      <c r="D756" s="14" t="s">
        <v>19</v>
      </c>
      <c r="E756" s="129">
        <f>41966+(7*364+7)</f>
        <v>44521</v>
      </c>
      <c r="F756" s="15">
        <v>340.95</v>
      </c>
      <c r="G756" s="130">
        <v>19</v>
      </c>
      <c r="H756" s="123">
        <f t="shared" si="12"/>
        <v>6478.05</v>
      </c>
      <c r="I756" s="16"/>
      <c r="J756" s="16"/>
      <c r="K756"/>
      <c r="L756"/>
      <c r="M756" s="16"/>
      <c r="N756" s="16"/>
      <c r="O756"/>
      <c r="P756"/>
      <c r="Q756"/>
      <c r="R756"/>
      <c r="S756"/>
      <c r="T756"/>
      <c r="U756"/>
      <c r="V756"/>
      <c r="W756" s="17"/>
    </row>
    <row r="757" spans="1:23">
      <c r="A757" s="125" t="s">
        <v>17</v>
      </c>
      <c r="B757" s="14" t="s">
        <v>3</v>
      </c>
      <c r="C757" s="127" t="s">
        <v>18</v>
      </c>
      <c r="D757" s="14" t="s">
        <v>23</v>
      </c>
      <c r="E757" s="129">
        <f>41669+(7*364+7)</f>
        <v>44224</v>
      </c>
      <c r="F757" s="15">
        <v>799.95</v>
      </c>
      <c r="G757" s="130">
        <v>7</v>
      </c>
      <c r="H757" s="123">
        <f t="shared" si="12"/>
        <v>5599.6500000000005</v>
      </c>
      <c r="I757" s="16"/>
      <c r="J757" s="16"/>
      <c r="K757"/>
      <c r="L757"/>
      <c r="M757" s="16"/>
      <c r="N757" s="16"/>
      <c r="O757"/>
      <c r="P757"/>
      <c r="Q757"/>
      <c r="R757"/>
      <c r="S757"/>
      <c r="T757"/>
      <c r="U757"/>
      <c r="V757"/>
      <c r="W757" s="17"/>
    </row>
    <row r="758" spans="1:23">
      <c r="A758" s="125" t="s">
        <v>33</v>
      </c>
      <c r="B758" s="14" t="s">
        <v>4</v>
      </c>
      <c r="C758" s="127" t="s">
        <v>18</v>
      </c>
      <c r="D758" s="14" t="s">
        <v>23</v>
      </c>
      <c r="E758" s="129">
        <f>42064+(7*364+7)</f>
        <v>44619</v>
      </c>
      <c r="F758" s="15">
        <v>340.95</v>
      </c>
      <c r="G758" s="130">
        <v>11</v>
      </c>
      <c r="H758" s="123">
        <f t="shared" si="12"/>
        <v>3750.45</v>
      </c>
      <c r="I758" s="16"/>
      <c r="J758" s="16"/>
      <c r="K758"/>
      <c r="L758"/>
      <c r="M758" s="16"/>
      <c r="N758" s="16"/>
      <c r="O758"/>
      <c r="P758"/>
      <c r="Q758"/>
      <c r="R758"/>
      <c r="S758"/>
      <c r="T758"/>
      <c r="U758"/>
      <c r="V758"/>
      <c r="W758" s="17"/>
    </row>
    <row r="759" spans="1:23">
      <c r="A759" s="125" t="s">
        <v>16</v>
      </c>
      <c r="B759" s="14" t="s">
        <v>0</v>
      </c>
      <c r="C759" s="127" t="s">
        <v>29</v>
      </c>
      <c r="D759" s="14" t="s">
        <v>23</v>
      </c>
      <c r="E759" s="129">
        <f>42302+(7*364+7)</f>
        <v>44857</v>
      </c>
      <c r="F759" s="15">
        <v>168.95</v>
      </c>
      <c r="G759" s="130">
        <v>1</v>
      </c>
      <c r="H759" s="123">
        <f t="shared" si="12"/>
        <v>168.95</v>
      </c>
      <c r="I759" s="16"/>
      <c r="J759" s="16"/>
      <c r="K759"/>
      <c r="L759"/>
      <c r="M759" s="16"/>
      <c r="N759" s="16"/>
      <c r="O759"/>
      <c r="P759"/>
      <c r="Q759"/>
      <c r="R759"/>
      <c r="S759"/>
      <c r="T759"/>
      <c r="U759"/>
      <c r="V759"/>
      <c r="W759" s="17"/>
    </row>
    <row r="760" spans="1:23">
      <c r="A760" s="125" t="s">
        <v>26</v>
      </c>
      <c r="B760" s="14" t="s">
        <v>2</v>
      </c>
      <c r="C760" s="127" t="s">
        <v>27</v>
      </c>
      <c r="D760" s="14" t="s">
        <v>21</v>
      </c>
      <c r="E760" s="129">
        <f>41903+(7*364+7)</f>
        <v>44458</v>
      </c>
      <c r="F760" s="15">
        <v>340.95</v>
      </c>
      <c r="G760" s="130">
        <v>12</v>
      </c>
      <c r="H760" s="123">
        <f t="shared" si="12"/>
        <v>4091.3999999999996</v>
      </c>
      <c r="I760" s="16"/>
      <c r="J760" s="16"/>
      <c r="K760" s="16"/>
      <c r="L760" s="16"/>
      <c r="M760" s="16"/>
      <c r="N760" s="16"/>
      <c r="O760"/>
      <c r="P760"/>
      <c r="Q760"/>
      <c r="R760"/>
      <c r="S760"/>
      <c r="T760"/>
      <c r="U760"/>
      <c r="V760"/>
      <c r="W760" s="17"/>
    </row>
    <row r="761" spans="1:23">
      <c r="A761" s="125" t="s">
        <v>25</v>
      </c>
      <c r="B761" s="14" t="s">
        <v>4</v>
      </c>
      <c r="C761" s="127" t="s">
        <v>32</v>
      </c>
      <c r="D761" s="14" t="s">
        <v>22</v>
      </c>
      <c r="E761" s="129">
        <f>41719+(7*364+7)</f>
        <v>44274</v>
      </c>
      <c r="F761" s="15">
        <v>340.95</v>
      </c>
      <c r="G761" s="130">
        <v>1</v>
      </c>
      <c r="H761" s="123">
        <f t="shared" si="12"/>
        <v>340.95</v>
      </c>
      <c r="I761" s="16"/>
      <c r="J761" s="16"/>
      <c r="K761" s="16"/>
      <c r="L761" s="16"/>
      <c r="M761" s="16"/>
      <c r="N761" s="16"/>
      <c r="O761"/>
      <c r="P761"/>
      <c r="Q761"/>
      <c r="R761"/>
      <c r="S761"/>
      <c r="T761"/>
      <c r="U761"/>
      <c r="V761"/>
      <c r="W761" s="17"/>
    </row>
    <row r="762" spans="1:23">
      <c r="A762" s="125" t="s">
        <v>16</v>
      </c>
      <c r="B762" s="14" t="s">
        <v>1</v>
      </c>
      <c r="C762" s="127" t="s">
        <v>29</v>
      </c>
      <c r="D762" s="14" t="s">
        <v>20</v>
      </c>
      <c r="E762" s="129">
        <f>41769+(7*364+7)</f>
        <v>44324</v>
      </c>
      <c r="F762" s="15">
        <v>79.989999999999995</v>
      </c>
      <c r="G762" s="130">
        <v>5</v>
      </c>
      <c r="H762" s="123">
        <f t="shared" si="12"/>
        <v>399.95</v>
      </c>
      <c r="I762" s="16"/>
      <c r="J762" s="16"/>
      <c r="K762" s="16"/>
      <c r="L762" s="16"/>
      <c r="M762" s="16"/>
      <c r="N762" s="16"/>
      <c r="O762"/>
      <c r="P762"/>
      <c r="Q762"/>
      <c r="R762"/>
      <c r="S762"/>
      <c r="T762"/>
      <c r="U762"/>
      <c r="V762"/>
      <c r="W762" s="17"/>
    </row>
    <row r="763" spans="1:23">
      <c r="A763" s="125" t="s">
        <v>30</v>
      </c>
      <c r="B763" s="14" t="s">
        <v>2</v>
      </c>
      <c r="C763" s="127" t="s">
        <v>18</v>
      </c>
      <c r="D763" s="14" t="s">
        <v>21</v>
      </c>
      <c r="E763" s="129">
        <f>41773+(7*364+7)</f>
        <v>44328</v>
      </c>
      <c r="F763" s="15">
        <v>340.95</v>
      </c>
      <c r="G763" s="130">
        <v>11</v>
      </c>
      <c r="H763" s="123">
        <f t="shared" si="12"/>
        <v>3750.45</v>
      </c>
      <c r="I763" s="16"/>
      <c r="J763" s="16"/>
      <c r="K763" s="16"/>
      <c r="L763" s="16"/>
      <c r="M763" s="16"/>
      <c r="N763" s="16"/>
      <c r="O763"/>
      <c r="P763"/>
      <c r="Q763"/>
      <c r="R763"/>
      <c r="S763"/>
      <c r="T763"/>
      <c r="U763"/>
      <c r="V763"/>
      <c r="W763" s="17"/>
    </row>
    <row r="764" spans="1:23">
      <c r="A764" s="125" t="s">
        <v>33</v>
      </c>
      <c r="B764" s="14" t="s">
        <v>2</v>
      </c>
      <c r="C764" s="127" t="s">
        <v>18</v>
      </c>
      <c r="D764" s="14" t="s">
        <v>19</v>
      </c>
      <c r="E764" s="129">
        <f>41801+(7*364+7)</f>
        <v>44356</v>
      </c>
      <c r="F764" s="15">
        <v>340.95</v>
      </c>
      <c r="G764" s="130">
        <v>13</v>
      </c>
      <c r="H764" s="123">
        <f t="shared" si="12"/>
        <v>4432.3499999999995</v>
      </c>
      <c r="I764" s="16"/>
      <c r="J764" s="16"/>
      <c r="K764" s="16"/>
      <c r="L764" s="16"/>
      <c r="M764" s="16"/>
      <c r="N764" s="16"/>
      <c r="O764"/>
      <c r="P764"/>
      <c r="Q764"/>
      <c r="R764"/>
      <c r="S764"/>
      <c r="T764"/>
      <c r="U764"/>
      <c r="V764"/>
      <c r="W764" s="17"/>
    </row>
    <row r="765" spans="1:23">
      <c r="A765" s="125" t="s">
        <v>17</v>
      </c>
      <c r="B765" s="14" t="s">
        <v>3</v>
      </c>
      <c r="C765" s="127" t="s">
        <v>18</v>
      </c>
      <c r="D765" s="14" t="s">
        <v>23</v>
      </c>
      <c r="E765" s="129">
        <f>42228+(7*364+7)</f>
        <v>44783</v>
      </c>
      <c r="F765" s="15">
        <v>799.95</v>
      </c>
      <c r="G765" s="130">
        <v>12</v>
      </c>
      <c r="H765" s="123">
        <f t="shared" si="12"/>
        <v>9599.4000000000015</v>
      </c>
      <c r="I765" s="16"/>
      <c r="J765" s="16"/>
      <c r="K765" s="16"/>
      <c r="L765" s="16"/>
      <c r="M765" s="16"/>
      <c r="N765" s="16"/>
      <c r="O765"/>
      <c r="P765"/>
      <c r="Q765"/>
      <c r="R765"/>
      <c r="S765"/>
      <c r="T765"/>
      <c r="U765"/>
      <c r="V765"/>
      <c r="W765" s="17"/>
    </row>
    <row r="766" spans="1:23">
      <c r="A766" s="125" t="s">
        <v>25</v>
      </c>
      <c r="B766" s="14" t="s">
        <v>4</v>
      </c>
      <c r="C766" s="127" t="s">
        <v>32</v>
      </c>
      <c r="D766" s="14" t="s">
        <v>21</v>
      </c>
      <c r="E766" s="129">
        <f>42066+(7*364+7)</f>
        <v>44621</v>
      </c>
      <c r="F766" s="15">
        <v>340.95</v>
      </c>
      <c r="G766" s="130">
        <v>12</v>
      </c>
      <c r="H766" s="123">
        <f t="shared" si="12"/>
        <v>4091.3999999999996</v>
      </c>
      <c r="I766" s="16"/>
      <c r="J766" s="16"/>
      <c r="K766" s="16"/>
      <c r="L766" s="16"/>
      <c r="M766" s="16"/>
      <c r="N766" s="16"/>
      <c r="O766"/>
      <c r="P766"/>
      <c r="Q766"/>
      <c r="R766"/>
      <c r="S766"/>
      <c r="T766"/>
      <c r="U766"/>
      <c r="V766"/>
      <c r="W766" s="17"/>
    </row>
    <row r="767" spans="1:23">
      <c r="A767" s="125" t="s">
        <v>35</v>
      </c>
      <c r="B767" s="14" t="s">
        <v>1</v>
      </c>
      <c r="C767" s="127" t="s">
        <v>29</v>
      </c>
      <c r="D767" s="14" t="s">
        <v>22</v>
      </c>
      <c r="E767" s="129">
        <f>41991+(7*364+7)</f>
        <v>44546</v>
      </c>
      <c r="F767" s="15">
        <v>79.989999999999995</v>
      </c>
      <c r="G767" s="130">
        <v>4</v>
      </c>
      <c r="H767" s="123">
        <f t="shared" si="12"/>
        <v>319.95999999999998</v>
      </c>
      <c r="I767" s="16"/>
      <c r="J767" s="16"/>
      <c r="K767" s="16"/>
      <c r="L767" s="16"/>
      <c r="M767" s="16"/>
      <c r="N767" s="16"/>
      <c r="O767"/>
      <c r="P767"/>
      <c r="Q767"/>
      <c r="R767"/>
      <c r="S767"/>
      <c r="T767"/>
      <c r="U767"/>
      <c r="V767"/>
      <c r="W767" s="17"/>
    </row>
    <row r="768" spans="1:23">
      <c r="A768" s="125" t="s">
        <v>35</v>
      </c>
      <c r="B768" s="14" t="s">
        <v>3</v>
      </c>
      <c r="C768" s="127" t="s">
        <v>29</v>
      </c>
      <c r="D768" s="14" t="s">
        <v>23</v>
      </c>
      <c r="E768" s="129">
        <f>42026+(7*364+7)</f>
        <v>44581</v>
      </c>
      <c r="F768" s="15">
        <v>799.95</v>
      </c>
      <c r="G768" s="130">
        <v>10</v>
      </c>
      <c r="H768" s="123">
        <f t="shared" si="12"/>
        <v>7999.5</v>
      </c>
      <c r="I768" s="16"/>
      <c r="J768" s="16"/>
      <c r="K768" s="16"/>
      <c r="L768" s="16"/>
      <c r="M768" s="16"/>
      <c r="N768" s="16"/>
      <c r="O768"/>
      <c r="P768"/>
      <c r="Q768"/>
      <c r="R768"/>
      <c r="S768"/>
      <c r="T768"/>
      <c r="U768"/>
      <c r="V768"/>
      <c r="W768" s="17"/>
    </row>
    <row r="769" spans="1:23">
      <c r="A769" s="125" t="s">
        <v>34</v>
      </c>
      <c r="B769" s="14" t="s">
        <v>3</v>
      </c>
      <c r="C769" s="127" t="s">
        <v>32</v>
      </c>
      <c r="D769" s="14" t="s">
        <v>20</v>
      </c>
      <c r="E769" s="129">
        <f>41942+(7*364+7)</f>
        <v>44497</v>
      </c>
      <c r="F769" s="15">
        <v>799.95</v>
      </c>
      <c r="G769" s="130">
        <v>9</v>
      </c>
      <c r="H769" s="123">
        <f t="shared" si="12"/>
        <v>7199.55</v>
      </c>
      <c r="I769" s="16"/>
      <c r="J769" s="16"/>
      <c r="K769" s="16"/>
      <c r="L769" s="16"/>
      <c r="M769" s="16"/>
      <c r="N769" s="16"/>
      <c r="O769"/>
      <c r="P769"/>
      <c r="Q769"/>
      <c r="R769"/>
      <c r="S769"/>
      <c r="T769"/>
      <c r="U769"/>
      <c r="V769"/>
      <c r="W769" s="17"/>
    </row>
    <row r="770" spans="1:23">
      <c r="A770" s="125" t="s">
        <v>16</v>
      </c>
      <c r="B770" s="14" t="s">
        <v>4</v>
      </c>
      <c r="C770" s="127" t="s">
        <v>29</v>
      </c>
      <c r="D770" s="14" t="s">
        <v>20</v>
      </c>
      <c r="E770" s="129">
        <f>42323+(7*364+7)</f>
        <v>44878</v>
      </c>
      <c r="F770" s="15">
        <v>340.95</v>
      </c>
      <c r="G770" s="130">
        <v>2</v>
      </c>
      <c r="H770" s="123">
        <f t="shared" si="12"/>
        <v>681.9</v>
      </c>
      <c r="I770" s="16"/>
      <c r="J770" s="16"/>
      <c r="K770" s="16"/>
      <c r="L770" s="16"/>
      <c r="M770" s="16"/>
      <c r="N770" s="16"/>
      <c r="O770"/>
      <c r="P770"/>
      <c r="Q770"/>
      <c r="R770"/>
      <c r="S770"/>
      <c r="T770"/>
      <c r="U770"/>
      <c r="V770"/>
      <c r="W770" s="17"/>
    </row>
    <row r="771" spans="1:23">
      <c r="A771" s="125" t="s">
        <v>17</v>
      </c>
      <c r="B771" s="14" t="s">
        <v>0</v>
      </c>
      <c r="C771" s="127" t="s">
        <v>18</v>
      </c>
      <c r="D771" s="14" t="s">
        <v>22</v>
      </c>
      <c r="E771" s="129">
        <f>42354+(7*364+7)</f>
        <v>44909</v>
      </c>
      <c r="F771" s="15">
        <v>168.95</v>
      </c>
      <c r="G771" s="130">
        <v>7</v>
      </c>
      <c r="H771" s="123">
        <f t="shared" ref="H771:H834" si="13">F771*G771</f>
        <v>1182.6499999999999</v>
      </c>
      <c r="I771" s="16"/>
      <c r="J771" s="16"/>
      <c r="K771" s="16"/>
      <c r="L771" s="16"/>
      <c r="M771" s="16"/>
      <c r="N771" s="16"/>
      <c r="O771"/>
      <c r="P771"/>
      <c r="Q771"/>
      <c r="R771"/>
      <c r="S771"/>
      <c r="T771"/>
      <c r="U771"/>
      <c r="V771"/>
      <c r="W771" s="17"/>
    </row>
    <row r="772" spans="1:23">
      <c r="A772" s="125" t="s">
        <v>26</v>
      </c>
      <c r="B772" s="14" t="s">
        <v>0</v>
      </c>
      <c r="C772" s="127" t="s">
        <v>27</v>
      </c>
      <c r="D772" s="14" t="s">
        <v>20</v>
      </c>
      <c r="E772" s="129">
        <f>41702+(7*364+7)</f>
        <v>44257</v>
      </c>
      <c r="F772" s="15">
        <v>168.95</v>
      </c>
      <c r="G772" s="130">
        <v>4</v>
      </c>
      <c r="H772" s="123">
        <f t="shared" si="13"/>
        <v>675.8</v>
      </c>
      <c r="I772" s="16"/>
      <c r="J772" s="16"/>
      <c r="K772" s="16"/>
      <c r="L772" s="16"/>
      <c r="M772" s="16"/>
      <c r="N772" s="16"/>
      <c r="O772"/>
      <c r="P772"/>
      <c r="Q772"/>
      <c r="R772"/>
      <c r="S772"/>
      <c r="T772"/>
      <c r="U772"/>
      <c r="V772"/>
      <c r="W772" s="17"/>
    </row>
    <row r="773" spans="1:23">
      <c r="A773" s="125" t="s">
        <v>17</v>
      </c>
      <c r="B773" s="14" t="s">
        <v>3</v>
      </c>
      <c r="C773" s="127" t="s">
        <v>18</v>
      </c>
      <c r="D773" s="14" t="s">
        <v>22</v>
      </c>
      <c r="E773" s="129">
        <f>41969+(7*364+7)</f>
        <v>44524</v>
      </c>
      <c r="F773" s="15">
        <v>799.95</v>
      </c>
      <c r="G773" s="130">
        <v>14</v>
      </c>
      <c r="H773" s="123">
        <f t="shared" si="13"/>
        <v>11199.300000000001</v>
      </c>
      <c r="I773" s="16"/>
      <c r="J773" s="16"/>
      <c r="K773" s="16"/>
      <c r="L773" s="16"/>
      <c r="M773" s="16"/>
      <c r="N773" s="16"/>
      <c r="O773"/>
      <c r="P773"/>
      <c r="Q773"/>
      <c r="R773"/>
      <c r="S773"/>
      <c r="T773"/>
      <c r="U773"/>
      <c r="V773"/>
      <c r="W773" s="17"/>
    </row>
    <row r="774" spans="1:23">
      <c r="A774" s="125" t="s">
        <v>7</v>
      </c>
      <c r="B774" s="14" t="s">
        <v>3</v>
      </c>
      <c r="C774" s="127" t="s">
        <v>27</v>
      </c>
      <c r="D774" s="14" t="s">
        <v>22</v>
      </c>
      <c r="E774" s="129">
        <f>41833+(7*364+7)</f>
        <v>44388</v>
      </c>
      <c r="F774" s="15">
        <v>799.95</v>
      </c>
      <c r="G774" s="130">
        <v>3</v>
      </c>
      <c r="H774" s="123">
        <f t="shared" si="13"/>
        <v>2399.8500000000004</v>
      </c>
      <c r="I774" s="16"/>
      <c r="J774" s="16"/>
      <c r="K774" s="16"/>
      <c r="L774" s="16"/>
      <c r="M774" s="16"/>
      <c r="N774" s="16"/>
      <c r="O774"/>
      <c r="P774"/>
      <c r="Q774"/>
      <c r="R774"/>
      <c r="S774"/>
      <c r="T774"/>
      <c r="U774"/>
      <c r="V774"/>
      <c r="W774" s="17"/>
    </row>
    <row r="775" spans="1:23">
      <c r="A775" s="125" t="s">
        <v>33</v>
      </c>
      <c r="B775" s="14" t="s">
        <v>4</v>
      </c>
      <c r="C775" s="127" t="s">
        <v>18</v>
      </c>
      <c r="D775" s="14" t="s">
        <v>21</v>
      </c>
      <c r="E775" s="129">
        <f>41844+(7*364+7)</f>
        <v>44399</v>
      </c>
      <c r="F775" s="15">
        <v>340.95</v>
      </c>
      <c r="G775" s="130">
        <v>7</v>
      </c>
      <c r="H775" s="123">
        <f t="shared" si="13"/>
        <v>2386.65</v>
      </c>
      <c r="I775" s="16"/>
      <c r="J775" s="16"/>
      <c r="K775" s="16"/>
      <c r="L775" s="16"/>
      <c r="M775" s="16"/>
      <c r="N775" s="16"/>
      <c r="O775"/>
      <c r="P775"/>
      <c r="Q775"/>
      <c r="R775"/>
      <c r="S775"/>
      <c r="T775"/>
      <c r="U775"/>
      <c r="V775"/>
      <c r="W775" s="17"/>
    </row>
    <row r="776" spans="1:23">
      <c r="A776" s="125" t="s">
        <v>6</v>
      </c>
      <c r="B776" s="14" t="s">
        <v>2</v>
      </c>
      <c r="C776" s="127" t="s">
        <v>29</v>
      </c>
      <c r="D776" s="14" t="s">
        <v>19</v>
      </c>
      <c r="E776" s="129">
        <f>41972+(7*364+7)</f>
        <v>44527</v>
      </c>
      <c r="F776" s="15">
        <v>340.95</v>
      </c>
      <c r="G776" s="130">
        <v>17</v>
      </c>
      <c r="H776" s="123">
        <f t="shared" si="13"/>
        <v>5796.15</v>
      </c>
      <c r="I776" s="16"/>
      <c r="J776" s="16"/>
      <c r="K776" s="16"/>
      <c r="L776" s="16"/>
      <c r="M776" s="16"/>
      <c r="N776" s="16"/>
      <c r="O776"/>
      <c r="P776"/>
      <c r="Q776"/>
      <c r="R776"/>
      <c r="S776"/>
      <c r="T776"/>
      <c r="U776"/>
      <c r="V776"/>
      <c r="W776" s="17"/>
    </row>
    <row r="777" spans="1:23">
      <c r="A777" s="125" t="s">
        <v>16</v>
      </c>
      <c r="B777" s="14" t="s">
        <v>1</v>
      </c>
      <c r="C777" s="127" t="s">
        <v>29</v>
      </c>
      <c r="D777" s="14" t="s">
        <v>21</v>
      </c>
      <c r="E777" s="129">
        <f>42172+(7*364+7)</f>
        <v>44727</v>
      </c>
      <c r="F777" s="15">
        <v>79.989999999999995</v>
      </c>
      <c r="G777" s="130">
        <v>11</v>
      </c>
      <c r="H777" s="123">
        <f t="shared" si="13"/>
        <v>879.89</v>
      </c>
      <c r="I777" s="16"/>
      <c r="J777" s="16"/>
      <c r="K777" s="16"/>
      <c r="L777" s="16"/>
      <c r="M777" s="16"/>
      <c r="N777" s="16"/>
      <c r="O777"/>
      <c r="P777"/>
      <c r="Q777"/>
      <c r="R777"/>
      <c r="S777"/>
      <c r="T777"/>
      <c r="U777"/>
      <c r="V777"/>
      <c r="W777" s="17"/>
    </row>
    <row r="778" spans="1:23">
      <c r="A778" s="125" t="s">
        <v>28</v>
      </c>
      <c r="B778" s="14" t="s">
        <v>4</v>
      </c>
      <c r="C778" s="127" t="s">
        <v>32</v>
      </c>
      <c r="D778" s="14" t="s">
        <v>20</v>
      </c>
      <c r="E778" s="129">
        <f>42228+(7*364+7)</f>
        <v>44783</v>
      </c>
      <c r="F778" s="15">
        <v>340.95</v>
      </c>
      <c r="G778" s="130">
        <v>13</v>
      </c>
      <c r="H778" s="123">
        <f t="shared" si="13"/>
        <v>4432.3499999999995</v>
      </c>
      <c r="I778" s="16"/>
      <c r="J778" s="16"/>
      <c r="K778" s="16"/>
      <c r="L778" s="16"/>
      <c r="M778" s="16"/>
      <c r="N778" s="16"/>
      <c r="O778"/>
      <c r="P778"/>
      <c r="Q778"/>
      <c r="R778"/>
      <c r="S778"/>
      <c r="T778"/>
      <c r="U778"/>
      <c r="V778"/>
      <c r="W778" s="17"/>
    </row>
    <row r="779" spans="1:23">
      <c r="A779" s="125" t="s">
        <v>17</v>
      </c>
      <c r="B779" s="14" t="s">
        <v>0</v>
      </c>
      <c r="C779" s="127" t="s">
        <v>18</v>
      </c>
      <c r="D779" s="14" t="s">
        <v>19</v>
      </c>
      <c r="E779" s="129">
        <f>42316+(7*364+7)</f>
        <v>44871</v>
      </c>
      <c r="F779" s="15">
        <v>168.95</v>
      </c>
      <c r="G779" s="130">
        <v>9</v>
      </c>
      <c r="H779" s="123">
        <f t="shared" si="13"/>
        <v>1520.55</v>
      </c>
      <c r="I779" s="16"/>
      <c r="J779" s="16"/>
      <c r="K779" s="16"/>
      <c r="L779" s="16"/>
      <c r="M779" s="16"/>
      <c r="N779" s="16"/>
      <c r="O779"/>
      <c r="P779"/>
      <c r="Q779"/>
      <c r="R779"/>
      <c r="S779"/>
      <c r="T779"/>
      <c r="U779"/>
      <c r="V779"/>
      <c r="W779" s="17"/>
    </row>
    <row r="780" spans="1:23">
      <c r="A780" s="125" t="s">
        <v>25</v>
      </c>
      <c r="B780" s="14" t="s">
        <v>4</v>
      </c>
      <c r="C780" s="127" t="s">
        <v>32</v>
      </c>
      <c r="D780" s="14" t="s">
        <v>23</v>
      </c>
      <c r="E780" s="129">
        <f>41817+(7*364+7)</f>
        <v>44372</v>
      </c>
      <c r="F780" s="15">
        <v>340.95</v>
      </c>
      <c r="G780" s="130">
        <v>2</v>
      </c>
      <c r="H780" s="123">
        <f t="shared" si="13"/>
        <v>681.9</v>
      </c>
      <c r="I780" s="16"/>
      <c r="J780" s="16"/>
      <c r="K780" s="16"/>
      <c r="L780" s="16"/>
      <c r="M780" s="16"/>
      <c r="N780" s="16"/>
      <c r="O780"/>
      <c r="P780"/>
      <c r="Q780"/>
      <c r="R780"/>
      <c r="S780"/>
      <c r="T780"/>
      <c r="U780"/>
      <c r="V780"/>
      <c r="W780" s="17"/>
    </row>
    <row r="781" spans="1:23">
      <c r="A781" s="125" t="s">
        <v>16</v>
      </c>
      <c r="B781" s="14" t="s">
        <v>0</v>
      </c>
      <c r="C781" s="127" t="s">
        <v>29</v>
      </c>
      <c r="D781" s="14" t="s">
        <v>21</v>
      </c>
      <c r="E781" s="129">
        <f>42286+(7*364+7)</f>
        <v>44841</v>
      </c>
      <c r="F781" s="15">
        <v>168.95</v>
      </c>
      <c r="G781" s="130">
        <v>12</v>
      </c>
      <c r="H781" s="123">
        <f t="shared" si="13"/>
        <v>2027.3999999999999</v>
      </c>
      <c r="I781" s="16"/>
      <c r="J781" s="16"/>
      <c r="K781" s="16"/>
      <c r="L781" s="16"/>
      <c r="M781" s="16"/>
      <c r="N781" s="16"/>
      <c r="O781"/>
      <c r="P781"/>
      <c r="Q781"/>
      <c r="R781"/>
      <c r="S781"/>
      <c r="T781"/>
      <c r="U781"/>
      <c r="V781"/>
      <c r="W781" s="17"/>
    </row>
    <row r="782" spans="1:23">
      <c r="A782" s="125" t="s">
        <v>34</v>
      </c>
      <c r="B782" s="14" t="s">
        <v>0</v>
      </c>
      <c r="C782" s="127" t="s">
        <v>32</v>
      </c>
      <c r="D782" s="14" t="s">
        <v>20</v>
      </c>
      <c r="E782" s="129">
        <f>42308+(7*364+7)</f>
        <v>44863</v>
      </c>
      <c r="F782" s="15">
        <v>168.95</v>
      </c>
      <c r="G782" s="130">
        <v>2</v>
      </c>
      <c r="H782" s="123">
        <f t="shared" si="13"/>
        <v>337.9</v>
      </c>
      <c r="I782" s="16"/>
      <c r="J782" s="16"/>
      <c r="K782" s="16"/>
      <c r="L782" s="16"/>
      <c r="M782" s="16"/>
      <c r="N782" s="16"/>
      <c r="O782"/>
      <c r="P782"/>
      <c r="Q782"/>
      <c r="R782"/>
      <c r="S782"/>
      <c r="T782"/>
      <c r="U782"/>
      <c r="V782"/>
      <c r="W782" s="17"/>
    </row>
    <row r="783" spans="1:23">
      <c r="A783" s="125" t="s">
        <v>6</v>
      </c>
      <c r="B783" s="14" t="s">
        <v>0</v>
      </c>
      <c r="C783" s="127" t="s">
        <v>18</v>
      </c>
      <c r="D783" s="14" t="s">
        <v>21</v>
      </c>
      <c r="E783" s="129">
        <f>42062+(7*364+7)</f>
        <v>44617</v>
      </c>
      <c r="F783" s="15">
        <v>168.95</v>
      </c>
      <c r="G783" s="130">
        <v>8</v>
      </c>
      <c r="H783" s="123">
        <f t="shared" si="13"/>
        <v>1351.6</v>
      </c>
      <c r="I783" s="16"/>
      <c r="J783" s="16"/>
      <c r="K783" s="16"/>
      <c r="L783" s="16"/>
      <c r="M783" s="16"/>
      <c r="N783" s="16"/>
      <c r="O783"/>
      <c r="P783"/>
      <c r="Q783"/>
      <c r="R783"/>
      <c r="S783"/>
      <c r="T783"/>
      <c r="U783"/>
      <c r="V783"/>
      <c r="W783" s="17"/>
    </row>
    <row r="784" spans="1:23">
      <c r="A784" s="125" t="s">
        <v>17</v>
      </c>
      <c r="B784" s="14" t="s">
        <v>0</v>
      </c>
      <c r="C784" s="127" t="s">
        <v>18</v>
      </c>
      <c r="D784" s="14" t="s">
        <v>22</v>
      </c>
      <c r="E784" s="129">
        <f>42334+(7*364+7)</f>
        <v>44889</v>
      </c>
      <c r="F784" s="15">
        <v>168.95</v>
      </c>
      <c r="G784" s="130">
        <v>1</v>
      </c>
      <c r="H784" s="123">
        <f t="shared" si="13"/>
        <v>168.95</v>
      </c>
      <c r="I784" s="16"/>
      <c r="J784" s="16"/>
      <c r="K784" s="16"/>
      <c r="L784" s="16"/>
      <c r="M784" s="16"/>
      <c r="N784" s="16"/>
      <c r="O784"/>
      <c r="P784"/>
      <c r="Q784"/>
      <c r="R784"/>
      <c r="S784"/>
      <c r="T784"/>
      <c r="U784"/>
      <c r="V784"/>
      <c r="W784" s="17"/>
    </row>
    <row r="785" spans="1:23">
      <c r="A785" s="125" t="s">
        <v>26</v>
      </c>
      <c r="B785" s="14" t="s">
        <v>1</v>
      </c>
      <c r="C785" s="127" t="s">
        <v>27</v>
      </c>
      <c r="D785" s="14" t="s">
        <v>22</v>
      </c>
      <c r="E785" s="129">
        <f>42319+(7*364+7)</f>
        <v>44874</v>
      </c>
      <c r="F785" s="15">
        <v>79.989999999999995</v>
      </c>
      <c r="G785" s="130">
        <v>1</v>
      </c>
      <c r="H785" s="123">
        <f t="shared" si="13"/>
        <v>79.989999999999995</v>
      </c>
      <c r="I785" s="16"/>
      <c r="J785" s="16"/>
      <c r="K785" s="16"/>
      <c r="L785" s="16"/>
      <c r="M785" s="16"/>
      <c r="N785" s="16"/>
      <c r="O785"/>
      <c r="P785"/>
      <c r="Q785"/>
      <c r="R785"/>
      <c r="S785"/>
      <c r="T785"/>
      <c r="U785"/>
      <c r="V785"/>
      <c r="W785" s="17"/>
    </row>
    <row r="786" spans="1:23">
      <c r="A786" s="125" t="s">
        <v>26</v>
      </c>
      <c r="B786" s="14" t="s">
        <v>2</v>
      </c>
      <c r="C786" s="127" t="s">
        <v>27</v>
      </c>
      <c r="D786" s="14" t="s">
        <v>21</v>
      </c>
      <c r="E786" s="129">
        <f>41920+(7*364+7)</f>
        <v>44475</v>
      </c>
      <c r="F786" s="15">
        <v>340.95</v>
      </c>
      <c r="G786" s="130">
        <v>7</v>
      </c>
      <c r="H786" s="123">
        <f t="shared" si="13"/>
        <v>2386.65</v>
      </c>
      <c r="I786" s="16"/>
      <c r="J786" s="16"/>
      <c r="K786" s="16"/>
      <c r="L786" s="16"/>
      <c r="M786" s="16"/>
      <c r="N786" s="16"/>
      <c r="O786"/>
      <c r="P786"/>
      <c r="Q786"/>
      <c r="R786"/>
      <c r="S786"/>
      <c r="T786"/>
      <c r="U786"/>
      <c r="V786"/>
      <c r="W786" s="17"/>
    </row>
    <row r="787" spans="1:23">
      <c r="A787" s="125" t="s">
        <v>7</v>
      </c>
      <c r="B787" s="14" t="s">
        <v>3</v>
      </c>
      <c r="C787" s="127" t="s">
        <v>27</v>
      </c>
      <c r="D787" s="14" t="s">
        <v>19</v>
      </c>
      <c r="E787" s="129">
        <f>41989+(7*364+7)</f>
        <v>44544</v>
      </c>
      <c r="F787" s="15">
        <v>799.95</v>
      </c>
      <c r="G787" s="130">
        <v>13</v>
      </c>
      <c r="H787" s="123">
        <f t="shared" si="13"/>
        <v>10399.35</v>
      </c>
      <c r="I787" s="16"/>
      <c r="J787" s="16"/>
      <c r="K787" s="16"/>
      <c r="L787" s="16"/>
      <c r="M787" s="16"/>
      <c r="N787" s="16"/>
      <c r="O787"/>
      <c r="P787"/>
      <c r="Q787"/>
      <c r="R787"/>
      <c r="S787"/>
      <c r="T787"/>
      <c r="U787"/>
      <c r="V787"/>
      <c r="W787" s="17"/>
    </row>
    <row r="788" spans="1:23">
      <c r="A788" s="125" t="s">
        <v>16</v>
      </c>
      <c r="B788" s="14" t="s">
        <v>1</v>
      </c>
      <c r="C788" s="127" t="s">
        <v>29</v>
      </c>
      <c r="D788" s="14" t="s">
        <v>20</v>
      </c>
      <c r="E788" s="129">
        <f>41825+(7*364+7)</f>
        <v>44380</v>
      </c>
      <c r="F788" s="15">
        <v>79.989999999999995</v>
      </c>
      <c r="G788" s="130">
        <v>6</v>
      </c>
      <c r="H788" s="123">
        <f t="shared" si="13"/>
        <v>479.93999999999994</v>
      </c>
      <c r="I788" s="16"/>
      <c r="J788" s="16"/>
      <c r="K788" s="16"/>
      <c r="L788" s="16"/>
      <c r="M788" s="16"/>
      <c r="N788" s="16"/>
      <c r="O788"/>
      <c r="P788"/>
      <c r="Q788"/>
      <c r="R788"/>
      <c r="S788"/>
      <c r="T788"/>
      <c r="U788"/>
      <c r="V788"/>
      <c r="W788" s="17"/>
    </row>
    <row r="789" spans="1:23">
      <c r="A789" s="125" t="s">
        <v>30</v>
      </c>
      <c r="B789" s="14" t="s">
        <v>0</v>
      </c>
      <c r="C789" s="127" t="s">
        <v>18</v>
      </c>
      <c r="D789" s="14" t="s">
        <v>23</v>
      </c>
      <c r="E789" s="129">
        <f>41718+(7*364+7)</f>
        <v>44273</v>
      </c>
      <c r="F789" s="15">
        <v>168.95</v>
      </c>
      <c r="G789" s="130">
        <v>12</v>
      </c>
      <c r="H789" s="123">
        <f t="shared" si="13"/>
        <v>2027.3999999999999</v>
      </c>
      <c r="I789" s="16"/>
      <c r="J789" s="16"/>
      <c r="K789" s="16"/>
      <c r="L789" s="16"/>
      <c r="M789" s="16"/>
      <c r="N789" s="16"/>
      <c r="O789"/>
      <c r="P789"/>
      <c r="Q789"/>
      <c r="R789"/>
      <c r="S789"/>
      <c r="T789"/>
      <c r="U789"/>
      <c r="V789"/>
      <c r="W789" s="17"/>
    </row>
    <row r="790" spans="1:23">
      <c r="A790" s="125" t="s">
        <v>34</v>
      </c>
      <c r="B790" s="14" t="s">
        <v>4</v>
      </c>
      <c r="C790" s="127" t="s">
        <v>32</v>
      </c>
      <c r="D790" s="14" t="s">
        <v>23</v>
      </c>
      <c r="E790" s="129">
        <f>42332+(7*364+7)</f>
        <v>44887</v>
      </c>
      <c r="F790" s="15">
        <v>340.95</v>
      </c>
      <c r="G790" s="130">
        <v>8</v>
      </c>
      <c r="H790" s="123">
        <f t="shared" si="13"/>
        <v>2727.6</v>
      </c>
      <c r="I790" s="16"/>
      <c r="J790" s="16"/>
      <c r="K790" s="16"/>
      <c r="L790" s="16"/>
      <c r="M790" s="16"/>
      <c r="N790" s="16"/>
      <c r="O790"/>
      <c r="P790"/>
      <c r="Q790"/>
      <c r="R790"/>
      <c r="S790"/>
      <c r="T790"/>
      <c r="U790"/>
      <c r="V790"/>
      <c r="W790" s="17"/>
    </row>
    <row r="791" spans="1:23">
      <c r="A791" s="125" t="s">
        <v>17</v>
      </c>
      <c r="B791" s="14" t="s">
        <v>2</v>
      </c>
      <c r="C791" s="127" t="s">
        <v>18</v>
      </c>
      <c r="D791" s="14" t="s">
        <v>21</v>
      </c>
      <c r="E791" s="129">
        <f>42253+(7*364+7)</f>
        <v>44808</v>
      </c>
      <c r="F791" s="15">
        <v>340.95</v>
      </c>
      <c r="G791" s="130">
        <v>7</v>
      </c>
      <c r="H791" s="123">
        <f t="shared" si="13"/>
        <v>2386.65</v>
      </c>
      <c r="I791" s="16"/>
      <c r="J791" s="16"/>
      <c r="K791" s="16"/>
      <c r="L791" s="16"/>
      <c r="M791" s="16"/>
      <c r="N791" s="16"/>
      <c r="O791"/>
      <c r="P791"/>
      <c r="Q791"/>
      <c r="R791"/>
      <c r="S791"/>
      <c r="T791"/>
      <c r="U791"/>
      <c r="V791"/>
      <c r="W791" s="17"/>
    </row>
    <row r="792" spans="1:23">
      <c r="A792" s="125" t="s">
        <v>31</v>
      </c>
      <c r="B792" s="14" t="s">
        <v>0</v>
      </c>
      <c r="C792" s="127" t="s">
        <v>32</v>
      </c>
      <c r="D792" s="14" t="s">
        <v>21</v>
      </c>
      <c r="E792" s="129">
        <f>42354+(7*364+7)</f>
        <v>44909</v>
      </c>
      <c r="F792" s="15">
        <v>168.95</v>
      </c>
      <c r="G792" s="130">
        <v>5</v>
      </c>
      <c r="H792" s="123">
        <f t="shared" si="13"/>
        <v>844.75</v>
      </c>
      <c r="I792" s="16"/>
      <c r="J792" s="16"/>
      <c r="K792" s="16"/>
      <c r="L792" s="16"/>
      <c r="M792" s="16"/>
      <c r="N792" s="16"/>
      <c r="O792"/>
      <c r="P792"/>
      <c r="Q792"/>
      <c r="R792"/>
      <c r="S792"/>
      <c r="T792"/>
      <c r="U792"/>
      <c r="V792"/>
      <c r="W792" s="17"/>
    </row>
    <row r="793" spans="1:23">
      <c r="A793" s="125" t="s">
        <v>34</v>
      </c>
      <c r="B793" s="14" t="s">
        <v>0</v>
      </c>
      <c r="C793" s="127" t="s">
        <v>32</v>
      </c>
      <c r="D793" s="14" t="s">
        <v>22</v>
      </c>
      <c r="E793" s="129">
        <f>41775+(7*364+7)</f>
        <v>44330</v>
      </c>
      <c r="F793" s="15">
        <v>168.95</v>
      </c>
      <c r="G793" s="130">
        <v>15</v>
      </c>
      <c r="H793" s="123">
        <f t="shared" si="13"/>
        <v>2534.25</v>
      </c>
      <c r="I793" s="16"/>
      <c r="J793" s="16"/>
      <c r="K793" s="16"/>
      <c r="L793" s="16"/>
      <c r="M793" s="16"/>
      <c r="N793" s="16"/>
      <c r="O793"/>
      <c r="P793"/>
      <c r="Q793"/>
      <c r="R793"/>
      <c r="S793"/>
      <c r="T793"/>
      <c r="U793"/>
      <c r="V793"/>
      <c r="W793" s="17"/>
    </row>
    <row r="794" spans="1:23">
      <c r="A794" s="125" t="s">
        <v>35</v>
      </c>
      <c r="B794" s="14" t="s">
        <v>2</v>
      </c>
      <c r="C794" s="127" t="s">
        <v>29</v>
      </c>
      <c r="D794" s="14" t="s">
        <v>19</v>
      </c>
      <c r="E794" s="129">
        <f>42224+(7*364+7)</f>
        <v>44779</v>
      </c>
      <c r="F794" s="15">
        <v>340.95</v>
      </c>
      <c r="G794" s="130">
        <v>16</v>
      </c>
      <c r="H794" s="123">
        <f t="shared" si="13"/>
        <v>5455.2</v>
      </c>
      <c r="I794" s="16"/>
      <c r="J794" s="16"/>
      <c r="K794" s="16"/>
      <c r="L794" s="16"/>
      <c r="M794" s="16"/>
      <c r="N794" s="16"/>
      <c r="O794"/>
      <c r="P794"/>
      <c r="Q794"/>
      <c r="R794"/>
      <c r="S794"/>
      <c r="T794"/>
      <c r="U794"/>
      <c r="V794"/>
      <c r="W794" s="17"/>
    </row>
    <row r="795" spans="1:23">
      <c r="A795" s="125" t="s">
        <v>6</v>
      </c>
      <c r="B795" s="14" t="s">
        <v>2</v>
      </c>
      <c r="C795" s="127" t="s">
        <v>29</v>
      </c>
      <c r="D795" s="14" t="s">
        <v>22</v>
      </c>
      <c r="E795" s="129">
        <f>41868+(7*364+7)</f>
        <v>44423</v>
      </c>
      <c r="F795" s="15">
        <v>340.95</v>
      </c>
      <c r="G795" s="130">
        <v>15</v>
      </c>
      <c r="H795" s="123">
        <f t="shared" si="13"/>
        <v>5114.25</v>
      </c>
      <c r="I795" s="16"/>
      <c r="J795" s="16"/>
      <c r="K795" s="16"/>
      <c r="L795" s="16"/>
      <c r="M795" s="16"/>
      <c r="N795" s="16"/>
      <c r="O795"/>
      <c r="P795"/>
      <c r="Q795"/>
      <c r="R795"/>
      <c r="S795"/>
      <c r="T795"/>
      <c r="U795"/>
      <c r="V795"/>
      <c r="W795" s="17"/>
    </row>
    <row r="796" spans="1:23">
      <c r="A796" s="125" t="s">
        <v>25</v>
      </c>
      <c r="B796" s="14" t="s">
        <v>0</v>
      </c>
      <c r="C796" s="127" t="s">
        <v>32</v>
      </c>
      <c r="D796" s="14" t="s">
        <v>21</v>
      </c>
      <c r="E796" s="129">
        <f>41878+(7*364+7)</f>
        <v>44433</v>
      </c>
      <c r="F796" s="15">
        <v>168.95</v>
      </c>
      <c r="G796" s="130">
        <v>3</v>
      </c>
      <c r="H796" s="123">
        <f t="shared" si="13"/>
        <v>506.84999999999997</v>
      </c>
      <c r="I796" s="16"/>
      <c r="J796" s="16"/>
      <c r="K796" s="16"/>
      <c r="L796" s="16"/>
      <c r="M796" s="16"/>
      <c r="N796" s="16"/>
      <c r="O796"/>
      <c r="P796"/>
      <c r="Q796"/>
      <c r="R796"/>
      <c r="S796"/>
      <c r="T796"/>
      <c r="U796"/>
      <c r="V796"/>
      <c r="W796" s="17"/>
    </row>
    <row r="797" spans="1:23">
      <c r="A797" s="125" t="s">
        <v>16</v>
      </c>
      <c r="B797" s="14" t="s">
        <v>3</v>
      </c>
      <c r="C797" s="127" t="s">
        <v>29</v>
      </c>
      <c r="D797" s="14" t="s">
        <v>20</v>
      </c>
      <c r="E797" s="129">
        <f>41824+(7*364+7)</f>
        <v>44379</v>
      </c>
      <c r="F797" s="15">
        <v>799.95</v>
      </c>
      <c r="G797" s="130">
        <v>11</v>
      </c>
      <c r="H797" s="123">
        <f t="shared" si="13"/>
        <v>8799.4500000000007</v>
      </c>
      <c r="I797" s="16"/>
      <c r="J797" s="16"/>
      <c r="K797" s="16"/>
      <c r="L797" s="16"/>
      <c r="M797" s="16"/>
      <c r="N797" s="16"/>
      <c r="O797"/>
      <c r="P797"/>
      <c r="Q797"/>
      <c r="R797"/>
      <c r="S797"/>
      <c r="T797"/>
      <c r="U797"/>
      <c r="V797"/>
      <c r="W797" s="17"/>
    </row>
    <row r="798" spans="1:23">
      <c r="A798" s="125" t="s">
        <v>7</v>
      </c>
      <c r="B798" s="14" t="s">
        <v>4</v>
      </c>
      <c r="C798" s="127" t="s">
        <v>27</v>
      </c>
      <c r="D798" s="14" t="s">
        <v>23</v>
      </c>
      <c r="E798" s="129">
        <f>41937+(7*364+7)</f>
        <v>44492</v>
      </c>
      <c r="F798" s="15">
        <v>340.95</v>
      </c>
      <c r="G798" s="130">
        <v>8</v>
      </c>
      <c r="H798" s="123">
        <f t="shared" si="13"/>
        <v>2727.6</v>
      </c>
      <c r="I798" s="16"/>
      <c r="J798" s="16"/>
      <c r="K798" s="16"/>
      <c r="L798" s="16"/>
      <c r="M798" s="16"/>
      <c r="N798" s="16"/>
      <c r="O798"/>
      <c r="P798"/>
      <c r="Q798"/>
      <c r="R798"/>
      <c r="S798"/>
      <c r="T798"/>
      <c r="U798"/>
      <c r="V798"/>
      <c r="W798" s="17"/>
    </row>
    <row r="799" spans="1:23">
      <c r="A799" s="125" t="s">
        <v>26</v>
      </c>
      <c r="B799" s="14" t="s">
        <v>2</v>
      </c>
      <c r="C799" s="127" t="s">
        <v>27</v>
      </c>
      <c r="D799" s="14" t="s">
        <v>21</v>
      </c>
      <c r="E799" s="129">
        <f>42020+(7*364+7)</f>
        <v>44575</v>
      </c>
      <c r="F799" s="15">
        <v>340.95</v>
      </c>
      <c r="G799" s="130">
        <v>13</v>
      </c>
      <c r="H799" s="123">
        <f t="shared" si="13"/>
        <v>4432.3499999999995</v>
      </c>
      <c r="I799" s="16"/>
      <c r="J799" s="16"/>
      <c r="K799" s="16"/>
      <c r="L799" s="16"/>
      <c r="M799" s="16"/>
      <c r="N799" s="16"/>
      <c r="O799"/>
      <c r="P799"/>
      <c r="Q799"/>
      <c r="R799"/>
      <c r="S799"/>
      <c r="T799"/>
      <c r="U799"/>
      <c r="V799"/>
      <c r="W799" s="17"/>
    </row>
    <row r="800" spans="1:23">
      <c r="A800" s="125" t="s">
        <v>17</v>
      </c>
      <c r="B800" s="14" t="s">
        <v>2</v>
      </c>
      <c r="C800" s="127" t="s">
        <v>18</v>
      </c>
      <c r="D800" s="14" t="s">
        <v>21</v>
      </c>
      <c r="E800" s="129">
        <f>41837+(7*364+7)</f>
        <v>44392</v>
      </c>
      <c r="F800" s="15">
        <v>340.95</v>
      </c>
      <c r="G800" s="130">
        <v>2</v>
      </c>
      <c r="H800" s="123">
        <f t="shared" si="13"/>
        <v>681.9</v>
      </c>
      <c r="I800" s="16"/>
      <c r="J800" s="16"/>
      <c r="K800" s="16"/>
      <c r="L800" s="16"/>
      <c r="M800" s="16"/>
      <c r="N800" s="16"/>
      <c r="O800"/>
      <c r="P800"/>
      <c r="Q800"/>
      <c r="R800"/>
      <c r="S800"/>
      <c r="T800"/>
      <c r="U800"/>
      <c r="V800"/>
      <c r="W800" s="17"/>
    </row>
    <row r="801" spans="1:23">
      <c r="A801" s="125" t="s">
        <v>7</v>
      </c>
      <c r="B801" s="14" t="s">
        <v>0</v>
      </c>
      <c r="C801" s="127" t="s">
        <v>27</v>
      </c>
      <c r="D801" s="14" t="s">
        <v>21</v>
      </c>
      <c r="E801" s="129">
        <f>42329+(7*364+7)</f>
        <v>44884</v>
      </c>
      <c r="F801" s="15">
        <v>168.95</v>
      </c>
      <c r="G801" s="130">
        <v>3</v>
      </c>
      <c r="H801" s="123">
        <f t="shared" si="13"/>
        <v>506.84999999999997</v>
      </c>
      <c r="I801" s="16"/>
      <c r="J801" s="16"/>
      <c r="K801" s="16"/>
      <c r="L801" s="16"/>
      <c r="M801" s="16"/>
      <c r="N801" s="16"/>
      <c r="O801"/>
      <c r="P801"/>
      <c r="Q801"/>
      <c r="R801"/>
      <c r="S801"/>
      <c r="T801"/>
      <c r="U801"/>
      <c r="V801"/>
      <c r="W801" s="17"/>
    </row>
    <row r="802" spans="1:23">
      <c r="A802" s="125" t="s">
        <v>28</v>
      </c>
      <c r="B802" s="14" t="s">
        <v>1</v>
      </c>
      <c r="C802" s="127" t="s">
        <v>32</v>
      </c>
      <c r="D802" s="14" t="s">
        <v>23</v>
      </c>
      <c r="E802" s="129">
        <f>42112+(7*364+7)</f>
        <v>44667</v>
      </c>
      <c r="F802" s="15">
        <v>79.989999999999995</v>
      </c>
      <c r="G802" s="130">
        <v>7</v>
      </c>
      <c r="H802" s="123">
        <f t="shared" si="13"/>
        <v>559.92999999999995</v>
      </c>
      <c r="I802" s="16"/>
      <c r="J802" s="16"/>
      <c r="K802" s="16"/>
      <c r="L802" s="16"/>
      <c r="M802" s="16"/>
      <c r="N802" s="16"/>
      <c r="O802"/>
      <c r="P802"/>
      <c r="Q802"/>
      <c r="R802"/>
      <c r="S802"/>
      <c r="T802"/>
      <c r="U802"/>
      <c r="V802"/>
      <c r="W802" s="17"/>
    </row>
    <row r="803" spans="1:23">
      <c r="A803" s="125" t="s">
        <v>16</v>
      </c>
      <c r="B803" s="14" t="s">
        <v>2</v>
      </c>
      <c r="C803" s="127" t="s">
        <v>29</v>
      </c>
      <c r="D803" s="14" t="s">
        <v>19</v>
      </c>
      <c r="E803" s="129">
        <f>42360+(7*364+7)</f>
        <v>44915</v>
      </c>
      <c r="F803" s="15">
        <v>340.95</v>
      </c>
      <c r="G803" s="130">
        <v>12</v>
      </c>
      <c r="H803" s="123">
        <f t="shared" si="13"/>
        <v>4091.3999999999996</v>
      </c>
      <c r="I803" s="16"/>
      <c r="J803" s="16"/>
      <c r="K803" s="16"/>
      <c r="L803" s="16"/>
      <c r="M803" s="16"/>
      <c r="N803" s="16"/>
      <c r="O803"/>
      <c r="P803"/>
      <c r="Q803"/>
      <c r="R803"/>
      <c r="S803"/>
      <c r="T803"/>
      <c r="U803"/>
      <c r="V803"/>
      <c r="W803" s="17"/>
    </row>
    <row r="804" spans="1:23">
      <c r="A804" s="125" t="s">
        <v>31</v>
      </c>
      <c r="B804" s="14" t="s">
        <v>3</v>
      </c>
      <c r="C804" s="127" t="s">
        <v>32</v>
      </c>
      <c r="D804" s="14" t="s">
        <v>19</v>
      </c>
      <c r="E804" s="129">
        <f>41977+(7*364+7)</f>
        <v>44532</v>
      </c>
      <c r="F804" s="15">
        <v>799.95</v>
      </c>
      <c r="G804" s="130">
        <v>12</v>
      </c>
      <c r="H804" s="123">
        <f t="shared" si="13"/>
        <v>9599.4000000000015</v>
      </c>
      <c r="I804" s="16"/>
      <c r="J804" s="16"/>
      <c r="K804" s="16"/>
      <c r="L804" s="16"/>
      <c r="M804" s="16"/>
      <c r="N804" s="16"/>
      <c r="O804"/>
      <c r="P804"/>
      <c r="Q804"/>
      <c r="R804"/>
      <c r="S804"/>
      <c r="T804"/>
      <c r="U804"/>
      <c r="V804"/>
      <c r="W804" s="17"/>
    </row>
    <row r="805" spans="1:23">
      <c r="A805" s="125" t="s">
        <v>6</v>
      </c>
      <c r="B805" s="14" t="s">
        <v>3</v>
      </c>
      <c r="C805" s="127" t="s">
        <v>18</v>
      </c>
      <c r="D805" s="14" t="s">
        <v>23</v>
      </c>
      <c r="E805" s="129">
        <f>41811+(7*364+7)</f>
        <v>44366</v>
      </c>
      <c r="F805" s="15">
        <v>799.95</v>
      </c>
      <c r="G805" s="130">
        <v>11</v>
      </c>
      <c r="H805" s="123">
        <f t="shared" si="13"/>
        <v>8799.4500000000007</v>
      </c>
      <c r="I805" s="16"/>
      <c r="J805" s="16"/>
      <c r="K805" s="16"/>
      <c r="L805" s="16"/>
      <c r="M805" s="16"/>
      <c r="N805" s="16"/>
      <c r="O805"/>
      <c r="P805"/>
      <c r="Q805"/>
      <c r="R805"/>
      <c r="S805"/>
      <c r="T805"/>
      <c r="U805"/>
      <c r="V805"/>
      <c r="W805" s="17"/>
    </row>
    <row r="806" spans="1:23">
      <c r="A806" s="125" t="s">
        <v>34</v>
      </c>
      <c r="B806" s="14" t="s">
        <v>3</v>
      </c>
      <c r="C806" s="127" t="s">
        <v>32</v>
      </c>
      <c r="D806" s="14" t="s">
        <v>19</v>
      </c>
      <c r="E806" s="129">
        <f>42311+(7*364+7)</f>
        <v>44866</v>
      </c>
      <c r="F806" s="15">
        <v>799.95</v>
      </c>
      <c r="G806" s="130">
        <v>8</v>
      </c>
      <c r="H806" s="123">
        <f t="shared" si="13"/>
        <v>6399.6</v>
      </c>
      <c r="I806" s="16"/>
      <c r="J806" s="16"/>
      <c r="K806" s="16"/>
      <c r="L806" s="16"/>
      <c r="M806" s="16"/>
      <c r="N806" s="16"/>
      <c r="O806"/>
      <c r="P806"/>
      <c r="Q806"/>
      <c r="R806"/>
      <c r="S806"/>
      <c r="T806"/>
      <c r="U806"/>
      <c r="V806"/>
      <c r="W806" s="17"/>
    </row>
    <row r="807" spans="1:23">
      <c r="A807" s="125" t="s">
        <v>34</v>
      </c>
      <c r="B807" s="14" t="s">
        <v>3</v>
      </c>
      <c r="C807" s="127" t="s">
        <v>32</v>
      </c>
      <c r="D807" s="14" t="s">
        <v>19</v>
      </c>
      <c r="E807" s="129">
        <f>42148+(7*364+7)</f>
        <v>44703</v>
      </c>
      <c r="F807" s="15">
        <v>799.95</v>
      </c>
      <c r="G807" s="130">
        <v>7</v>
      </c>
      <c r="H807" s="123">
        <f t="shared" si="13"/>
        <v>5599.6500000000005</v>
      </c>
      <c r="I807" s="16"/>
      <c r="J807" s="16"/>
      <c r="K807" s="16"/>
      <c r="L807" s="16"/>
      <c r="M807" s="16"/>
      <c r="N807" s="16"/>
      <c r="O807"/>
      <c r="P807"/>
      <c r="Q807"/>
      <c r="R807"/>
      <c r="S807"/>
      <c r="T807"/>
      <c r="U807"/>
      <c r="V807"/>
      <c r="W807" s="17"/>
    </row>
    <row r="808" spans="1:23">
      <c r="A808" s="125" t="s">
        <v>33</v>
      </c>
      <c r="B808" s="14" t="s">
        <v>1</v>
      </c>
      <c r="C808" s="127" t="s">
        <v>18</v>
      </c>
      <c r="D808" s="14" t="s">
        <v>19</v>
      </c>
      <c r="E808" s="129">
        <f>41689+(7*364+7)</f>
        <v>44244</v>
      </c>
      <c r="F808" s="15">
        <v>79.989999999999995</v>
      </c>
      <c r="G808" s="130">
        <v>15</v>
      </c>
      <c r="H808" s="123">
        <f t="shared" si="13"/>
        <v>1199.8499999999999</v>
      </c>
      <c r="I808" s="16"/>
      <c r="J808" s="16"/>
      <c r="K808" s="16"/>
      <c r="L808" s="16"/>
      <c r="M808" s="16"/>
      <c r="N808" s="16"/>
      <c r="O808"/>
      <c r="P808"/>
      <c r="Q808"/>
      <c r="R808"/>
      <c r="S808"/>
      <c r="T808"/>
      <c r="U808"/>
      <c r="V808"/>
      <c r="W808" s="17"/>
    </row>
    <row r="809" spans="1:23">
      <c r="A809" s="125" t="s">
        <v>25</v>
      </c>
      <c r="B809" s="14" t="s">
        <v>3</v>
      </c>
      <c r="C809" s="127" t="s">
        <v>32</v>
      </c>
      <c r="D809" s="14" t="s">
        <v>23</v>
      </c>
      <c r="E809" s="129">
        <f>41899+(7*364+7)</f>
        <v>44454</v>
      </c>
      <c r="F809" s="15">
        <v>799.95</v>
      </c>
      <c r="G809" s="130">
        <v>8</v>
      </c>
      <c r="H809" s="123">
        <f t="shared" si="13"/>
        <v>6399.6</v>
      </c>
      <c r="I809" s="16"/>
      <c r="J809" s="16"/>
      <c r="K809" s="16"/>
      <c r="L809" s="16"/>
      <c r="M809" s="16"/>
      <c r="N809" s="16"/>
      <c r="O809"/>
      <c r="P809"/>
      <c r="Q809"/>
      <c r="R809"/>
      <c r="S809"/>
      <c r="T809"/>
      <c r="U809"/>
      <c r="V809"/>
      <c r="W809" s="17"/>
    </row>
    <row r="810" spans="1:23">
      <c r="A810" s="125" t="s">
        <v>26</v>
      </c>
      <c r="B810" s="14" t="s">
        <v>1</v>
      </c>
      <c r="C810" s="127" t="s">
        <v>27</v>
      </c>
      <c r="D810" s="14" t="s">
        <v>23</v>
      </c>
      <c r="E810" s="129">
        <f>42120+(7*364+7)</f>
        <v>44675</v>
      </c>
      <c r="F810" s="15">
        <v>79.989999999999995</v>
      </c>
      <c r="G810" s="130">
        <v>9</v>
      </c>
      <c r="H810" s="123">
        <f t="shared" si="13"/>
        <v>719.91</v>
      </c>
      <c r="I810" s="16"/>
      <c r="J810" s="16"/>
      <c r="K810" s="16"/>
      <c r="L810" s="16"/>
      <c r="M810" s="16"/>
      <c r="N810" s="16"/>
      <c r="O810"/>
      <c r="P810"/>
      <c r="Q810"/>
      <c r="R810"/>
      <c r="S810"/>
      <c r="T810"/>
      <c r="U810"/>
      <c r="V810"/>
      <c r="W810" s="17"/>
    </row>
    <row r="811" spans="1:23">
      <c r="A811" s="125" t="s">
        <v>25</v>
      </c>
      <c r="B811" s="14" t="s">
        <v>1</v>
      </c>
      <c r="C811" s="127" t="s">
        <v>32</v>
      </c>
      <c r="D811" s="14" t="s">
        <v>21</v>
      </c>
      <c r="E811" s="129">
        <f>42157+(7*364+7)</f>
        <v>44712</v>
      </c>
      <c r="F811" s="15">
        <v>79.989999999999995</v>
      </c>
      <c r="G811" s="130">
        <v>3</v>
      </c>
      <c r="H811" s="123">
        <f t="shared" si="13"/>
        <v>239.96999999999997</v>
      </c>
      <c r="I811" s="16"/>
      <c r="J811" s="16"/>
      <c r="K811" s="16"/>
      <c r="L811" s="16"/>
      <c r="M811" s="16"/>
      <c r="N811" s="16"/>
      <c r="O811"/>
      <c r="P811"/>
      <c r="Q811"/>
      <c r="R811"/>
      <c r="S811"/>
      <c r="T811"/>
      <c r="U811"/>
      <c r="V811"/>
      <c r="W811" s="17"/>
    </row>
    <row r="812" spans="1:23">
      <c r="A812" s="125" t="s">
        <v>31</v>
      </c>
      <c r="B812" s="14" t="s">
        <v>1</v>
      </c>
      <c r="C812" s="127" t="s">
        <v>32</v>
      </c>
      <c r="D812" s="14" t="s">
        <v>20</v>
      </c>
      <c r="E812" s="129">
        <f>42228+(7*364+7)</f>
        <v>44783</v>
      </c>
      <c r="F812" s="15">
        <v>79.989999999999995</v>
      </c>
      <c r="G812" s="130">
        <v>13</v>
      </c>
      <c r="H812" s="123">
        <f t="shared" si="13"/>
        <v>1039.8699999999999</v>
      </c>
      <c r="I812" s="16"/>
      <c r="J812" s="16"/>
      <c r="K812" s="16"/>
      <c r="L812" s="16"/>
      <c r="M812" s="16"/>
      <c r="N812" s="16"/>
      <c r="O812"/>
      <c r="P812"/>
      <c r="Q812"/>
      <c r="R812"/>
      <c r="S812"/>
      <c r="T812"/>
      <c r="U812"/>
      <c r="V812"/>
      <c r="W812" s="17"/>
    </row>
    <row r="813" spans="1:23">
      <c r="A813" s="125" t="s">
        <v>7</v>
      </c>
      <c r="B813" s="14" t="s">
        <v>2</v>
      </c>
      <c r="C813" s="127" t="s">
        <v>27</v>
      </c>
      <c r="D813" s="14" t="s">
        <v>22</v>
      </c>
      <c r="E813" s="129">
        <f>41937+(7*364+7)</f>
        <v>44492</v>
      </c>
      <c r="F813" s="15">
        <v>340.95</v>
      </c>
      <c r="G813" s="130">
        <v>5</v>
      </c>
      <c r="H813" s="123">
        <f t="shared" si="13"/>
        <v>1704.75</v>
      </c>
      <c r="I813" s="16"/>
      <c r="J813" s="16"/>
      <c r="K813" s="16"/>
      <c r="L813" s="16"/>
      <c r="M813" s="16"/>
      <c r="N813" s="16"/>
      <c r="O813"/>
      <c r="P813"/>
      <c r="Q813"/>
      <c r="R813"/>
      <c r="S813"/>
      <c r="T813"/>
      <c r="U813"/>
      <c r="V813"/>
      <c r="W813" s="17"/>
    </row>
    <row r="814" spans="1:23">
      <c r="A814" s="125" t="s">
        <v>31</v>
      </c>
      <c r="B814" s="14" t="s">
        <v>2</v>
      </c>
      <c r="C814" s="127" t="s">
        <v>32</v>
      </c>
      <c r="D814" s="14" t="s">
        <v>22</v>
      </c>
      <c r="E814" s="129">
        <f>42060+(7*364+7)</f>
        <v>44615</v>
      </c>
      <c r="F814" s="15">
        <v>340.95</v>
      </c>
      <c r="G814" s="130">
        <v>6</v>
      </c>
      <c r="H814" s="123">
        <f t="shared" si="13"/>
        <v>2045.6999999999998</v>
      </c>
      <c r="I814" s="16"/>
      <c r="J814" s="16"/>
      <c r="K814" s="16"/>
      <c r="L814" s="16"/>
      <c r="M814" s="16"/>
      <c r="N814" s="16"/>
      <c r="O814"/>
      <c r="P814"/>
      <c r="Q814"/>
      <c r="R814"/>
      <c r="S814"/>
      <c r="T814"/>
      <c r="U814"/>
      <c r="V814"/>
      <c r="W814" s="17"/>
    </row>
    <row r="815" spans="1:23">
      <c r="A815" s="125" t="s">
        <v>34</v>
      </c>
      <c r="B815" s="14" t="s">
        <v>4</v>
      </c>
      <c r="C815" s="127" t="s">
        <v>32</v>
      </c>
      <c r="D815" s="14" t="s">
        <v>19</v>
      </c>
      <c r="E815" s="129">
        <f>41915+(7*364+7)</f>
        <v>44470</v>
      </c>
      <c r="F815" s="15">
        <v>340.95</v>
      </c>
      <c r="G815" s="130">
        <v>6</v>
      </c>
      <c r="H815" s="123">
        <f t="shared" si="13"/>
        <v>2045.6999999999998</v>
      </c>
      <c r="I815" s="16"/>
      <c r="J815" s="16"/>
      <c r="K815" s="16"/>
      <c r="L815" s="16"/>
      <c r="M815" s="16"/>
      <c r="N815" s="16"/>
      <c r="O815"/>
      <c r="P815"/>
      <c r="Q815"/>
      <c r="R815"/>
      <c r="S815"/>
      <c r="T815"/>
      <c r="U815"/>
      <c r="V815"/>
      <c r="W815" s="17"/>
    </row>
    <row r="816" spans="1:23">
      <c r="A816" s="125" t="s">
        <v>34</v>
      </c>
      <c r="B816" s="14" t="s">
        <v>3</v>
      </c>
      <c r="C816" s="127" t="s">
        <v>32</v>
      </c>
      <c r="D816" s="14" t="s">
        <v>23</v>
      </c>
      <c r="E816" s="129">
        <f>41858+(7*364+7)</f>
        <v>44413</v>
      </c>
      <c r="F816" s="15">
        <v>799.95</v>
      </c>
      <c r="G816" s="130">
        <v>5</v>
      </c>
      <c r="H816" s="123">
        <f t="shared" si="13"/>
        <v>3999.75</v>
      </c>
      <c r="I816" s="16"/>
      <c r="J816" s="16"/>
      <c r="K816" s="16"/>
      <c r="L816" s="16"/>
      <c r="M816" s="16"/>
      <c r="N816" s="16"/>
      <c r="O816"/>
      <c r="P816"/>
      <c r="Q816"/>
      <c r="R816"/>
      <c r="S816"/>
      <c r="T816"/>
      <c r="U816"/>
      <c r="V816"/>
      <c r="W816" s="17"/>
    </row>
    <row r="817" spans="1:23">
      <c r="A817" s="125" t="s">
        <v>30</v>
      </c>
      <c r="B817" s="14" t="s">
        <v>2</v>
      </c>
      <c r="C817" s="127" t="s">
        <v>18</v>
      </c>
      <c r="D817" s="14" t="s">
        <v>21</v>
      </c>
      <c r="E817" s="129">
        <f>41716+(7*364+7)</f>
        <v>44271</v>
      </c>
      <c r="F817" s="15">
        <v>340.95</v>
      </c>
      <c r="G817" s="130">
        <v>11</v>
      </c>
      <c r="H817" s="123">
        <f t="shared" si="13"/>
        <v>3750.45</v>
      </c>
      <c r="I817" s="16"/>
      <c r="J817" s="16"/>
      <c r="K817" s="16"/>
      <c r="L817" s="16"/>
      <c r="M817" s="16"/>
      <c r="N817" s="16"/>
      <c r="O817"/>
      <c r="P817"/>
      <c r="Q817"/>
      <c r="R817"/>
      <c r="S817"/>
      <c r="T817"/>
      <c r="U817"/>
      <c r="V817"/>
      <c r="W817" s="17"/>
    </row>
    <row r="818" spans="1:23">
      <c r="A818" s="125" t="s">
        <v>17</v>
      </c>
      <c r="B818" s="14" t="s">
        <v>4</v>
      </c>
      <c r="C818" s="127" t="s">
        <v>18</v>
      </c>
      <c r="D818" s="14" t="s">
        <v>21</v>
      </c>
      <c r="E818" s="129">
        <f>41754+(7*364+7)</f>
        <v>44309</v>
      </c>
      <c r="F818" s="15">
        <v>340.95</v>
      </c>
      <c r="G818" s="130">
        <v>7</v>
      </c>
      <c r="H818" s="123">
        <f t="shared" si="13"/>
        <v>2386.65</v>
      </c>
      <c r="I818" s="16"/>
      <c r="J818" s="16"/>
      <c r="K818" s="16"/>
      <c r="L818" s="16"/>
      <c r="M818" s="16"/>
      <c r="N818" s="16"/>
      <c r="O818"/>
      <c r="P818"/>
      <c r="Q818"/>
      <c r="R818"/>
      <c r="S818"/>
      <c r="T818"/>
      <c r="U818"/>
      <c r="V818"/>
      <c r="W818" s="17"/>
    </row>
    <row r="819" spans="1:23">
      <c r="A819" s="125" t="s">
        <v>7</v>
      </c>
      <c r="B819" s="14" t="s">
        <v>4</v>
      </c>
      <c r="C819" s="127" t="s">
        <v>27</v>
      </c>
      <c r="D819" s="14" t="s">
        <v>22</v>
      </c>
      <c r="E819" s="129">
        <f>41899+(7*364+7)</f>
        <v>44454</v>
      </c>
      <c r="F819" s="15">
        <v>340.95</v>
      </c>
      <c r="G819" s="130">
        <v>9</v>
      </c>
      <c r="H819" s="123">
        <f t="shared" si="13"/>
        <v>3068.5499999999997</v>
      </c>
      <c r="I819" s="16"/>
      <c r="J819" s="16"/>
      <c r="K819" s="16"/>
      <c r="L819" s="16"/>
      <c r="M819" s="16"/>
      <c r="N819" s="16"/>
      <c r="O819"/>
      <c r="P819"/>
      <c r="Q819"/>
      <c r="R819"/>
      <c r="S819"/>
      <c r="T819"/>
      <c r="U819"/>
      <c r="V819"/>
      <c r="W819" s="17"/>
    </row>
    <row r="820" spans="1:23">
      <c r="A820" s="125" t="s">
        <v>31</v>
      </c>
      <c r="B820" s="14" t="s">
        <v>1</v>
      </c>
      <c r="C820" s="127" t="s">
        <v>32</v>
      </c>
      <c r="D820" s="14" t="s">
        <v>23</v>
      </c>
      <c r="E820" s="129">
        <f>42200+(7*364+7)</f>
        <v>44755</v>
      </c>
      <c r="F820" s="15">
        <v>79.989999999999995</v>
      </c>
      <c r="G820" s="130">
        <v>8</v>
      </c>
      <c r="H820" s="123">
        <f t="shared" si="13"/>
        <v>639.91999999999996</v>
      </c>
      <c r="I820" s="16"/>
      <c r="J820" s="16"/>
      <c r="K820" s="16"/>
      <c r="L820" s="16"/>
      <c r="M820" s="16"/>
      <c r="N820" s="16"/>
      <c r="O820"/>
      <c r="P820"/>
      <c r="Q820"/>
      <c r="R820"/>
      <c r="S820"/>
      <c r="T820"/>
      <c r="U820"/>
      <c r="V820"/>
      <c r="W820" s="17"/>
    </row>
    <row r="821" spans="1:23">
      <c r="A821" s="125" t="s">
        <v>28</v>
      </c>
      <c r="B821" s="14" t="s">
        <v>4</v>
      </c>
      <c r="C821" s="127" t="s">
        <v>32</v>
      </c>
      <c r="D821" s="14" t="s">
        <v>21</v>
      </c>
      <c r="E821" s="129">
        <f>42018+(7*364+7)</f>
        <v>44573</v>
      </c>
      <c r="F821" s="15">
        <v>340.95</v>
      </c>
      <c r="G821" s="130">
        <v>1</v>
      </c>
      <c r="H821" s="123">
        <f t="shared" si="13"/>
        <v>340.95</v>
      </c>
      <c r="I821" s="16"/>
      <c r="J821" s="16"/>
      <c r="K821" s="16"/>
      <c r="L821" s="16"/>
      <c r="M821" s="16"/>
      <c r="N821" s="16"/>
      <c r="O821"/>
      <c r="P821"/>
      <c r="Q821"/>
      <c r="R821"/>
      <c r="S821"/>
      <c r="T821"/>
      <c r="U821"/>
      <c r="V821"/>
      <c r="W821" s="17"/>
    </row>
    <row r="822" spans="1:23">
      <c r="A822" s="125" t="s">
        <v>30</v>
      </c>
      <c r="B822" s="14" t="s">
        <v>0</v>
      </c>
      <c r="C822" s="127" t="s">
        <v>18</v>
      </c>
      <c r="D822" s="14" t="s">
        <v>23</v>
      </c>
      <c r="E822" s="129">
        <f>41686+(7*364+7)</f>
        <v>44241</v>
      </c>
      <c r="F822" s="15">
        <v>168.95</v>
      </c>
      <c r="G822" s="130">
        <v>11</v>
      </c>
      <c r="H822" s="123">
        <f t="shared" si="13"/>
        <v>1858.4499999999998</v>
      </c>
      <c r="I822" s="16"/>
      <c r="J822" s="16"/>
      <c r="K822" s="16"/>
      <c r="L822" s="16"/>
      <c r="M822" s="16"/>
      <c r="N822" s="16"/>
      <c r="O822"/>
      <c r="P822"/>
      <c r="Q822"/>
      <c r="R822"/>
      <c r="S822"/>
      <c r="T822"/>
      <c r="U822"/>
      <c r="V822"/>
      <c r="W822" s="17"/>
    </row>
    <row r="823" spans="1:23">
      <c r="A823" s="125" t="s">
        <v>6</v>
      </c>
      <c r="B823" s="14" t="s">
        <v>1</v>
      </c>
      <c r="C823" s="127" t="s">
        <v>18</v>
      </c>
      <c r="D823" s="14" t="s">
        <v>21</v>
      </c>
      <c r="E823" s="129">
        <f>41747+(7*364+7)</f>
        <v>44302</v>
      </c>
      <c r="F823" s="15">
        <v>79.989999999999995</v>
      </c>
      <c r="G823" s="130">
        <v>12</v>
      </c>
      <c r="H823" s="123">
        <f t="shared" si="13"/>
        <v>959.87999999999988</v>
      </c>
      <c r="I823" s="16"/>
      <c r="J823" s="16"/>
      <c r="K823" s="16"/>
      <c r="L823" s="16"/>
      <c r="M823" s="16"/>
      <c r="N823" s="16"/>
      <c r="O823"/>
      <c r="P823"/>
      <c r="Q823"/>
      <c r="R823"/>
      <c r="S823"/>
      <c r="T823"/>
      <c r="U823"/>
      <c r="V823"/>
      <c r="W823" s="17"/>
    </row>
    <row r="824" spans="1:23">
      <c r="A824" s="125" t="s">
        <v>17</v>
      </c>
      <c r="B824" s="14" t="s">
        <v>1</v>
      </c>
      <c r="C824" s="127" t="s">
        <v>18</v>
      </c>
      <c r="D824" s="14" t="s">
        <v>19</v>
      </c>
      <c r="E824" s="129">
        <f>41689+(7*364+7)</f>
        <v>44244</v>
      </c>
      <c r="F824" s="15">
        <v>79.989999999999995</v>
      </c>
      <c r="G824" s="130">
        <v>20</v>
      </c>
      <c r="H824" s="123">
        <f t="shared" si="13"/>
        <v>1599.8</v>
      </c>
      <c r="I824" s="16"/>
      <c r="J824" s="16"/>
      <c r="K824" s="16"/>
      <c r="L824" s="16"/>
      <c r="M824" s="16"/>
      <c r="N824" s="16"/>
      <c r="O824"/>
      <c r="P824"/>
      <c r="Q824"/>
      <c r="R824"/>
      <c r="S824"/>
      <c r="T824"/>
      <c r="U824"/>
      <c r="V824"/>
      <c r="W824" s="17"/>
    </row>
    <row r="825" spans="1:23">
      <c r="A825" s="125" t="s">
        <v>16</v>
      </c>
      <c r="B825" s="14" t="s">
        <v>4</v>
      </c>
      <c r="C825" s="127" t="s">
        <v>29</v>
      </c>
      <c r="D825" s="14" t="s">
        <v>22</v>
      </c>
      <c r="E825" s="129">
        <f>41734+(7*364+7)</f>
        <v>44289</v>
      </c>
      <c r="F825" s="15">
        <v>340.95</v>
      </c>
      <c r="G825" s="130">
        <v>3</v>
      </c>
      <c r="H825" s="123">
        <f t="shared" si="13"/>
        <v>1022.8499999999999</v>
      </c>
      <c r="I825" s="16"/>
      <c r="J825" s="16"/>
      <c r="K825" s="16"/>
      <c r="L825" s="16"/>
      <c r="M825" s="16"/>
      <c r="N825" s="16"/>
      <c r="O825"/>
      <c r="P825"/>
      <c r="Q825"/>
      <c r="R825"/>
      <c r="S825"/>
      <c r="T825"/>
      <c r="U825"/>
      <c r="V825"/>
      <c r="W825" s="17"/>
    </row>
    <row r="826" spans="1:23">
      <c r="A826" s="125" t="s">
        <v>35</v>
      </c>
      <c r="B826" s="14" t="s">
        <v>3</v>
      </c>
      <c r="C826" s="127" t="s">
        <v>29</v>
      </c>
      <c r="D826" s="14" t="s">
        <v>21</v>
      </c>
      <c r="E826" s="129">
        <f>41968+(7*364+7)</f>
        <v>44523</v>
      </c>
      <c r="F826" s="15">
        <v>799.95</v>
      </c>
      <c r="G826" s="130">
        <v>2</v>
      </c>
      <c r="H826" s="123">
        <f t="shared" si="13"/>
        <v>1599.9</v>
      </c>
      <c r="I826" s="16"/>
      <c r="J826" s="16"/>
      <c r="K826" s="16"/>
      <c r="L826" s="16"/>
      <c r="M826" s="16"/>
      <c r="N826" s="16"/>
      <c r="O826"/>
      <c r="P826"/>
      <c r="Q826"/>
      <c r="R826"/>
      <c r="S826"/>
      <c r="T826"/>
      <c r="U826"/>
      <c r="V826"/>
      <c r="W826" s="17"/>
    </row>
    <row r="827" spans="1:23">
      <c r="A827" s="125" t="s">
        <v>16</v>
      </c>
      <c r="B827" s="14" t="s">
        <v>4</v>
      </c>
      <c r="C827" s="127" t="s">
        <v>29</v>
      </c>
      <c r="D827" s="14" t="s">
        <v>19</v>
      </c>
      <c r="E827" s="129">
        <f>41667+(7*364+7)</f>
        <v>44222</v>
      </c>
      <c r="F827" s="15">
        <v>340.95</v>
      </c>
      <c r="G827" s="130">
        <v>7</v>
      </c>
      <c r="H827" s="123">
        <f t="shared" si="13"/>
        <v>2386.65</v>
      </c>
      <c r="I827" s="16"/>
      <c r="J827" s="16"/>
      <c r="K827" s="16"/>
      <c r="L827" s="16"/>
      <c r="M827" s="16"/>
      <c r="N827" s="16"/>
      <c r="O827"/>
      <c r="P827"/>
      <c r="Q827"/>
      <c r="R827"/>
      <c r="S827"/>
      <c r="T827"/>
      <c r="U827"/>
      <c r="V827"/>
      <c r="W827" s="17"/>
    </row>
    <row r="828" spans="1:23">
      <c r="A828" s="125" t="s">
        <v>35</v>
      </c>
      <c r="B828" s="14" t="s">
        <v>3</v>
      </c>
      <c r="C828" s="127" t="s">
        <v>29</v>
      </c>
      <c r="D828" s="14" t="s">
        <v>23</v>
      </c>
      <c r="E828" s="129">
        <f>42278+(7*364+7)</f>
        <v>44833</v>
      </c>
      <c r="F828" s="15">
        <v>799.95</v>
      </c>
      <c r="G828" s="130">
        <v>4</v>
      </c>
      <c r="H828" s="123">
        <f t="shared" si="13"/>
        <v>3199.8</v>
      </c>
      <c r="I828" s="16"/>
      <c r="J828" s="16"/>
      <c r="K828" s="16"/>
      <c r="L828" s="16"/>
      <c r="M828" s="16"/>
      <c r="N828" s="16"/>
      <c r="O828"/>
      <c r="P828"/>
      <c r="Q828"/>
      <c r="R828"/>
      <c r="S828"/>
      <c r="T828"/>
      <c r="U828"/>
      <c r="V828"/>
      <c r="W828" s="17"/>
    </row>
    <row r="829" spans="1:23">
      <c r="A829" s="125" t="s">
        <v>33</v>
      </c>
      <c r="B829" s="14" t="s">
        <v>2</v>
      </c>
      <c r="C829" s="127" t="s">
        <v>18</v>
      </c>
      <c r="D829" s="14" t="s">
        <v>19</v>
      </c>
      <c r="E829" s="129">
        <f>41787+(7*364+7)</f>
        <v>44342</v>
      </c>
      <c r="F829" s="15">
        <v>340.95</v>
      </c>
      <c r="G829" s="130">
        <v>14</v>
      </c>
      <c r="H829" s="123">
        <f t="shared" si="13"/>
        <v>4773.3</v>
      </c>
      <c r="I829" s="16"/>
      <c r="J829" s="16"/>
      <c r="K829" s="16"/>
      <c r="L829" s="16"/>
      <c r="M829" s="16"/>
      <c r="N829" s="16"/>
      <c r="O829"/>
      <c r="P829"/>
      <c r="Q829"/>
      <c r="R829"/>
      <c r="S829"/>
      <c r="T829"/>
      <c r="U829"/>
      <c r="V829"/>
      <c r="W829" s="17"/>
    </row>
    <row r="830" spans="1:23">
      <c r="A830" s="125" t="s">
        <v>25</v>
      </c>
      <c r="B830" s="14" t="s">
        <v>1</v>
      </c>
      <c r="C830" s="127" t="s">
        <v>32</v>
      </c>
      <c r="D830" s="14" t="s">
        <v>19</v>
      </c>
      <c r="E830" s="129">
        <f>42095+(7*364+7)</f>
        <v>44650</v>
      </c>
      <c r="F830" s="15">
        <v>79.989999999999995</v>
      </c>
      <c r="G830" s="130">
        <v>9</v>
      </c>
      <c r="H830" s="123">
        <f t="shared" si="13"/>
        <v>719.91</v>
      </c>
      <c r="I830" s="16"/>
      <c r="J830" s="16"/>
      <c r="K830" s="16"/>
      <c r="L830" s="16"/>
      <c r="M830" s="16"/>
      <c r="N830" s="16"/>
      <c r="O830"/>
      <c r="P830"/>
      <c r="Q830"/>
      <c r="R830"/>
      <c r="S830"/>
      <c r="T830"/>
      <c r="U830"/>
      <c r="V830"/>
      <c r="W830" s="17"/>
    </row>
    <row r="831" spans="1:23">
      <c r="A831" s="125" t="s">
        <v>17</v>
      </c>
      <c r="B831" s="14" t="s">
        <v>3</v>
      </c>
      <c r="C831" s="127" t="s">
        <v>18</v>
      </c>
      <c r="D831" s="14" t="s">
        <v>21</v>
      </c>
      <c r="E831" s="129">
        <f>41808+(7*364+7)</f>
        <v>44363</v>
      </c>
      <c r="F831" s="15">
        <v>799.95</v>
      </c>
      <c r="G831" s="130">
        <v>3</v>
      </c>
      <c r="H831" s="123">
        <f t="shared" si="13"/>
        <v>2399.8500000000004</v>
      </c>
      <c r="I831" s="16"/>
      <c r="J831" s="16"/>
      <c r="K831" s="16"/>
      <c r="L831" s="16"/>
      <c r="M831" s="16"/>
      <c r="N831" s="16"/>
      <c r="O831"/>
      <c r="P831"/>
      <c r="Q831"/>
      <c r="R831"/>
      <c r="S831"/>
      <c r="T831"/>
      <c r="U831"/>
      <c r="V831"/>
      <c r="W831" s="17"/>
    </row>
    <row r="832" spans="1:23">
      <c r="A832" s="125" t="s">
        <v>31</v>
      </c>
      <c r="B832" s="14" t="s">
        <v>0</v>
      </c>
      <c r="C832" s="127" t="s">
        <v>32</v>
      </c>
      <c r="D832" s="14" t="s">
        <v>20</v>
      </c>
      <c r="E832" s="129">
        <f>42116+(7*364+7)</f>
        <v>44671</v>
      </c>
      <c r="F832" s="15">
        <v>168.95</v>
      </c>
      <c r="G832" s="130">
        <v>1</v>
      </c>
      <c r="H832" s="123">
        <f t="shared" si="13"/>
        <v>168.95</v>
      </c>
      <c r="I832" s="16"/>
      <c r="J832" s="16"/>
      <c r="K832" s="16"/>
      <c r="L832" s="16"/>
      <c r="M832" s="16"/>
      <c r="N832" s="16"/>
      <c r="O832"/>
      <c r="P832"/>
      <c r="Q832"/>
      <c r="R832"/>
      <c r="S832"/>
      <c r="T832"/>
      <c r="U832"/>
      <c r="V832"/>
      <c r="W832" s="17"/>
    </row>
    <row r="833" spans="1:23">
      <c r="A833" s="125" t="s">
        <v>34</v>
      </c>
      <c r="B833" s="14" t="s">
        <v>1</v>
      </c>
      <c r="C833" s="127" t="s">
        <v>32</v>
      </c>
      <c r="D833" s="14" t="s">
        <v>23</v>
      </c>
      <c r="E833" s="129">
        <f>41902+(7*364+7)</f>
        <v>44457</v>
      </c>
      <c r="F833" s="15">
        <v>79.989999999999995</v>
      </c>
      <c r="G833" s="130">
        <v>14</v>
      </c>
      <c r="H833" s="123">
        <f t="shared" si="13"/>
        <v>1119.8599999999999</v>
      </c>
      <c r="I833" s="16"/>
      <c r="J833" s="16"/>
      <c r="K833" s="16"/>
      <c r="L833" s="16"/>
      <c r="M833" s="16"/>
      <c r="N833" s="16"/>
      <c r="O833"/>
      <c r="P833"/>
      <c r="Q833"/>
      <c r="R833"/>
      <c r="S833"/>
      <c r="T833"/>
      <c r="U833"/>
      <c r="V833"/>
      <c r="W833" s="17"/>
    </row>
    <row r="834" spans="1:23">
      <c r="A834" s="125" t="s">
        <v>6</v>
      </c>
      <c r="B834" s="14" t="s">
        <v>0</v>
      </c>
      <c r="C834" s="127" t="s">
        <v>18</v>
      </c>
      <c r="D834" s="14" t="s">
        <v>19</v>
      </c>
      <c r="E834" s="129">
        <f>42158+(7*364+7)</f>
        <v>44713</v>
      </c>
      <c r="F834" s="15">
        <v>168.95</v>
      </c>
      <c r="G834" s="130">
        <v>14</v>
      </c>
      <c r="H834" s="123">
        <f t="shared" si="13"/>
        <v>2365.2999999999997</v>
      </c>
      <c r="I834" s="16"/>
      <c r="J834" s="16"/>
      <c r="K834" s="16"/>
      <c r="L834" s="16"/>
      <c r="M834" s="16"/>
      <c r="N834" s="16"/>
      <c r="O834"/>
      <c r="P834"/>
      <c r="Q834"/>
      <c r="R834"/>
      <c r="S834"/>
      <c r="T834"/>
      <c r="U834"/>
      <c r="V834"/>
      <c r="W834" s="17"/>
    </row>
    <row r="835" spans="1:23">
      <c r="A835" s="125" t="s">
        <v>34</v>
      </c>
      <c r="B835" s="14" t="s">
        <v>0</v>
      </c>
      <c r="C835" s="127" t="s">
        <v>32</v>
      </c>
      <c r="D835" s="14" t="s">
        <v>20</v>
      </c>
      <c r="E835" s="129">
        <f>42182+(7*364+7)</f>
        <v>44737</v>
      </c>
      <c r="F835" s="15">
        <v>168.95</v>
      </c>
      <c r="G835" s="130">
        <v>13</v>
      </c>
      <c r="H835" s="123">
        <f t="shared" ref="H835:H898" si="14">F835*G835</f>
        <v>2196.35</v>
      </c>
      <c r="I835" s="16"/>
      <c r="J835" s="16"/>
      <c r="K835" s="16"/>
      <c r="L835" s="16"/>
      <c r="M835" s="16"/>
      <c r="N835" s="16"/>
      <c r="O835"/>
      <c r="P835"/>
      <c r="Q835"/>
      <c r="R835"/>
      <c r="S835"/>
      <c r="T835"/>
      <c r="U835"/>
      <c r="V835"/>
      <c r="W835" s="17"/>
    </row>
    <row r="836" spans="1:23">
      <c r="A836" s="125" t="s">
        <v>30</v>
      </c>
      <c r="B836" s="14" t="s">
        <v>1</v>
      </c>
      <c r="C836" s="127" t="s">
        <v>18</v>
      </c>
      <c r="D836" s="14" t="s">
        <v>23</v>
      </c>
      <c r="E836" s="129">
        <f>41665+(7*364+7)</f>
        <v>44220</v>
      </c>
      <c r="F836" s="15">
        <v>79.989999999999995</v>
      </c>
      <c r="G836" s="130">
        <v>11</v>
      </c>
      <c r="H836" s="123">
        <f t="shared" si="14"/>
        <v>879.89</v>
      </c>
      <c r="I836" s="16"/>
      <c r="J836" s="16"/>
      <c r="K836" s="16"/>
      <c r="L836" s="16"/>
      <c r="M836" s="16"/>
      <c r="N836" s="16"/>
      <c r="O836"/>
      <c r="P836"/>
      <c r="Q836"/>
      <c r="R836"/>
      <c r="S836"/>
      <c r="T836"/>
      <c r="U836"/>
      <c r="V836"/>
      <c r="W836" s="17"/>
    </row>
    <row r="837" spans="1:23">
      <c r="A837" s="125" t="s">
        <v>28</v>
      </c>
      <c r="B837" s="14" t="s">
        <v>3</v>
      </c>
      <c r="C837" s="127" t="s">
        <v>32</v>
      </c>
      <c r="D837" s="14" t="s">
        <v>21</v>
      </c>
      <c r="E837" s="129">
        <f>42088+(7*364+7)</f>
        <v>44643</v>
      </c>
      <c r="F837" s="15">
        <v>799.95</v>
      </c>
      <c r="G837" s="130">
        <v>10</v>
      </c>
      <c r="H837" s="123">
        <f t="shared" si="14"/>
        <v>7999.5</v>
      </c>
      <c r="I837" s="16"/>
      <c r="J837" s="16"/>
      <c r="K837" s="16"/>
      <c r="L837" s="16"/>
      <c r="M837" s="16"/>
      <c r="N837" s="16"/>
      <c r="O837"/>
      <c r="P837"/>
      <c r="Q837"/>
      <c r="R837"/>
      <c r="S837"/>
      <c r="T837"/>
      <c r="U837"/>
      <c r="V837"/>
      <c r="W837" s="17"/>
    </row>
    <row r="838" spans="1:23">
      <c r="A838" s="125" t="s">
        <v>16</v>
      </c>
      <c r="B838" s="14" t="s">
        <v>2</v>
      </c>
      <c r="C838" s="127" t="s">
        <v>29</v>
      </c>
      <c r="D838" s="14" t="s">
        <v>21</v>
      </c>
      <c r="E838" s="129">
        <f>42155+(7*364+7)</f>
        <v>44710</v>
      </c>
      <c r="F838" s="15">
        <v>340.95</v>
      </c>
      <c r="G838" s="130">
        <v>9</v>
      </c>
      <c r="H838" s="123">
        <f t="shared" si="14"/>
        <v>3068.5499999999997</v>
      </c>
      <c r="I838" s="16"/>
      <c r="J838" s="16"/>
      <c r="K838" s="16"/>
      <c r="L838" s="16"/>
      <c r="M838" s="16"/>
      <c r="N838" s="16"/>
      <c r="O838"/>
      <c r="P838"/>
      <c r="Q838"/>
      <c r="R838"/>
      <c r="S838"/>
      <c r="T838"/>
      <c r="U838"/>
      <c r="V838"/>
      <c r="W838" s="17"/>
    </row>
    <row r="839" spans="1:23">
      <c r="A839" s="125" t="s">
        <v>16</v>
      </c>
      <c r="B839" s="14" t="s">
        <v>0</v>
      </c>
      <c r="C839" s="127" t="s">
        <v>29</v>
      </c>
      <c r="D839" s="14" t="s">
        <v>23</v>
      </c>
      <c r="E839" s="129">
        <f>41779+(7*364+7)</f>
        <v>44334</v>
      </c>
      <c r="F839" s="15">
        <v>168.95</v>
      </c>
      <c r="G839" s="130">
        <v>11</v>
      </c>
      <c r="H839" s="123">
        <f t="shared" si="14"/>
        <v>1858.4499999999998</v>
      </c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7"/>
    </row>
    <row r="840" spans="1:23">
      <c r="A840" s="125" t="s">
        <v>6</v>
      </c>
      <c r="B840" s="14" t="s">
        <v>3</v>
      </c>
      <c r="C840" s="127" t="s">
        <v>18</v>
      </c>
      <c r="D840" s="14" t="s">
        <v>19</v>
      </c>
      <c r="E840" s="129">
        <f>42179+(7*364+7)</f>
        <v>44734</v>
      </c>
      <c r="F840" s="15">
        <v>799.95</v>
      </c>
      <c r="G840" s="130">
        <v>19</v>
      </c>
      <c r="H840" s="123">
        <f t="shared" si="14"/>
        <v>15199.050000000001</v>
      </c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7"/>
    </row>
    <row r="841" spans="1:23">
      <c r="A841" s="125" t="s">
        <v>25</v>
      </c>
      <c r="B841" s="14" t="s">
        <v>0</v>
      </c>
      <c r="C841" s="127" t="s">
        <v>32</v>
      </c>
      <c r="D841" s="14" t="s">
        <v>20</v>
      </c>
      <c r="E841" s="129">
        <f>42208+(7*364+7)</f>
        <v>44763</v>
      </c>
      <c r="F841" s="15">
        <v>168.95</v>
      </c>
      <c r="G841" s="130">
        <v>2</v>
      </c>
      <c r="H841" s="123">
        <f t="shared" si="14"/>
        <v>337.9</v>
      </c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7"/>
    </row>
    <row r="842" spans="1:23">
      <c r="A842" s="125" t="s">
        <v>30</v>
      </c>
      <c r="B842" s="14" t="s">
        <v>0</v>
      </c>
      <c r="C842" s="127" t="s">
        <v>18</v>
      </c>
      <c r="D842" s="14" t="s">
        <v>20</v>
      </c>
      <c r="E842" s="129">
        <f>41817+(7*364+7)</f>
        <v>44372</v>
      </c>
      <c r="F842" s="15">
        <v>168.95</v>
      </c>
      <c r="G842" s="130">
        <v>7</v>
      </c>
      <c r="H842" s="123">
        <f t="shared" si="14"/>
        <v>1182.6499999999999</v>
      </c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7"/>
    </row>
    <row r="843" spans="1:23">
      <c r="A843" s="125" t="s">
        <v>16</v>
      </c>
      <c r="B843" s="14" t="s">
        <v>0</v>
      </c>
      <c r="C843" s="127" t="s">
        <v>29</v>
      </c>
      <c r="D843" s="14" t="s">
        <v>19</v>
      </c>
      <c r="E843" s="129">
        <f>42197+(7*364+7)</f>
        <v>44752</v>
      </c>
      <c r="F843" s="15">
        <v>168.95</v>
      </c>
      <c r="G843" s="130">
        <v>13</v>
      </c>
      <c r="H843" s="123">
        <f t="shared" si="14"/>
        <v>2196.35</v>
      </c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7"/>
    </row>
    <row r="844" spans="1:23">
      <c r="A844" s="125" t="s">
        <v>35</v>
      </c>
      <c r="B844" s="14" t="s">
        <v>2</v>
      </c>
      <c r="C844" s="127" t="s">
        <v>29</v>
      </c>
      <c r="D844" s="14" t="s">
        <v>21</v>
      </c>
      <c r="E844" s="129">
        <f>42060+(7*364+7)</f>
        <v>44615</v>
      </c>
      <c r="F844" s="15">
        <v>340.95</v>
      </c>
      <c r="G844" s="130">
        <v>3</v>
      </c>
      <c r="H844" s="123">
        <f t="shared" si="14"/>
        <v>1022.8499999999999</v>
      </c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7"/>
    </row>
    <row r="845" spans="1:23">
      <c r="A845" s="125" t="s">
        <v>28</v>
      </c>
      <c r="B845" s="14" t="s">
        <v>4</v>
      </c>
      <c r="C845" s="127" t="s">
        <v>32</v>
      </c>
      <c r="D845" s="14" t="s">
        <v>20</v>
      </c>
      <c r="E845" s="129">
        <f>41682+(7*364+7)</f>
        <v>44237</v>
      </c>
      <c r="F845" s="15">
        <v>340.95</v>
      </c>
      <c r="G845" s="130">
        <v>6</v>
      </c>
      <c r="H845" s="123">
        <f t="shared" si="14"/>
        <v>2045.6999999999998</v>
      </c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7"/>
    </row>
    <row r="846" spans="1:23">
      <c r="A846" s="125" t="s">
        <v>25</v>
      </c>
      <c r="B846" s="14" t="s">
        <v>1</v>
      </c>
      <c r="C846" s="127" t="s">
        <v>32</v>
      </c>
      <c r="D846" s="14" t="s">
        <v>20</v>
      </c>
      <c r="E846" s="129">
        <f>42085+(7*364+7)</f>
        <v>44640</v>
      </c>
      <c r="F846" s="15">
        <v>79.989999999999995</v>
      </c>
      <c r="G846" s="130">
        <v>1</v>
      </c>
      <c r="H846" s="123">
        <f t="shared" si="14"/>
        <v>79.989999999999995</v>
      </c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7"/>
    </row>
    <row r="847" spans="1:23">
      <c r="A847" s="125" t="s">
        <v>31</v>
      </c>
      <c r="B847" s="14" t="s">
        <v>4</v>
      </c>
      <c r="C847" s="127" t="s">
        <v>32</v>
      </c>
      <c r="D847" s="14" t="s">
        <v>23</v>
      </c>
      <c r="E847" s="129">
        <f>42074+(7*364+7)</f>
        <v>44629</v>
      </c>
      <c r="F847" s="15">
        <v>340.95</v>
      </c>
      <c r="G847" s="130">
        <v>12</v>
      </c>
      <c r="H847" s="123">
        <f t="shared" si="14"/>
        <v>4091.3999999999996</v>
      </c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7"/>
    </row>
    <row r="848" spans="1:23">
      <c r="A848" s="125" t="s">
        <v>30</v>
      </c>
      <c r="B848" s="14" t="s">
        <v>1</v>
      </c>
      <c r="C848" s="127" t="s">
        <v>18</v>
      </c>
      <c r="D848" s="14" t="s">
        <v>19</v>
      </c>
      <c r="E848" s="129">
        <f>41994+(7*364+7)</f>
        <v>44549</v>
      </c>
      <c r="F848" s="15">
        <v>79.989999999999995</v>
      </c>
      <c r="G848" s="130">
        <v>19</v>
      </c>
      <c r="H848" s="123">
        <f t="shared" si="14"/>
        <v>1519.81</v>
      </c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7"/>
    </row>
    <row r="849" spans="1:23">
      <c r="A849" s="125" t="s">
        <v>25</v>
      </c>
      <c r="B849" s="14" t="s">
        <v>1</v>
      </c>
      <c r="C849" s="127" t="s">
        <v>32</v>
      </c>
      <c r="D849" s="14" t="s">
        <v>20</v>
      </c>
      <c r="E849" s="129">
        <f>41955+(7*364+7)</f>
        <v>44510</v>
      </c>
      <c r="F849" s="15">
        <v>79.989999999999995</v>
      </c>
      <c r="G849" s="130">
        <v>13</v>
      </c>
      <c r="H849" s="123">
        <f t="shared" si="14"/>
        <v>1039.8699999999999</v>
      </c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7"/>
    </row>
    <row r="850" spans="1:23">
      <c r="A850" s="125" t="s">
        <v>16</v>
      </c>
      <c r="B850" s="14" t="s">
        <v>2</v>
      </c>
      <c r="C850" s="127" t="s">
        <v>29</v>
      </c>
      <c r="D850" s="14" t="s">
        <v>19</v>
      </c>
      <c r="E850" s="129">
        <f>42141+(7*364+7)</f>
        <v>44696</v>
      </c>
      <c r="F850" s="15">
        <v>340.95</v>
      </c>
      <c r="G850" s="130">
        <v>11</v>
      </c>
      <c r="H850" s="123">
        <f t="shared" si="14"/>
        <v>3750.45</v>
      </c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7"/>
    </row>
    <row r="851" spans="1:23">
      <c r="A851" s="125" t="s">
        <v>28</v>
      </c>
      <c r="B851" s="14" t="s">
        <v>4</v>
      </c>
      <c r="C851" s="127" t="s">
        <v>32</v>
      </c>
      <c r="D851" s="14" t="s">
        <v>20</v>
      </c>
      <c r="E851" s="129">
        <f>41752+(7*364+7)</f>
        <v>44307</v>
      </c>
      <c r="F851" s="15">
        <v>340.95</v>
      </c>
      <c r="G851" s="130">
        <v>2</v>
      </c>
      <c r="H851" s="123">
        <f t="shared" si="14"/>
        <v>681.9</v>
      </c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7"/>
    </row>
    <row r="852" spans="1:23">
      <c r="A852" s="125" t="s">
        <v>17</v>
      </c>
      <c r="B852" s="14" t="s">
        <v>0</v>
      </c>
      <c r="C852" s="127" t="s">
        <v>18</v>
      </c>
      <c r="D852" s="14" t="s">
        <v>19</v>
      </c>
      <c r="E852" s="129">
        <f>41682+(7*364+7)</f>
        <v>44237</v>
      </c>
      <c r="F852" s="15">
        <v>168.95</v>
      </c>
      <c r="G852" s="130">
        <v>13</v>
      </c>
      <c r="H852" s="123">
        <f t="shared" si="14"/>
        <v>2196.35</v>
      </c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7"/>
    </row>
    <row r="853" spans="1:23">
      <c r="A853" s="125" t="s">
        <v>26</v>
      </c>
      <c r="B853" s="14" t="s">
        <v>1</v>
      </c>
      <c r="C853" s="127" t="s">
        <v>27</v>
      </c>
      <c r="D853" s="14" t="s">
        <v>22</v>
      </c>
      <c r="E853" s="129">
        <f>41998+(7*364+7)</f>
        <v>44553</v>
      </c>
      <c r="F853" s="15">
        <v>79.989999999999995</v>
      </c>
      <c r="G853" s="130">
        <v>1</v>
      </c>
      <c r="H853" s="123">
        <f t="shared" si="14"/>
        <v>79.989999999999995</v>
      </c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7"/>
    </row>
    <row r="854" spans="1:23">
      <c r="A854" s="125" t="s">
        <v>30</v>
      </c>
      <c r="B854" s="14" t="s">
        <v>4</v>
      </c>
      <c r="C854" s="127" t="s">
        <v>18</v>
      </c>
      <c r="D854" s="14" t="s">
        <v>19</v>
      </c>
      <c r="E854" s="129">
        <f>41915+(7*364+7)</f>
        <v>44470</v>
      </c>
      <c r="F854" s="15">
        <v>340.95</v>
      </c>
      <c r="G854" s="130">
        <v>19</v>
      </c>
      <c r="H854" s="123">
        <f t="shared" si="14"/>
        <v>6478.05</v>
      </c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7"/>
    </row>
    <row r="855" spans="1:23">
      <c r="A855" s="125" t="s">
        <v>17</v>
      </c>
      <c r="B855" s="14" t="s">
        <v>0</v>
      </c>
      <c r="C855" s="127" t="s">
        <v>18</v>
      </c>
      <c r="D855" s="14" t="s">
        <v>19</v>
      </c>
      <c r="E855" s="129">
        <f>42161+(7*364+7)</f>
        <v>44716</v>
      </c>
      <c r="F855" s="15">
        <v>168.95</v>
      </c>
      <c r="G855" s="130">
        <v>6</v>
      </c>
      <c r="H855" s="123">
        <f t="shared" si="14"/>
        <v>1013.6999999999999</v>
      </c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7"/>
    </row>
    <row r="856" spans="1:23">
      <c r="A856" s="125" t="s">
        <v>33</v>
      </c>
      <c r="B856" s="14" t="s">
        <v>4</v>
      </c>
      <c r="C856" s="127" t="s">
        <v>18</v>
      </c>
      <c r="D856" s="14" t="s">
        <v>23</v>
      </c>
      <c r="E856" s="129">
        <f>41836+(7*364+7)</f>
        <v>44391</v>
      </c>
      <c r="F856" s="15">
        <v>340.95</v>
      </c>
      <c r="G856" s="130">
        <v>13</v>
      </c>
      <c r="H856" s="123">
        <f t="shared" si="14"/>
        <v>4432.3499999999995</v>
      </c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7"/>
    </row>
    <row r="857" spans="1:23">
      <c r="A857" s="125" t="s">
        <v>34</v>
      </c>
      <c r="B857" s="14" t="s">
        <v>0</v>
      </c>
      <c r="C857" s="127" t="s">
        <v>32</v>
      </c>
      <c r="D857" s="14" t="s">
        <v>23</v>
      </c>
      <c r="E857" s="129">
        <f>42005+(7*364+7)</f>
        <v>44560</v>
      </c>
      <c r="F857" s="15">
        <v>168.95</v>
      </c>
      <c r="G857" s="130">
        <v>15</v>
      </c>
      <c r="H857" s="123">
        <f t="shared" si="14"/>
        <v>2534.25</v>
      </c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7"/>
    </row>
    <row r="858" spans="1:23">
      <c r="A858" s="125" t="s">
        <v>17</v>
      </c>
      <c r="B858" s="14" t="s">
        <v>0</v>
      </c>
      <c r="C858" s="127" t="s">
        <v>18</v>
      </c>
      <c r="D858" s="14" t="s">
        <v>22</v>
      </c>
      <c r="E858" s="129">
        <f>41941+(7*364+7)</f>
        <v>44496</v>
      </c>
      <c r="F858" s="15">
        <v>168.95</v>
      </c>
      <c r="G858" s="130">
        <v>15</v>
      </c>
      <c r="H858" s="123">
        <f t="shared" si="14"/>
        <v>2534.25</v>
      </c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7"/>
    </row>
    <row r="859" spans="1:23">
      <c r="A859" s="125" t="s">
        <v>31</v>
      </c>
      <c r="B859" s="14" t="s">
        <v>1</v>
      </c>
      <c r="C859" s="127" t="s">
        <v>32</v>
      </c>
      <c r="D859" s="14" t="s">
        <v>19</v>
      </c>
      <c r="E859" s="129">
        <f>42216+(7*364+7)</f>
        <v>44771</v>
      </c>
      <c r="F859" s="15">
        <v>79.989999999999995</v>
      </c>
      <c r="G859" s="130">
        <v>8</v>
      </c>
      <c r="H859" s="123">
        <f t="shared" si="14"/>
        <v>639.91999999999996</v>
      </c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7"/>
    </row>
    <row r="860" spans="1:23">
      <c r="A860" s="125" t="s">
        <v>31</v>
      </c>
      <c r="B860" s="14" t="s">
        <v>2</v>
      </c>
      <c r="C860" s="127" t="s">
        <v>32</v>
      </c>
      <c r="D860" s="14" t="s">
        <v>20</v>
      </c>
      <c r="E860" s="129">
        <f>42223+(7*364+7)</f>
        <v>44778</v>
      </c>
      <c r="F860" s="15">
        <v>340.95</v>
      </c>
      <c r="G860" s="130">
        <v>10</v>
      </c>
      <c r="H860" s="123">
        <f t="shared" si="14"/>
        <v>3409.5</v>
      </c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7"/>
    </row>
    <row r="861" spans="1:23">
      <c r="A861" s="125" t="s">
        <v>30</v>
      </c>
      <c r="B861" s="14" t="s">
        <v>1</v>
      </c>
      <c r="C861" s="127" t="s">
        <v>18</v>
      </c>
      <c r="D861" s="14" t="s">
        <v>19</v>
      </c>
      <c r="E861" s="129">
        <f>41777+(7*364+7)</f>
        <v>44332</v>
      </c>
      <c r="F861" s="15">
        <v>79.989999999999995</v>
      </c>
      <c r="G861" s="130">
        <v>7</v>
      </c>
      <c r="H861" s="123">
        <f t="shared" si="14"/>
        <v>559.92999999999995</v>
      </c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7"/>
    </row>
    <row r="862" spans="1:23">
      <c r="A862" s="125" t="s">
        <v>33</v>
      </c>
      <c r="B862" s="14" t="s">
        <v>3</v>
      </c>
      <c r="C862" s="127" t="s">
        <v>18</v>
      </c>
      <c r="D862" s="14" t="s">
        <v>20</v>
      </c>
      <c r="E862" s="129">
        <f>41858+(7*364+7)</f>
        <v>44413</v>
      </c>
      <c r="F862" s="15">
        <v>799.95</v>
      </c>
      <c r="G862" s="130">
        <v>8</v>
      </c>
      <c r="H862" s="123">
        <f t="shared" si="14"/>
        <v>6399.6</v>
      </c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7"/>
    </row>
    <row r="863" spans="1:23">
      <c r="A863" s="125" t="s">
        <v>17</v>
      </c>
      <c r="B863" s="14" t="s">
        <v>4</v>
      </c>
      <c r="C863" s="127" t="s">
        <v>18</v>
      </c>
      <c r="D863" s="14" t="s">
        <v>20</v>
      </c>
      <c r="E863" s="129">
        <f>42102+(7*364+7)</f>
        <v>44657</v>
      </c>
      <c r="F863" s="15">
        <v>340.95</v>
      </c>
      <c r="G863" s="130">
        <v>4</v>
      </c>
      <c r="H863" s="123">
        <f t="shared" si="14"/>
        <v>1363.8</v>
      </c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7"/>
    </row>
    <row r="864" spans="1:23">
      <c r="A864" s="125" t="s">
        <v>28</v>
      </c>
      <c r="B864" s="14" t="s">
        <v>3</v>
      </c>
      <c r="C864" s="127" t="s">
        <v>32</v>
      </c>
      <c r="D864" s="14" t="s">
        <v>20</v>
      </c>
      <c r="E864" s="129">
        <f>41892+(7*364+7)</f>
        <v>44447</v>
      </c>
      <c r="F864" s="15">
        <v>799.95</v>
      </c>
      <c r="G864" s="130">
        <v>14</v>
      </c>
      <c r="H864" s="123">
        <f t="shared" si="14"/>
        <v>11199.300000000001</v>
      </c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7"/>
    </row>
    <row r="865" spans="1:23">
      <c r="A865" s="125" t="s">
        <v>34</v>
      </c>
      <c r="B865" s="14" t="s">
        <v>4</v>
      </c>
      <c r="C865" s="127" t="s">
        <v>32</v>
      </c>
      <c r="D865" s="14" t="s">
        <v>22</v>
      </c>
      <c r="E865" s="129">
        <f>42188+(7*364+7)</f>
        <v>44743</v>
      </c>
      <c r="F865" s="15">
        <v>340.95</v>
      </c>
      <c r="G865" s="130">
        <v>13</v>
      </c>
      <c r="H865" s="123">
        <f t="shared" si="14"/>
        <v>4432.3499999999995</v>
      </c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7"/>
    </row>
    <row r="866" spans="1:23">
      <c r="A866" s="125" t="s">
        <v>33</v>
      </c>
      <c r="B866" s="14" t="s">
        <v>3</v>
      </c>
      <c r="C866" s="127" t="s">
        <v>18</v>
      </c>
      <c r="D866" s="14" t="s">
        <v>20</v>
      </c>
      <c r="E866" s="129">
        <f>41840+(7*364+7)</f>
        <v>44395</v>
      </c>
      <c r="F866" s="15">
        <v>799.95</v>
      </c>
      <c r="G866" s="130">
        <v>14</v>
      </c>
      <c r="H866" s="123">
        <f t="shared" si="14"/>
        <v>11199.300000000001</v>
      </c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7"/>
    </row>
    <row r="867" spans="1:23">
      <c r="A867" s="125" t="s">
        <v>33</v>
      </c>
      <c r="B867" s="14" t="s">
        <v>4</v>
      </c>
      <c r="C867" s="127" t="s">
        <v>18</v>
      </c>
      <c r="D867" s="14" t="s">
        <v>19</v>
      </c>
      <c r="E867" s="129">
        <f>41803+(7*364+7)</f>
        <v>44358</v>
      </c>
      <c r="F867" s="15">
        <v>340.95</v>
      </c>
      <c r="G867" s="130">
        <v>18</v>
      </c>
      <c r="H867" s="123">
        <f t="shared" si="14"/>
        <v>6137.0999999999995</v>
      </c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7"/>
    </row>
    <row r="868" spans="1:23">
      <c r="A868" s="125" t="s">
        <v>34</v>
      </c>
      <c r="B868" s="14" t="s">
        <v>0</v>
      </c>
      <c r="C868" s="127" t="s">
        <v>32</v>
      </c>
      <c r="D868" s="14" t="s">
        <v>22</v>
      </c>
      <c r="E868" s="129">
        <f>41870+(7*364+7)</f>
        <v>44425</v>
      </c>
      <c r="F868" s="15">
        <v>168.95</v>
      </c>
      <c r="G868" s="130">
        <v>2</v>
      </c>
      <c r="H868" s="123">
        <f t="shared" si="14"/>
        <v>337.9</v>
      </c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7"/>
    </row>
    <row r="869" spans="1:23">
      <c r="A869" s="125" t="s">
        <v>26</v>
      </c>
      <c r="B869" s="14" t="s">
        <v>0</v>
      </c>
      <c r="C869" s="127" t="s">
        <v>27</v>
      </c>
      <c r="D869" s="14" t="s">
        <v>22</v>
      </c>
      <c r="E869" s="129">
        <f>41850+(7*364+7)</f>
        <v>44405</v>
      </c>
      <c r="F869" s="15">
        <v>168.95</v>
      </c>
      <c r="G869" s="130">
        <v>8</v>
      </c>
      <c r="H869" s="123">
        <f t="shared" si="14"/>
        <v>1351.6</v>
      </c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7"/>
    </row>
    <row r="870" spans="1:23">
      <c r="A870" s="125" t="s">
        <v>31</v>
      </c>
      <c r="B870" s="14" t="s">
        <v>4</v>
      </c>
      <c r="C870" s="127" t="s">
        <v>32</v>
      </c>
      <c r="D870" s="14" t="s">
        <v>19</v>
      </c>
      <c r="E870" s="129">
        <f>41927+(7*364+7)</f>
        <v>44482</v>
      </c>
      <c r="F870" s="15">
        <v>340.95</v>
      </c>
      <c r="G870" s="130">
        <v>13</v>
      </c>
      <c r="H870" s="123">
        <f t="shared" si="14"/>
        <v>4432.3499999999995</v>
      </c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7"/>
    </row>
    <row r="871" spans="1:23">
      <c r="A871" s="125" t="s">
        <v>34</v>
      </c>
      <c r="B871" s="14" t="s">
        <v>1</v>
      </c>
      <c r="C871" s="127" t="s">
        <v>32</v>
      </c>
      <c r="D871" s="14" t="s">
        <v>21</v>
      </c>
      <c r="E871" s="129">
        <f>41984+(7*364+7)</f>
        <v>44539</v>
      </c>
      <c r="F871" s="15">
        <v>79.989999999999995</v>
      </c>
      <c r="G871" s="130">
        <v>7</v>
      </c>
      <c r="H871" s="123">
        <f t="shared" si="14"/>
        <v>559.92999999999995</v>
      </c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7"/>
    </row>
    <row r="872" spans="1:23">
      <c r="A872" s="125" t="s">
        <v>34</v>
      </c>
      <c r="B872" s="14" t="s">
        <v>3</v>
      </c>
      <c r="C872" s="127" t="s">
        <v>32</v>
      </c>
      <c r="D872" s="14" t="s">
        <v>20</v>
      </c>
      <c r="E872" s="129">
        <f>41903+(7*364+7)</f>
        <v>44458</v>
      </c>
      <c r="F872" s="15">
        <v>799.95</v>
      </c>
      <c r="G872" s="130">
        <v>10</v>
      </c>
      <c r="H872" s="123">
        <f t="shared" si="14"/>
        <v>7999.5</v>
      </c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7"/>
    </row>
    <row r="873" spans="1:23">
      <c r="A873" s="125" t="s">
        <v>28</v>
      </c>
      <c r="B873" s="14" t="s">
        <v>0</v>
      </c>
      <c r="C873" s="127" t="s">
        <v>32</v>
      </c>
      <c r="D873" s="14" t="s">
        <v>21</v>
      </c>
      <c r="E873" s="129">
        <f>41775+(7*364+7)</f>
        <v>44330</v>
      </c>
      <c r="F873" s="15">
        <v>168.95</v>
      </c>
      <c r="G873" s="130">
        <v>14</v>
      </c>
      <c r="H873" s="123">
        <f t="shared" si="14"/>
        <v>2365.2999999999997</v>
      </c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7"/>
    </row>
    <row r="874" spans="1:23">
      <c r="A874" s="125" t="s">
        <v>31</v>
      </c>
      <c r="B874" s="14" t="s">
        <v>3</v>
      </c>
      <c r="C874" s="127" t="s">
        <v>32</v>
      </c>
      <c r="D874" s="14" t="s">
        <v>20</v>
      </c>
      <c r="E874" s="129">
        <f>42313+(7*364+7)</f>
        <v>44868</v>
      </c>
      <c r="F874" s="15">
        <v>799.95</v>
      </c>
      <c r="G874" s="130">
        <v>13</v>
      </c>
      <c r="H874" s="123">
        <f t="shared" si="14"/>
        <v>10399.35</v>
      </c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7"/>
    </row>
    <row r="875" spans="1:23">
      <c r="A875" s="125" t="s">
        <v>34</v>
      </c>
      <c r="B875" s="14" t="s">
        <v>3</v>
      </c>
      <c r="C875" s="127" t="s">
        <v>32</v>
      </c>
      <c r="D875" s="14" t="s">
        <v>20</v>
      </c>
      <c r="E875" s="129">
        <f>41790+(7*364+7)</f>
        <v>44345</v>
      </c>
      <c r="F875" s="15">
        <v>799.95</v>
      </c>
      <c r="G875" s="130">
        <v>5</v>
      </c>
      <c r="H875" s="123">
        <f t="shared" si="14"/>
        <v>3999.75</v>
      </c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7"/>
    </row>
    <row r="876" spans="1:23">
      <c r="A876" s="125" t="s">
        <v>17</v>
      </c>
      <c r="B876" s="14" t="s">
        <v>1</v>
      </c>
      <c r="C876" s="127" t="s">
        <v>18</v>
      </c>
      <c r="D876" s="14" t="s">
        <v>19</v>
      </c>
      <c r="E876" s="129">
        <f>41682+(7*364+7)</f>
        <v>44237</v>
      </c>
      <c r="F876" s="15">
        <v>79.989999999999995</v>
      </c>
      <c r="G876" s="130">
        <v>14</v>
      </c>
      <c r="H876" s="123">
        <f t="shared" si="14"/>
        <v>1119.8599999999999</v>
      </c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7"/>
    </row>
    <row r="877" spans="1:23">
      <c r="A877" s="125" t="s">
        <v>17</v>
      </c>
      <c r="B877" s="14" t="s">
        <v>4</v>
      </c>
      <c r="C877" s="127" t="s">
        <v>18</v>
      </c>
      <c r="D877" s="14" t="s">
        <v>23</v>
      </c>
      <c r="E877" s="129">
        <f>42064+(7*364+7)</f>
        <v>44619</v>
      </c>
      <c r="F877" s="15">
        <v>340.95</v>
      </c>
      <c r="G877" s="130">
        <v>11</v>
      </c>
      <c r="H877" s="123">
        <f t="shared" si="14"/>
        <v>3750.45</v>
      </c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7"/>
    </row>
    <row r="878" spans="1:23">
      <c r="A878" s="125" t="s">
        <v>35</v>
      </c>
      <c r="B878" s="14" t="s">
        <v>0</v>
      </c>
      <c r="C878" s="127" t="s">
        <v>29</v>
      </c>
      <c r="D878" s="14" t="s">
        <v>19</v>
      </c>
      <c r="E878" s="129">
        <f>42285+(7*364+7)</f>
        <v>44840</v>
      </c>
      <c r="F878" s="15">
        <v>168.95</v>
      </c>
      <c r="G878" s="130">
        <v>6</v>
      </c>
      <c r="H878" s="123">
        <f t="shared" si="14"/>
        <v>1013.6999999999999</v>
      </c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7"/>
    </row>
    <row r="879" spans="1:23">
      <c r="A879" s="125" t="s">
        <v>34</v>
      </c>
      <c r="B879" s="14" t="s">
        <v>4</v>
      </c>
      <c r="C879" s="127" t="s">
        <v>32</v>
      </c>
      <c r="D879" s="14" t="s">
        <v>19</v>
      </c>
      <c r="E879" s="129">
        <f>42354+(7*364+7)</f>
        <v>44909</v>
      </c>
      <c r="F879" s="15">
        <v>340.95</v>
      </c>
      <c r="G879" s="130">
        <v>11</v>
      </c>
      <c r="H879" s="123">
        <f t="shared" si="14"/>
        <v>3750.45</v>
      </c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7"/>
    </row>
    <row r="880" spans="1:23">
      <c r="A880" s="125" t="s">
        <v>16</v>
      </c>
      <c r="B880" s="14" t="s">
        <v>2</v>
      </c>
      <c r="C880" s="127" t="s">
        <v>29</v>
      </c>
      <c r="D880" s="14" t="s">
        <v>22</v>
      </c>
      <c r="E880" s="129">
        <f>41711+(7*364+7)</f>
        <v>44266</v>
      </c>
      <c r="F880" s="15">
        <v>340.95</v>
      </c>
      <c r="G880" s="130">
        <v>2</v>
      </c>
      <c r="H880" s="123">
        <f t="shared" si="14"/>
        <v>681.9</v>
      </c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7"/>
    </row>
    <row r="881" spans="1:23">
      <c r="A881" s="125" t="s">
        <v>16</v>
      </c>
      <c r="B881" s="14" t="s">
        <v>2</v>
      </c>
      <c r="C881" s="127" t="s">
        <v>29</v>
      </c>
      <c r="D881" s="14" t="s">
        <v>22</v>
      </c>
      <c r="E881" s="129">
        <f>42143+(7*364+7)</f>
        <v>44698</v>
      </c>
      <c r="F881" s="15">
        <v>340.95</v>
      </c>
      <c r="G881" s="130">
        <v>8</v>
      </c>
      <c r="H881" s="123">
        <f t="shared" si="14"/>
        <v>2727.6</v>
      </c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7"/>
    </row>
    <row r="882" spans="1:23">
      <c r="A882" s="125" t="s">
        <v>30</v>
      </c>
      <c r="B882" s="14" t="s">
        <v>4</v>
      </c>
      <c r="C882" s="127" t="s">
        <v>18</v>
      </c>
      <c r="D882" s="14" t="s">
        <v>21</v>
      </c>
      <c r="E882" s="129">
        <f>41978+(7*364+7)</f>
        <v>44533</v>
      </c>
      <c r="F882" s="15">
        <v>340.95</v>
      </c>
      <c r="G882" s="130">
        <v>13</v>
      </c>
      <c r="H882" s="123">
        <f t="shared" si="14"/>
        <v>4432.3499999999995</v>
      </c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7"/>
    </row>
    <row r="883" spans="1:23">
      <c r="A883" s="125" t="s">
        <v>33</v>
      </c>
      <c r="B883" s="14" t="s">
        <v>4</v>
      </c>
      <c r="C883" s="127" t="s">
        <v>18</v>
      </c>
      <c r="D883" s="14" t="s">
        <v>20</v>
      </c>
      <c r="E883" s="129">
        <f>42011+(7*364+7)</f>
        <v>44566</v>
      </c>
      <c r="F883" s="15">
        <v>340.95</v>
      </c>
      <c r="G883" s="130">
        <v>2</v>
      </c>
      <c r="H883" s="123">
        <f t="shared" si="14"/>
        <v>681.9</v>
      </c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7"/>
    </row>
    <row r="884" spans="1:23">
      <c r="A884" s="125" t="s">
        <v>25</v>
      </c>
      <c r="B884" s="14" t="s">
        <v>2</v>
      </c>
      <c r="C884" s="127" t="s">
        <v>32</v>
      </c>
      <c r="D884" s="14" t="s">
        <v>21</v>
      </c>
      <c r="E884" s="129">
        <f>42246+(7*364+7)</f>
        <v>44801</v>
      </c>
      <c r="F884" s="15">
        <v>340.95</v>
      </c>
      <c r="G884" s="130">
        <v>7</v>
      </c>
      <c r="H884" s="123">
        <f t="shared" si="14"/>
        <v>2386.65</v>
      </c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7"/>
    </row>
    <row r="885" spans="1:23">
      <c r="A885" s="125" t="s">
        <v>16</v>
      </c>
      <c r="B885" s="14" t="s">
        <v>4</v>
      </c>
      <c r="C885" s="127" t="s">
        <v>29</v>
      </c>
      <c r="D885" s="14" t="s">
        <v>23</v>
      </c>
      <c r="E885" s="129">
        <f>42250+(7*364+7)</f>
        <v>44805</v>
      </c>
      <c r="F885" s="15">
        <v>340.95</v>
      </c>
      <c r="G885" s="130">
        <v>10</v>
      </c>
      <c r="H885" s="123">
        <f t="shared" si="14"/>
        <v>3409.5</v>
      </c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7"/>
    </row>
    <row r="886" spans="1:23">
      <c r="A886" s="125" t="s">
        <v>17</v>
      </c>
      <c r="B886" s="14" t="s">
        <v>3</v>
      </c>
      <c r="C886" s="127" t="s">
        <v>18</v>
      </c>
      <c r="D886" s="14" t="s">
        <v>20</v>
      </c>
      <c r="E886" s="129">
        <f>41669+(7*364+7)</f>
        <v>44224</v>
      </c>
      <c r="F886" s="15">
        <v>799.95</v>
      </c>
      <c r="G886" s="130">
        <v>10</v>
      </c>
      <c r="H886" s="123">
        <f t="shared" si="14"/>
        <v>7999.5</v>
      </c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7"/>
    </row>
    <row r="887" spans="1:23">
      <c r="A887" s="125" t="s">
        <v>30</v>
      </c>
      <c r="B887" s="14" t="s">
        <v>4</v>
      </c>
      <c r="C887" s="127" t="s">
        <v>18</v>
      </c>
      <c r="D887" s="14" t="s">
        <v>19</v>
      </c>
      <c r="E887" s="129">
        <f>41852+(7*364+7)</f>
        <v>44407</v>
      </c>
      <c r="F887" s="15">
        <v>340.95</v>
      </c>
      <c r="G887" s="130">
        <v>11</v>
      </c>
      <c r="H887" s="123">
        <f t="shared" si="14"/>
        <v>3750.45</v>
      </c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7"/>
    </row>
    <row r="888" spans="1:23">
      <c r="A888" s="125" t="s">
        <v>26</v>
      </c>
      <c r="B888" s="14" t="s">
        <v>0</v>
      </c>
      <c r="C888" s="127" t="s">
        <v>27</v>
      </c>
      <c r="D888" s="14" t="s">
        <v>21</v>
      </c>
      <c r="E888" s="129">
        <f>41910+(7*364+7)</f>
        <v>44465</v>
      </c>
      <c r="F888" s="15">
        <v>168.95</v>
      </c>
      <c r="G888" s="130">
        <v>4</v>
      </c>
      <c r="H888" s="123">
        <f t="shared" si="14"/>
        <v>675.8</v>
      </c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7"/>
    </row>
    <row r="889" spans="1:23">
      <c r="A889" s="125" t="s">
        <v>28</v>
      </c>
      <c r="B889" s="14" t="s">
        <v>4</v>
      </c>
      <c r="C889" s="127" t="s">
        <v>32</v>
      </c>
      <c r="D889" s="14" t="s">
        <v>22</v>
      </c>
      <c r="E889" s="129">
        <f>42003+(7*364+7)</f>
        <v>44558</v>
      </c>
      <c r="F889" s="15">
        <v>340.95</v>
      </c>
      <c r="G889" s="130">
        <v>6</v>
      </c>
      <c r="H889" s="123">
        <f t="shared" si="14"/>
        <v>2045.6999999999998</v>
      </c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7"/>
    </row>
    <row r="890" spans="1:23">
      <c r="A890" s="125" t="s">
        <v>16</v>
      </c>
      <c r="B890" s="14" t="s">
        <v>1</v>
      </c>
      <c r="C890" s="127" t="s">
        <v>29</v>
      </c>
      <c r="D890" s="14" t="s">
        <v>23</v>
      </c>
      <c r="E890" s="129">
        <f>41885+(7*364+7)</f>
        <v>44440</v>
      </c>
      <c r="F890" s="15">
        <v>79.989999999999995</v>
      </c>
      <c r="G890" s="130">
        <v>2</v>
      </c>
      <c r="H890" s="123">
        <f t="shared" si="14"/>
        <v>159.97999999999999</v>
      </c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7"/>
    </row>
    <row r="891" spans="1:23">
      <c r="A891" s="125" t="s">
        <v>34</v>
      </c>
      <c r="B891" s="14" t="s">
        <v>0</v>
      </c>
      <c r="C891" s="127" t="s">
        <v>32</v>
      </c>
      <c r="D891" s="14" t="s">
        <v>20</v>
      </c>
      <c r="E891" s="129">
        <f>42284+(7*364+7)</f>
        <v>44839</v>
      </c>
      <c r="F891" s="15">
        <v>168.95</v>
      </c>
      <c r="G891" s="130">
        <v>1</v>
      </c>
      <c r="H891" s="123">
        <f t="shared" si="14"/>
        <v>168.95</v>
      </c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7"/>
    </row>
    <row r="892" spans="1:23">
      <c r="A892" s="125" t="s">
        <v>34</v>
      </c>
      <c r="B892" s="14" t="s">
        <v>2</v>
      </c>
      <c r="C892" s="127" t="s">
        <v>32</v>
      </c>
      <c r="D892" s="14" t="s">
        <v>21</v>
      </c>
      <c r="E892" s="129">
        <f>41787+(7*364+7)</f>
        <v>44342</v>
      </c>
      <c r="F892" s="15">
        <v>340.95</v>
      </c>
      <c r="G892" s="130">
        <v>1</v>
      </c>
      <c r="H892" s="123">
        <f t="shared" si="14"/>
        <v>340.95</v>
      </c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7"/>
    </row>
    <row r="893" spans="1:23">
      <c r="A893" s="125" t="s">
        <v>28</v>
      </c>
      <c r="B893" s="14" t="s">
        <v>2</v>
      </c>
      <c r="C893" s="127" t="s">
        <v>32</v>
      </c>
      <c r="D893" s="14" t="s">
        <v>23</v>
      </c>
      <c r="E893" s="129">
        <f>41986+(7*364+7)</f>
        <v>44541</v>
      </c>
      <c r="F893" s="15">
        <v>340.95</v>
      </c>
      <c r="G893" s="130">
        <v>1</v>
      </c>
      <c r="H893" s="123">
        <f t="shared" si="14"/>
        <v>340.95</v>
      </c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7"/>
    </row>
    <row r="894" spans="1:23">
      <c r="A894" s="125" t="s">
        <v>7</v>
      </c>
      <c r="B894" s="14" t="s">
        <v>0</v>
      </c>
      <c r="C894" s="127" t="s">
        <v>27</v>
      </c>
      <c r="D894" s="14" t="s">
        <v>23</v>
      </c>
      <c r="E894" s="129">
        <f>41740+(7*364+7)</f>
        <v>44295</v>
      </c>
      <c r="F894" s="15">
        <v>168.95</v>
      </c>
      <c r="G894" s="130">
        <v>3</v>
      </c>
      <c r="H894" s="123">
        <f t="shared" si="14"/>
        <v>506.84999999999997</v>
      </c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7"/>
    </row>
    <row r="895" spans="1:23">
      <c r="A895" s="125" t="s">
        <v>17</v>
      </c>
      <c r="B895" s="14" t="s">
        <v>2</v>
      </c>
      <c r="C895" s="127" t="s">
        <v>18</v>
      </c>
      <c r="D895" s="14" t="s">
        <v>20</v>
      </c>
      <c r="E895" s="129">
        <f>41853+(7*364+7)</f>
        <v>44408</v>
      </c>
      <c r="F895" s="15">
        <v>340.95</v>
      </c>
      <c r="G895" s="130">
        <v>10</v>
      </c>
      <c r="H895" s="123">
        <f t="shared" si="14"/>
        <v>3409.5</v>
      </c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7"/>
    </row>
    <row r="896" spans="1:23">
      <c r="A896" s="125" t="s">
        <v>26</v>
      </c>
      <c r="B896" s="14" t="s">
        <v>1</v>
      </c>
      <c r="C896" s="127" t="s">
        <v>27</v>
      </c>
      <c r="D896" s="14" t="s">
        <v>23</v>
      </c>
      <c r="E896" s="129">
        <f>41703+(7*364+7)</f>
        <v>44258</v>
      </c>
      <c r="F896" s="15">
        <v>79.989999999999995</v>
      </c>
      <c r="G896" s="130">
        <v>10</v>
      </c>
      <c r="H896" s="123">
        <f t="shared" si="14"/>
        <v>799.9</v>
      </c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7"/>
    </row>
    <row r="897" spans="1:23">
      <c r="A897" s="125" t="s">
        <v>33</v>
      </c>
      <c r="B897" s="14" t="s">
        <v>2</v>
      </c>
      <c r="C897" s="127" t="s">
        <v>18</v>
      </c>
      <c r="D897" s="14" t="s">
        <v>20</v>
      </c>
      <c r="E897" s="129">
        <f>41934+(7*364+7)</f>
        <v>44489</v>
      </c>
      <c r="F897" s="15">
        <v>340.95</v>
      </c>
      <c r="G897" s="130">
        <v>6</v>
      </c>
      <c r="H897" s="123">
        <f t="shared" si="14"/>
        <v>2045.6999999999998</v>
      </c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7"/>
    </row>
    <row r="898" spans="1:23">
      <c r="A898" s="125" t="s">
        <v>17</v>
      </c>
      <c r="B898" s="14" t="s">
        <v>2</v>
      </c>
      <c r="C898" s="127" t="s">
        <v>18</v>
      </c>
      <c r="D898" s="14" t="s">
        <v>19</v>
      </c>
      <c r="E898" s="129">
        <f>41676+(7*364+7)</f>
        <v>44231</v>
      </c>
      <c r="F898" s="15">
        <v>340.95</v>
      </c>
      <c r="G898" s="130">
        <v>17</v>
      </c>
      <c r="H898" s="123">
        <f t="shared" si="14"/>
        <v>5796.15</v>
      </c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7"/>
    </row>
    <row r="899" spans="1:23">
      <c r="A899" s="125" t="s">
        <v>7</v>
      </c>
      <c r="B899" s="14" t="s">
        <v>2</v>
      </c>
      <c r="C899" s="127" t="s">
        <v>27</v>
      </c>
      <c r="D899" s="14" t="s">
        <v>22</v>
      </c>
      <c r="E899" s="129">
        <f>42319+(7*364+7)</f>
        <v>44874</v>
      </c>
      <c r="F899" s="15">
        <v>340.95</v>
      </c>
      <c r="G899" s="130">
        <v>10</v>
      </c>
      <c r="H899" s="123">
        <f t="shared" ref="H899:H911" si="15">F899*G899</f>
        <v>3409.5</v>
      </c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7"/>
    </row>
    <row r="900" spans="1:23">
      <c r="A900" s="125" t="s">
        <v>28</v>
      </c>
      <c r="B900" s="14" t="s">
        <v>0</v>
      </c>
      <c r="C900" s="127" t="s">
        <v>32</v>
      </c>
      <c r="D900" s="14" t="s">
        <v>20</v>
      </c>
      <c r="E900" s="129">
        <f>42362+(7*364+7)</f>
        <v>44917</v>
      </c>
      <c r="F900" s="15">
        <v>168.95</v>
      </c>
      <c r="G900" s="130">
        <v>3</v>
      </c>
      <c r="H900" s="123">
        <f t="shared" si="15"/>
        <v>506.84999999999997</v>
      </c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7"/>
    </row>
    <row r="901" spans="1:23">
      <c r="A901" s="125" t="s">
        <v>17</v>
      </c>
      <c r="B901" s="14" t="s">
        <v>3</v>
      </c>
      <c r="C901" s="127" t="s">
        <v>18</v>
      </c>
      <c r="D901" s="14" t="s">
        <v>23</v>
      </c>
      <c r="E901" s="129">
        <f>42305+(7*364+7)</f>
        <v>44860</v>
      </c>
      <c r="F901" s="15">
        <v>799.95</v>
      </c>
      <c r="G901" s="130">
        <v>5</v>
      </c>
      <c r="H901" s="123">
        <f t="shared" si="15"/>
        <v>3999.75</v>
      </c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7"/>
    </row>
    <row r="902" spans="1:23">
      <c r="A902" s="125" t="s">
        <v>33</v>
      </c>
      <c r="B902" s="14" t="s">
        <v>4</v>
      </c>
      <c r="C902" s="127" t="s">
        <v>18</v>
      </c>
      <c r="D902" s="14" t="s">
        <v>19</v>
      </c>
      <c r="E902" s="129">
        <f>41721+(7*364+7)</f>
        <v>44276</v>
      </c>
      <c r="F902" s="15">
        <v>340.95</v>
      </c>
      <c r="G902" s="130">
        <v>16</v>
      </c>
      <c r="H902" s="123">
        <f t="shared" si="15"/>
        <v>5455.2</v>
      </c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7"/>
    </row>
    <row r="903" spans="1:23">
      <c r="A903" s="125" t="s">
        <v>6</v>
      </c>
      <c r="B903" s="14" t="s">
        <v>3</v>
      </c>
      <c r="C903" s="127" t="s">
        <v>18</v>
      </c>
      <c r="D903" s="14" t="s">
        <v>19</v>
      </c>
      <c r="E903" s="129">
        <f>42297+(7*364+7)</f>
        <v>44852</v>
      </c>
      <c r="F903" s="15">
        <v>799.95</v>
      </c>
      <c r="G903" s="130">
        <v>11</v>
      </c>
      <c r="H903" s="123">
        <f t="shared" si="15"/>
        <v>8799.4500000000007</v>
      </c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7"/>
    </row>
    <row r="904" spans="1:23">
      <c r="A904" s="125" t="s">
        <v>34</v>
      </c>
      <c r="B904" s="14" t="s">
        <v>1</v>
      </c>
      <c r="C904" s="127" t="s">
        <v>32</v>
      </c>
      <c r="D904" s="14" t="s">
        <v>23</v>
      </c>
      <c r="E904" s="129">
        <f>42186+(7*364+7)</f>
        <v>44741</v>
      </c>
      <c r="F904" s="15">
        <v>79.989999999999995</v>
      </c>
      <c r="G904" s="130">
        <v>8</v>
      </c>
      <c r="H904" s="123">
        <f t="shared" si="15"/>
        <v>639.91999999999996</v>
      </c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7"/>
    </row>
    <row r="905" spans="1:23">
      <c r="A905" s="125" t="s">
        <v>17</v>
      </c>
      <c r="B905" s="14" t="s">
        <v>3</v>
      </c>
      <c r="C905" s="127" t="s">
        <v>18</v>
      </c>
      <c r="D905" s="14" t="s">
        <v>20</v>
      </c>
      <c r="E905" s="129">
        <f>41875+(7*364+7)</f>
        <v>44430</v>
      </c>
      <c r="F905" s="15">
        <v>799.95</v>
      </c>
      <c r="G905" s="130">
        <v>4</v>
      </c>
      <c r="H905" s="123">
        <f t="shared" si="15"/>
        <v>3199.8</v>
      </c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7"/>
    </row>
    <row r="906" spans="1:23">
      <c r="A906" s="125" t="s">
        <v>17</v>
      </c>
      <c r="B906" s="14" t="s">
        <v>2</v>
      </c>
      <c r="C906" s="127" t="s">
        <v>18</v>
      </c>
      <c r="D906" s="14" t="s">
        <v>23</v>
      </c>
      <c r="E906" s="129">
        <f>42192+(7*364+7)</f>
        <v>44747</v>
      </c>
      <c r="F906" s="15">
        <v>340.95</v>
      </c>
      <c r="G906" s="130">
        <v>7</v>
      </c>
      <c r="H906" s="123">
        <f t="shared" si="15"/>
        <v>2386.65</v>
      </c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7"/>
    </row>
    <row r="907" spans="1:23">
      <c r="A907" s="125" t="s">
        <v>26</v>
      </c>
      <c r="B907" s="14" t="s">
        <v>4</v>
      </c>
      <c r="C907" s="127" t="s">
        <v>27</v>
      </c>
      <c r="D907" s="14" t="s">
        <v>23</v>
      </c>
      <c r="E907" s="129">
        <f>42001+(7*364+7)</f>
        <v>44556</v>
      </c>
      <c r="F907" s="15">
        <v>340.95</v>
      </c>
      <c r="G907" s="130">
        <v>9</v>
      </c>
      <c r="H907" s="123">
        <f t="shared" si="15"/>
        <v>3068.5499999999997</v>
      </c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7"/>
    </row>
    <row r="908" spans="1:23">
      <c r="A908" s="125" t="s">
        <v>26</v>
      </c>
      <c r="B908" s="14" t="s">
        <v>2</v>
      </c>
      <c r="C908" s="127" t="s">
        <v>27</v>
      </c>
      <c r="D908" s="14" t="s">
        <v>21</v>
      </c>
      <c r="E908" s="129">
        <f>42078+(7*364+7)</f>
        <v>44633</v>
      </c>
      <c r="F908" s="15">
        <v>340.95</v>
      </c>
      <c r="G908" s="130">
        <v>4</v>
      </c>
      <c r="H908" s="123">
        <f t="shared" si="15"/>
        <v>1363.8</v>
      </c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7"/>
    </row>
    <row r="909" spans="1:23">
      <c r="A909" s="125" t="s">
        <v>17</v>
      </c>
      <c r="B909" s="14" t="s">
        <v>1</v>
      </c>
      <c r="C909" s="127" t="s">
        <v>18</v>
      </c>
      <c r="D909" s="14" t="s">
        <v>19</v>
      </c>
      <c r="E909" s="129">
        <f>41877+(7*364+7)</f>
        <v>44432</v>
      </c>
      <c r="F909" s="15">
        <v>79.989999999999995</v>
      </c>
      <c r="G909" s="130">
        <v>12</v>
      </c>
      <c r="H909" s="123">
        <f t="shared" si="15"/>
        <v>959.87999999999988</v>
      </c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7"/>
    </row>
    <row r="910" spans="1:23">
      <c r="A910" s="125" t="s">
        <v>6</v>
      </c>
      <c r="B910" s="14" t="s">
        <v>1</v>
      </c>
      <c r="C910" s="127" t="s">
        <v>18</v>
      </c>
      <c r="D910" s="14" t="s">
        <v>22</v>
      </c>
      <c r="E910" s="129">
        <f>41881+(7*364+7)</f>
        <v>44436</v>
      </c>
      <c r="F910" s="15">
        <v>79.989999999999995</v>
      </c>
      <c r="G910" s="130">
        <v>12</v>
      </c>
      <c r="H910" s="123">
        <f t="shared" si="15"/>
        <v>959.87999999999988</v>
      </c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7"/>
    </row>
    <row r="911" spans="1:23">
      <c r="A911" s="126" t="s">
        <v>33</v>
      </c>
      <c r="B911" s="21" t="s">
        <v>2</v>
      </c>
      <c r="C911" s="128" t="s">
        <v>18</v>
      </c>
      <c r="D911" s="21" t="s">
        <v>23</v>
      </c>
      <c r="E911" s="129">
        <f>42183+(7*364+7)</f>
        <v>44738</v>
      </c>
      <c r="F911" s="22">
        <v>340.95</v>
      </c>
      <c r="G911" s="131">
        <v>5</v>
      </c>
      <c r="H911" s="124">
        <f t="shared" si="15"/>
        <v>1704.75</v>
      </c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7"/>
    </row>
    <row r="912" spans="1:23">
      <c r="E912" s="23"/>
      <c r="G912" s="7"/>
    </row>
  </sheetData>
  <sortState ref="A3:I911">
    <sortCondition ref="I6"/>
  </sortState>
  <mergeCells count="1">
    <mergeCell ref="A1:H1"/>
  </mergeCells>
  <printOptions gridLines="1" gridLinesSet="0"/>
  <pageMargins left="0.75" right="0.75" top="1" bottom="1" header="0.5" footer="0.5"/>
  <pageSetup orientation="portrait" horizontalDpi="4294967292" verticalDpi="4294967292" r:id="rId3"/>
  <headerFooter alignWithMargins="0">
    <oddHeader>&amp;L&amp;"Calibri,Regular"&amp;K000000&amp;G&amp;C&amp;"Calibri,Regular"&amp;K000000HOME Furniture Sales - 2010 and 2011</oddHeader>
    <oddFooter>Page &amp;P</oddFooter>
  </headerFooter>
  <legacyDrawingHF r:id="rId4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A1:I15"/>
  <sheetViews>
    <sheetView workbookViewId="0">
      <selection activeCell="I1" sqref="I1"/>
    </sheetView>
  </sheetViews>
  <sheetFormatPr defaultRowHeight="15"/>
  <cols>
    <col min="1" max="1" width="17.140625" bestFit="1" customWidth="1"/>
    <col min="2" max="7" width="7.5703125" bestFit="1" customWidth="1"/>
    <col min="8" max="8" width="9" bestFit="1" customWidth="1"/>
  </cols>
  <sheetData>
    <row r="1" spans="1:9" ht="36" customHeight="1">
      <c r="A1" s="138"/>
      <c r="B1" s="138"/>
      <c r="C1" s="157"/>
      <c r="D1" s="157"/>
      <c r="E1" s="157"/>
      <c r="F1" s="157"/>
      <c r="G1" s="157"/>
      <c r="H1" s="157"/>
      <c r="I1" t="s">
        <v>1531</v>
      </c>
    </row>
    <row r="2" spans="1:9">
      <c r="A2" s="158" t="s">
        <v>1293</v>
      </c>
      <c r="B2" s="158"/>
      <c r="C2" s="158"/>
      <c r="D2" s="158"/>
      <c r="E2" s="158"/>
      <c r="F2" s="158"/>
      <c r="G2" s="158"/>
      <c r="H2" s="158"/>
    </row>
    <row r="3" spans="1:9">
      <c r="A3" s="56"/>
      <c r="B3" s="6" t="s">
        <v>302</v>
      </c>
      <c r="C3" s="6" t="s">
        <v>303</v>
      </c>
      <c r="D3" s="6" t="s">
        <v>304</v>
      </c>
      <c r="E3" s="6" t="s">
        <v>305</v>
      </c>
      <c r="F3" s="6" t="s">
        <v>306</v>
      </c>
      <c r="G3" s="6" t="s">
        <v>307</v>
      </c>
      <c r="H3" s="6" t="s">
        <v>5</v>
      </c>
    </row>
    <row r="4" spans="1:9">
      <c r="A4" s="56" t="s">
        <v>97</v>
      </c>
      <c r="B4" s="108">
        <v>121.2</v>
      </c>
      <c r="C4" s="108">
        <v>181.4</v>
      </c>
      <c r="D4" s="108">
        <v>262.2</v>
      </c>
      <c r="E4" s="108">
        <v>241.1</v>
      </c>
      <c r="F4" s="108">
        <v>301.2</v>
      </c>
      <c r="G4" s="108">
        <v>501.4</v>
      </c>
      <c r="H4" s="109">
        <f>SUM(B4:G4)</f>
        <v>1608.5</v>
      </c>
    </row>
    <row r="5" spans="1:9">
      <c r="A5" s="56" t="s">
        <v>308</v>
      </c>
      <c r="B5" s="112">
        <v>106</v>
      </c>
      <c r="C5" s="112">
        <v>133.6</v>
      </c>
      <c r="D5" s="112">
        <v>121.9</v>
      </c>
      <c r="E5" s="112">
        <v>232</v>
      </c>
      <c r="F5" s="112">
        <v>267.5</v>
      </c>
      <c r="G5" s="112">
        <v>353.3</v>
      </c>
      <c r="H5" s="112">
        <f>SUM(B5:G5)</f>
        <v>1214.3</v>
      </c>
    </row>
    <row r="6" spans="1:9">
      <c r="A6" s="56" t="s">
        <v>309</v>
      </c>
      <c r="B6" s="112">
        <f t="shared" ref="B6:G6" si="0">B4-B5</f>
        <v>15.200000000000003</v>
      </c>
      <c r="C6" s="112">
        <f t="shared" si="0"/>
        <v>47.800000000000011</v>
      </c>
      <c r="D6" s="112">
        <f t="shared" si="0"/>
        <v>140.29999999999998</v>
      </c>
      <c r="E6" s="112">
        <f t="shared" si="0"/>
        <v>9.0999999999999943</v>
      </c>
      <c r="F6" s="112">
        <f t="shared" si="0"/>
        <v>33.699999999999989</v>
      </c>
      <c r="G6" s="112">
        <f t="shared" si="0"/>
        <v>148.09999999999997</v>
      </c>
      <c r="H6" s="112">
        <f>SUM(B6:G6)</f>
        <v>394.19999999999993</v>
      </c>
    </row>
    <row r="7" spans="1:9">
      <c r="A7" s="56" t="s">
        <v>310</v>
      </c>
      <c r="B7" s="111">
        <f>B6</f>
        <v>15.200000000000003</v>
      </c>
      <c r="C7" s="111">
        <f>C6+B7</f>
        <v>63.000000000000014</v>
      </c>
      <c r="D7" s="111">
        <f>D6+C7</f>
        <v>203.3</v>
      </c>
      <c r="E7" s="111">
        <f>E6+D7</f>
        <v>212.4</v>
      </c>
      <c r="F7" s="111">
        <f>F6+E7</f>
        <v>246.1</v>
      </c>
      <c r="G7" s="109">
        <f>G6+F7</f>
        <v>394.19999999999993</v>
      </c>
      <c r="H7" s="110"/>
    </row>
    <row r="8" spans="1:9">
      <c r="A8" s="56"/>
      <c r="B8" s="56"/>
      <c r="C8" s="56"/>
      <c r="D8" s="56"/>
      <c r="E8" s="56"/>
      <c r="F8" s="56"/>
      <c r="G8" s="56"/>
      <c r="H8" s="56"/>
    </row>
    <row r="9" spans="1:9">
      <c r="A9" s="56" t="s">
        <v>311</v>
      </c>
      <c r="B9" s="56"/>
      <c r="C9" s="57">
        <f t="shared" ref="C9:G11" si="1">(C4-B4)/B4</f>
        <v>0.49669966996699672</v>
      </c>
      <c r="D9" s="57">
        <f t="shared" si="1"/>
        <v>0.44542447629547949</v>
      </c>
      <c r="E9" s="57">
        <f t="shared" si="1"/>
        <v>-8.0472921434019809E-2</v>
      </c>
      <c r="F9" s="57">
        <f t="shared" si="1"/>
        <v>0.24927416009954373</v>
      </c>
      <c r="G9" s="57">
        <f t="shared" si="1"/>
        <v>0.66467463479415667</v>
      </c>
      <c r="H9" s="57">
        <f>(G4-B4)/B4</f>
        <v>3.1369636963696368</v>
      </c>
    </row>
    <row r="10" spans="1:9">
      <c r="A10" s="56" t="s">
        <v>313</v>
      </c>
      <c r="B10" s="56"/>
      <c r="C10" s="57">
        <f t="shared" si="1"/>
        <v>0.26037735849056598</v>
      </c>
      <c r="D10" s="57">
        <f t="shared" si="1"/>
        <v>-8.7574850299401111E-2</v>
      </c>
      <c r="E10" s="57">
        <f t="shared" si="1"/>
        <v>0.90319934372436417</v>
      </c>
      <c r="F10" s="57">
        <f t="shared" si="1"/>
        <v>0.15301724137931033</v>
      </c>
      <c r="G10" s="57">
        <f t="shared" si="1"/>
        <v>0.32074766355140188</v>
      </c>
      <c r="H10" s="57">
        <f>(G5-B5)/B5</f>
        <v>2.3330188679245283</v>
      </c>
    </row>
    <row r="11" spans="1:9">
      <c r="A11" s="56" t="s">
        <v>312</v>
      </c>
      <c r="B11" s="56"/>
      <c r="C11" s="57">
        <f t="shared" si="1"/>
        <v>2.1447368421052633</v>
      </c>
      <c r="D11" s="57">
        <f t="shared" si="1"/>
        <v>1.9351464435146433</v>
      </c>
      <c r="E11" s="57">
        <f t="shared" si="1"/>
        <v>-0.93513898788310768</v>
      </c>
      <c r="F11" s="57">
        <f t="shared" si="1"/>
        <v>2.7032967032967044</v>
      </c>
      <c r="G11" s="57">
        <f t="shared" si="1"/>
        <v>3.3946587537091992</v>
      </c>
      <c r="H11" s="57">
        <f>(G6-B6)/B6</f>
        <v>8.7434210526315752</v>
      </c>
    </row>
    <row r="12" spans="1:9">
      <c r="A12" s="56"/>
      <c r="B12" s="56"/>
      <c r="C12" s="56"/>
      <c r="D12" s="56"/>
      <c r="E12" s="56"/>
      <c r="F12" s="56"/>
      <c r="G12" s="56"/>
      <c r="H12" s="56"/>
    </row>
    <row r="13" spans="1:9">
      <c r="A13" s="56" t="s">
        <v>314</v>
      </c>
      <c r="B13" s="58">
        <f t="shared" ref="B13:H13" si="2">B4/B5</f>
        <v>1.1433962264150943</v>
      </c>
      <c r="C13" s="58">
        <f t="shared" si="2"/>
        <v>1.3577844311377247</v>
      </c>
      <c r="D13" s="58">
        <f t="shared" si="2"/>
        <v>2.1509433962264151</v>
      </c>
      <c r="E13" s="58">
        <f t="shared" si="2"/>
        <v>1.0392241379310345</v>
      </c>
      <c r="F13" s="58">
        <f t="shared" si="2"/>
        <v>1.1259813084112149</v>
      </c>
      <c r="G13" s="58">
        <f t="shared" si="2"/>
        <v>1.4191904896688365</v>
      </c>
      <c r="H13" s="58">
        <f t="shared" si="2"/>
        <v>1.3246314749238244</v>
      </c>
    </row>
    <row r="14" spans="1:9">
      <c r="A14" s="56" t="s">
        <v>315</v>
      </c>
      <c r="B14" s="58">
        <f t="shared" ref="B14:H14" si="3">B4/B6</f>
        <v>7.9736842105263142</v>
      </c>
      <c r="C14" s="58">
        <f t="shared" si="3"/>
        <v>3.794979079497907</v>
      </c>
      <c r="D14" s="58">
        <f t="shared" si="3"/>
        <v>1.8688524590163935</v>
      </c>
      <c r="E14" s="58">
        <f t="shared" si="3"/>
        <v>26.494505494505511</v>
      </c>
      <c r="F14" s="58">
        <f t="shared" si="3"/>
        <v>8.9376854599406563</v>
      </c>
      <c r="G14" s="58">
        <f t="shared" si="3"/>
        <v>3.3855503038487513</v>
      </c>
      <c r="H14" s="58">
        <f t="shared" si="3"/>
        <v>4.0804160324708274</v>
      </c>
    </row>
    <row r="15" spans="1:9">
      <c r="A15" s="56" t="s">
        <v>316</v>
      </c>
      <c r="B15" s="58">
        <f t="shared" ref="B15:H15" si="4">B5/B6</f>
        <v>6.9736842105263142</v>
      </c>
      <c r="C15" s="58">
        <f t="shared" si="4"/>
        <v>2.794979079497907</v>
      </c>
      <c r="D15" s="58">
        <f t="shared" si="4"/>
        <v>0.86885245901639363</v>
      </c>
      <c r="E15" s="58">
        <f t="shared" si="4"/>
        <v>25.494505494505511</v>
      </c>
      <c r="F15" s="58">
        <f t="shared" si="4"/>
        <v>7.9376854599406554</v>
      </c>
      <c r="G15" s="58">
        <f t="shared" si="4"/>
        <v>2.3855503038487513</v>
      </c>
      <c r="H15" s="58">
        <f t="shared" si="4"/>
        <v>3.0804160324708274</v>
      </c>
    </row>
  </sheetData>
  <mergeCells count="2">
    <mergeCell ref="C1:H1"/>
    <mergeCell ref="A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Profits</vt:lpstr>
      <vt:lpstr>2024 Budget</vt:lpstr>
      <vt:lpstr>Customers</vt:lpstr>
      <vt:lpstr>Employees</vt:lpstr>
      <vt:lpstr>Chart</vt:lpstr>
      <vt:lpstr>PivotTable</vt:lpstr>
      <vt:lpstr>SmartArt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sri</cp:lastModifiedBy>
  <cp:lastPrinted>2023-09-22T01:30:59Z</cp:lastPrinted>
  <dcterms:created xsi:type="dcterms:W3CDTF">2013-01-19T19:43:46Z</dcterms:created>
  <dcterms:modified xsi:type="dcterms:W3CDTF">2023-09-22T01:56:09Z</dcterms:modified>
</cp:coreProperties>
</file>