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pvss/Mac_desktop/Projects/production_dash/"/>
    </mc:Choice>
  </mc:AlternateContent>
  <xr:revisionPtr revIDLastSave="0" documentId="13_ncr:1_{1444F803-5398-5849-BDBD-9D89A93B6024}" xr6:coauthVersionLast="47" xr6:coauthVersionMax="47" xr10:uidLastSave="{00000000-0000-0000-0000-000000000000}"/>
  <bookViews>
    <workbookView xWindow="0" yWindow="500" windowWidth="33600" windowHeight="19380" activeTab="2" xr2:uid="{00000000-000D-0000-FFFF-FFFF00000000}"/>
  </bookViews>
  <sheets>
    <sheet name="Production" sheetId="1" r:id="rId1"/>
    <sheet name="Quality" sheetId="7" r:id="rId2"/>
    <sheet name="Resource allocation" sheetId="3" r:id="rId3"/>
    <sheet name="Definition" sheetId="5" r:id="rId4"/>
    <sheet name="Production weekly data" sheetId="4" r:id="rId5"/>
    <sheet name="Quality weekly data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L32" i="1"/>
  <c r="H47" i="1"/>
  <c r="E32" i="1"/>
  <c r="H32" i="1"/>
  <c r="H39" i="1"/>
  <c r="D116" i="6"/>
  <c r="G18" i="7"/>
  <c r="H18" i="7"/>
  <c r="O18" i="7"/>
  <c r="P18" i="7"/>
  <c r="I19" i="7"/>
  <c r="J19" i="7"/>
  <c r="K19" i="7"/>
  <c r="L19" i="7"/>
  <c r="D118" i="6"/>
  <c r="D117" i="6"/>
  <c r="H119" i="6"/>
  <c r="E119" i="6"/>
  <c r="C119" i="6"/>
  <c r="G118" i="6"/>
  <c r="G117" i="6"/>
  <c r="G116" i="6"/>
  <c r="G115" i="6"/>
  <c r="G114" i="6"/>
  <c r="G119" i="6" s="1"/>
  <c r="D119" i="6"/>
  <c r="O17" i="7"/>
  <c r="P17" i="7"/>
  <c r="H17" i="7"/>
  <c r="G17" i="7"/>
  <c r="G111" i="6"/>
  <c r="D107" i="6"/>
  <c r="H112" i="6"/>
  <c r="E112" i="6"/>
  <c r="C112" i="6"/>
  <c r="G110" i="6"/>
  <c r="G109" i="6"/>
  <c r="G108" i="6"/>
  <c r="G107" i="6"/>
  <c r="G106" i="6"/>
  <c r="G112" i="6" s="1"/>
  <c r="D106" i="6"/>
  <c r="D112" i="6" s="1"/>
  <c r="H45" i="1"/>
  <c r="H46" i="1"/>
  <c r="N186" i="4"/>
  <c r="N185" i="4"/>
  <c r="N184" i="4"/>
  <c r="N183" i="4"/>
  <c r="N182" i="4"/>
  <c r="N181" i="4"/>
  <c r="N180" i="4"/>
  <c r="N179" i="4"/>
  <c r="N178" i="4"/>
  <c r="N177" i="4"/>
  <c r="M186" i="4"/>
  <c r="M185" i="4"/>
  <c r="M184" i="4"/>
  <c r="M182" i="4"/>
  <c r="M181" i="4"/>
  <c r="M180" i="4"/>
  <c r="M179" i="4"/>
  <c r="M178" i="4"/>
  <c r="M177" i="4"/>
  <c r="M183" i="4"/>
  <c r="G16" i="7"/>
  <c r="H16" i="7"/>
  <c r="O16" i="7"/>
  <c r="P16" i="7"/>
  <c r="H104" i="6"/>
  <c r="H97" i="6"/>
  <c r="G102" i="6"/>
  <c r="G103" i="6"/>
  <c r="D103" i="6"/>
  <c r="D102" i="6"/>
  <c r="D101" i="6"/>
  <c r="D100" i="6"/>
  <c r="D99" i="6"/>
  <c r="E104" i="6"/>
  <c r="C104" i="6"/>
  <c r="G101" i="6"/>
  <c r="G100" i="6"/>
  <c r="G99" i="6"/>
  <c r="G104" i="6" s="1"/>
  <c r="D104" i="6"/>
  <c r="O186" i="4"/>
  <c r="O185" i="4"/>
  <c r="O184" i="4"/>
  <c r="O183" i="4"/>
  <c r="O182" i="4"/>
  <c r="O181" i="4"/>
  <c r="E181" i="4"/>
  <c r="D181" i="4"/>
  <c r="C181" i="4"/>
  <c r="O180" i="4"/>
  <c r="O179" i="4"/>
  <c r="N187" i="4"/>
  <c r="O177" i="4"/>
  <c r="H44" i="1"/>
  <c r="M168" i="4"/>
  <c r="N172" i="4"/>
  <c r="N171" i="4"/>
  <c r="N170" i="4"/>
  <c r="N169" i="4"/>
  <c r="N168" i="4"/>
  <c r="N167" i="4"/>
  <c r="N166" i="4"/>
  <c r="N165" i="4"/>
  <c r="N164" i="4"/>
  <c r="M164" i="4"/>
  <c r="M165" i="4"/>
  <c r="M166" i="4"/>
  <c r="M167" i="4"/>
  <c r="M169" i="4"/>
  <c r="M172" i="4"/>
  <c r="M171" i="4"/>
  <c r="M170" i="4"/>
  <c r="O15" i="7"/>
  <c r="P15" i="7"/>
  <c r="G15" i="7"/>
  <c r="H15" i="7"/>
  <c r="O172" i="4"/>
  <c r="O171" i="4"/>
  <c r="O170" i="4"/>
  <c r="O169" i="4"/>
  <c r="O168" i="4"/>
  <c r="O167" i="4"/>
  <c r="E167" i="4"/>
  <c r="D167" i="4"/>
  <c r="C167" i="4"/>
  <c r="O166" i="4"/>
  <c r="O165" i="4"/>
  <c r="N173" i="4"/>
  <c r="O163" i="4"/>
  <c r="G96" i="6"/>
  <c r="G93" i="6"/>
  <c r="G94" i="6"/>
  <c r="G92" i="6"/>
  <c r="G97" i="6" s="1"/>
  <c r="G85" i="6"/>
  <c r="E97" i="6"/>
  <c r="D96" i="6"/>
  <c r="D93" i="6"/>
  <c r="D94" i="6"/>
  <c r="D92" i="6"/>
  <c r="D97" i="6" s="1"/>
  <c r="C97" i="6"/>
  <c r="H43" i="1"/>
  <c r="N150" i="4"/>
  <c r="N155" i="4"/>
  <c r="N154" i="4"/>
  <c r="N153" i="4"/>
  <c r="N152" i="4"/>
  <c r="N151" i="4"/>
  <c r="N149" i="4"/>
  <c r="N148" i="4"/>
  <c r="N147" i="4"/>
  <c r="N159" i="4" s="1"/>
  <c r="O156" i="4"/>
  <c r="O157" i="4"/>
  <c r="O158" i="4"/>
  <c r="M155" i="4"/>
  <c r="M154" i="4"/>
  <c r="M153" i="4"/>
  <c r="M152" i="4"/>
  <c r="M151" i="4"/>
  <c r="M150" i="4"/>
  <c r="M149" i="4"/>
  <c r="M148" i="4"/>
  <c r="M147" i="4"/>
  <c r="M159" i="4" s="1"/>
  <c r="O155" i="4"/>
  <c r="O154" i="4"/>
  <c r="O153" i="4"/>
  <c r="O152" i="4"/>
  <c r="O151" i="4"/>
  <c r="O150" i="4"/>
  <c r="E150" i="4"/>
  <c r="D150" i="4"/>
  <c r="C150" i="4"/>
  <c r="O149" i="4"/>
  <c r="O148" i="4"/>
  <c r="O147" i="4"/>
  <c r="O13" i="7"/>
  <c r="P13" i="7"/>
  <c r="O14" i="7"/>
  <c r="P14" i="7"/>
  <c r="H14" i="7"/>
  <c r="H13" i="7"/>
  <c r="G14" i="7"/>
  <c r="G13" i="7"/>
  <c r="D89" i="6"/>
  <c r="D87" i="6"/>
  <c r="G89" i="6"/>
  <c r="G86" i="6"/>
  <c r="G87" i="6"/>
  <c r="G88" i="6"/>
  <c r="D88" i="6"/>
  <c r="D79" i="6"/>
  <c r="D86" i="6"/>
  <c r="D85" i="6"/>
  <c r="D80" i="6"/>
  <c r="G82" i="6"/>
  <c r="G79" i="6"/>
  <c r="G80" i="6"/>
  <c r="G81" i="6"/>
  <c r="G78" i="6"/>
  <c r="G74" i="6"/>
  <c r="D81" i="6"/>
  <c r="D82" i="6"/>
  <c r="D78" i="6"/>
  <c r="D75" i="6"/>
  <c r="H90" i="6"/>
  <c r="G90" i="6"/>
  <c r="F90" i="6"/>
  <c r="E90" i="6"/>
  <c r="C90" i="6"/>
  <c r="D90" i="6"/>
  <c r="H42" i="1"/>
  <c r="M140" i="4"/>
  <c r="M139" i="4"/>
  <c r="M138" i="4"/>
  <c r="M137" i="4"/>
  <c r="M135" i="4"/>
  <c r="M133" i="4"/>
  <c r="N140" i="4"/>
  <c r="N139" i="4"/>
  <c r="N135" i="4"/>
  <c r="N133" i="4"/>
  <c r="N132" i="4"/>
  <c r="M132" i="4"/>
  <c r="N141" i="4"/>
  <c r="M141" i="4"/>
  <c r="N138" i="4"/>
  <c r="N137" i="4"/>
  <c r="N136" i="4"/>
  <c r="M136" i="4"/>
  <c r="N134" i="4"/>
  <c r="M134" i="4"/>
  <c r="O141" i="4"/>
  <c r="O140" i="4"/>
  <c r="O139" i="4"/>
  <c r="O138" i="4"/>
  <c r="O137" i="4"/>
  <c r="O136" i="4"/>
  <c r="E136" i="4"/>
  <c r="D136" i="4"/>
  <c r="C136" i="4"/>
  <c r="O135" i="4"/>
  <c r="O134" i="4"/>
  <c r="O133" i="4"/>
  <c r="N142" i="4"/>
  <c r="H83" i="6"/>
  <c r="F83" i="6"/>
  <c r="E83" i="6"/>
  <c r="C83" i="6"/>
  <c r="G83" i="6"/>
  <c r="D83" i="6"/>
  <c r="O12" i="7"/>
  <c r="P12" i="7"/>
  <c r="H12" i="7"/>
  <c r="G12" i="7"/>
  <c r="G75" i="6"/>
  <c r="H41" i="1"/>
  <c r="N126" i="4"/>
  <c r="N123" i="4"/>
  <c r="N122" i="4"/>
  <c r="N121" i="4"/>
  <c r="N120" i="4"/>
  <c r="N119" i="4"/>
  <c r="N118" i="4"/>
  <c r="N117" i="4"/>
  <c r="N116" i="4"/>
  <c r="N115" i="4"/>
  <c r="O115" i="4" s="1"/>
  <c r="N114" i="4"/>
  <c r="M126" i="4"/>
  <c r="O126" i="4" s="1"/>
  <c r="M123" i="4"/>
  <c r="O123" i="4" s="1"/>
  <c r="M122" i="4"/>
  <c r="O122" i="4" s="1"/>
  <c r="M121" i="4"/>
  <c r="O121" i="4" s="1"/>
  <c r="M120" i="4"/>
  <c r="O120" i="4" s="1"/>
  <c r="M119" i="4"/>
  <c r="O119" i="4" s="1"/>
  <c r="M118" i="4"/>
  <c r="O118" i="4" s="1"/>
  <c r="M117" i="4"/>
  <c r="O117" i="4" s="1"/>
  <c r="M116" i="4"/>
  <c r="O116" i="4" s="1"/>
  <c r="M114" i="4"/>
  <c r="N127" i="4"/>
  <c r="N125" i="4"/>
  <c r="N124" i="4"/>
  <c r="M127" i="4"/>
  <c r="O127" i="4" s="1"/>
  <c r="M125" i="4"/>
  <c r="O125" i="4" s="1"/>
  <c r="M124" i="4"/>
  <c r="O124" i="4" s="1"/>
  <c r="E118" i="4"/>
  <c r="D118" i="4"/>
  <c r="C118" i="4"/>
  <c r="N128" i="4"/>
  <c r="H76" i="6"/>
  <c r="F76" i="6"/>
  <c r="E76" i="6"/>
  <c r="C76" i="6"/>
  <c r="D74" i="6"/>
  <c r="G73" i="6"/>
  <c r="D73" i="6"/>
  <c r="G72" i="6"/>
  <c r="D72" i="6"/>
  <c r="G71" i="6"/>
  <c r="G76" i="6" s="1"/>
  <c r="D71" i="6"/>
  <c r="D76" i="6" s="1"/>
  <c r="M101" i="4"/>
  <c r="E103" i="4"/>
  <c r="D103" i="4"/>
  <c r="H40" i="1"/>
  <c r="N108" i="4"/>
  <c r="N109" i="4"/>
  <c r="M109" i="4"/>
  <c r="M108" i="4"/>
  <c r="O11" i="7"/>
  <c r="P11" i="7"/>
  <c r="H11" i="7"/>
  <c r="G11" i="7"/>
  <c r="D64" i="6"/>
  <c r="D65" i="6"/>
  <c r="D66" i="6"/>
  <c r="D67" i="6"/>
  <c r="D63" i="6"/>
  <c r="H68" i="6"/>
  <c r="F68" i="6"/>
  <c r="E68" i="6"/>
  <c r="C68" i="6"/>
  <c r="G67" i="6"/>
  <c r="G66" i="6"/>
  <c r="G65" i="6"/>
  <c r="G64" i="6"/>
  <c r="G63" i="6"/>
  <c r="G68" i="6" s="1"/>
  <c r="D68" i="6"/>
  <c r="N107" i="4"/>
  <c r="N106" i="4"/>
  <c r="N105" i="4"/>
  <c r="N104" i="4"/>
  <c r="N103" i="4"/>
  <c r="N102" i="4"/>
  <c r="N101" i="4"/>
  <c r="N100" i="4"/>
  <c r="N99" i="4"/>
  <c r="M107" i="4"/>
  <c r="M106" i="4"/>
  <c r="M105" i="4"/>
  <c r="M104" i="4"/>
  <c r="M103" i="4"/>
  <c r="M102" i="4"/>
  <c r="M100" i="4"/>
  <c r="M99" i="4"/>
  <c r="O109" i="4"/>
  <c r="O108" i="4"/>
  <c r="O107" i="4"/>
  <c r="O106" i="4"/>
  <c r="O105" i="4"/>
  <c r="O104" i="4"/>
  <c r="O103" i="4"/>
  <c r="C103" i="4"/>
  <c r="O102" i="4"/>
  <c r="O101" i="4"/>
  <c r="O100" i="4"/>
  <c r="N110" i="4"/>
  <c r="M93" i="4"/>
  <c r="M87" i="4"/>
  <c r="M92" i="4"/>
  <c r="M91" i="4"/>
  <c r="M90" i="4"/>
  <c r="M89" i="4"/>
  <c r="M88" i="4"/>
  <c r="M86" i="4"/>
  <c r="M85" i="4"/>
  <c r="M84" i="4"/>
  <c r="M83" i="4"/>
  <c r="D87" i="4"/>
  <c r="N93" i="4"/>
  <c r="N92" i="4"/>
  <c r="N91" i="4"/>
  <c r="N90" i="4"/>
  <c r="N88" i="4"/>
  <c r="N87" i="4"/>
  <c r="N86" i="4"/>
  <c r="N85" i="4"/>
  <c r="N84" i="4"/>
  <c r="N83" i="4"/>
  <c r="O93" i="4"/>
  <c r="O92" i="4"/>
  <c r="O91" i="4"/>
  <c r="O90" i="4"/>
  <c r="O89" i="4"/>
  <c r="O88" i="4"/>
  <c r="O87" i="4"/>
  <c r="O86" i="4"/>
  <c r="O85" i="4"/>
  <c r="O84" i="4"/>
  <c r="N94" i="4"/>
  <c r="N63" i="4"/>
  <c r="N64" i="4"/>
  <c r="N65" i="4"/>
  <c r="N66" i="4"/>
  <c r="N67" i="4"/>
  <c r="N68" i="4"/>
  <c r="N69" i="4"/>
  <c r="N70" i="4"/>
  <c r="N71" i="4"/>
  <c r="N72" i="4"/>
  <c r="E87" i="4"/>
  <c r="C87" i="4"/>
  <c r="O10" i="7"/>
  <c r="P10" i="7"/>
  <c r="H10" i="7"/>
  <c r="G10" i="7"/>
  <c r="G60" i="6"/>
  <c r="G59" i="6"/>
  <c r="G56" i="6"/>
  <c r="G57" i="6"/>
  <c r="G58" i="6"/>
  <c r="D60" i="6"/>
  <c r="D59" i="6"/>
  <c r="D58" i="6"/>
  <c r="D57" i="6"/>
  <c r="D56" i="6"/>
  <c r="H61" i="6"/>
  <c r="F61" i="6"/>
  <c r="E61" i="6"/>
  <c r="C61" i="6"/>
  <c r="G61" i="6"/>
  <c r="D61" i="6"/>
  <c r="H38" i="1"/>
  <c r="N73" i="4"/>
  <c r="N77" i="4"/>
  <c r="N75" i="4"/>
  <c r="D50" i="6"/>
  <c r="P9" i="7"/>
  <c r="O9" i="7"/>
  <c r="H9" i="7"/>
  <c r="G9" i="7"/>
  <c r="G52" i="6"/>
  <c r="D51" i="6"/>
  <c r="G53" i="6"/>
  <c r="D53" i="6"/>
  <c r="D52" i="6"/>
  <c r="H54" i="6"/>
  <c r="F54" i="6"/>
  <c r="E54" i="6"/>
  <c r="C54" i="6"/>
  <c r="G54" i="6"/>
  <c r="D54" i="6"/>
  <c r="N76" i="4"/>
  <c r="M65" i="4"/>
  <c r="N74" i="4"/>
  <c r="N78" i="4"/>
  <c r="M77" i="4"/>
  <c r="O77" i="4" s="1"/>
  <c r="M76" i="4"/>
  <c r="O76" i="4" s="1"/>
  <c r="M75" i="4"/>
  <c r="O75" i="4" s="1"/>
  <c r="M74" i="4"/>
  <c r="O74" i="4" s="1"/>
  <c r="M73" i="4"/>
  <c r="M71" i="4"/>
  <c r="M70" i="4"/>
  <c r="M69" i="4"/>
  <c r="M68" i="4"/>
  <c r="M67" i="4"/>
  <c r="M66" i="4"/>
  <c r="M64" i="4"/>
  <c r="M63" i="4"/>
  <c r="M78" i="4" s="1"/>
  <c r="O73" i="4"/>
  <c r="O72" i="4"/>
  <c r="O71" i="4"/>
  <c r="O70" i="4"/>
  <c r="O69" i="4"/>
  <c r="O68" i="4"/>
  <c r="O67" i="4"/>
  <c r="O66" i="4"/>
  <c r="O65" i="4"/>
  <c r="O64" i="4"/>
  <c r="E67" i="4"/>
  <c r="C67" i="4"/>
  <c r="M47" i="4"/>
  <c r="N47" i="4"/>
  <c r="O47" i="4"/>
  <c r="M48" i="4"/>
  <c r="O48" i="4"/>
  <c r="O49" i="4"/>
  <c r="N50" i="4"/>
  <c r="O50" i="4"/>
  <c r="M51" i="4"/>
  <c r="N51" i="4"/>
  <c r="O51" i="4"/>
  <c r="H37" i="1"/>
  <c r="N57" i="4"/>
  <c r="N54" i="4"/>
  <c r="N53" i="4"/>
  <c r="O53" i="4"/>
  <c r="O54" i="4"/>
  <c r="M57" i="4"/>
  <c r="O57" i="4" s="1"/>
  <c r="N56" i="4"/>
  <c r="M56" i="4"/>
  <c r="O56" i="4" s="1"/>
  <c r="N55" i="4"/>
  <c r="O55" i="4" s="1"/>
  <c r="N52" i="4"/>
  <c r="N58" i="4" s="1"/>
  <c r="M52" i="4"/>
  <c r="P8" i="7"/>
  <c r="O8" i="7"/>
  <c r="E51" i="4"/>
  <c r="C51" i="4"/>
  <c r="D51" i="4"/>
  <c r="H8" i="7"/>
  <c r="G8" i="7"/>
  <c r="G44" i="6"/>
  <c r="G45" i="6"/>
  <c r="G46" i="6"/>
  <c r="G43" i="6"/>
  <c r="G42" i="6"/>
  <c r="D42" i="6"/>
  <c r="D46" i="6"/>
  <c r="D45" i="6"/>
  <c r="D43" i="6"/>
  <c r="D44" i="6"/>
  <c r="D38" i="6"/>
  <c r="H47" i="6"/>
  <c r="F47" i="6"/>
  <c r="E47" i="6"/>
  <c r="C47" i="6"/>
  <c r="G47" i="6"/>
  <c r="D47" i="6"/>
  <c r="H36" i="1"/>
  <c r="D42" i="4"/>
  <c r="D36" i="6"/>
  <c r="D35" i="6"/>
  <c r="P7" i="7"/>
  <c r="O7" i="7"/>
  <c r="P6" i="7"/>
  <c r="H7" i="7"/>
  <c r="H6" i="7"/>
  <c r="G7" i="7"/>
  <c r="G6" i="7"/>
  <c r="D41" i="4"/>
  <c r="D40" i="4"/>
  <c r="D39" i="4"/>
  <c r="D38" i="4"/>
  <c r="H40" i="6"/>
  <c r="F40" i="6"/>
  <c r="E40" i="6"/>
  <c r="C40" i="6"/>
  <c r="D39" i="6"/>
  <c r="C43" i="4"/>
  <c r="D43" i="4"/>
  <c r="E43" i="4"/>
  <c r="D37" i="6"/>
  <c r="D40" i="6" s="1"/>
  <c r="G36" i="6"/>
  <c r="G37" i="6"/>
  <c r="G35" i="6"/>
  <c r="G40" i="6" s="1"/>
  <c r="G29" i="6"/>
  <c r="G30" i="6"/>
  <c r="G31" i="6"/>
  <c r="G28" i="6"/>
  <c r="D31" i="6"/>
  <c r="D30" i="6"/>
  <c r="D29" i="6"/>
  <c r="D28" i="6"/>
  <c r="D27" i="6"/>
  <c r="G27" i="6"/>
  <c r="H5" i="7"/>
  <c r="H4" i="7"/>
  <c r="G5" i="7"/>
  <c r="G4" i="7"/>
  <c r="G19" i="6"/>
  <c r="D23" i="6"/>
  <c r="G23" i="6"/>
  <c r="D22" i="6"/>
  <c r="G22" i="6"/>
  <c r="G21" i="6"/>
  <c r="D21" i="6"/>
  <c r="D20" i="6"/>
  <c r="G20" i="6"/>
  <c r="G14" i="6"/>
  <c r="D19" i="6"/>
  <c r="H3" i="7"/>
  <c r="H19" i="7" s="1"/>
  <c r="G3" i="7"/>
  <c r="G19" i="7" s="1"/>
  <c r="D15" i="6"/>
  <c r="G15" i="6"/>
  <c r="D14" i="6"/>
  <c r="D13" i="6"/>
  <c r="G13" i="6"/>
  <c r="G12" i="6"/>
  <c r="D12" i="6"/>
  <c r="G11" i="6"/>
  <c r="D11" i="6"/>
  <c r="E26" i="4"/>
  <c r="D6" i="6"/>
  <c r="D7" i="6"/>
  <c r="E35" i="4"/>
  <c r="G4" i="6"/>
  <c r="G5" i="6"/>
  <c r="G6" i="6"/>
  <c r="G7" i="6"/>
  <c r="D33" i="4"/>
  <c r="G3" i="6"/>
  <c r="D3" i="6"/>
  <c r="F33" i="6"/>
  <c r="G33" i="6"/>
  <c r="H33" i="6"/>
  <c r="F25" i="6"/>
  <c r="G25" i="6"/>
  <c r="H25" i="6"/>
  <c r="F17" i="6"/>
  <c r="G17" i="6"/>
  <c r="H17" i="6"/>
  <c r="F9" i="6"/>
  <c r="G9" i="6"/>
  <c r="H9" i="6"/>
  <c r="C9" i="6"/>
  <c r="C33" i="6"/>
  <c r="C25" i="6"/>
  <c r="C17" i="6"/>
  <c r="H35" i="1"/>
  <c r="D32" i="4"/>
  <c r="D31" i="4"/>
  <c r="D30" i="4"/>
  <c r="D29" i="4"/>
  <c r="D35" i="4" s="1"/>
  <c r="C35" i="4"/>
  <c r="D24" i="4"/>
  <c r="D23" i="4"/>
  <c r="O6" i="7"/>
  <c r="P5" i="7"/>
  <c r="O5" i="7"/>
  <c r="O4" i="7"/>
  <c r="D33" i="6"/>
  <c r="E33" i="6"/>
  <c r="P4" i="7"/>
  <c r="P3" i="7"/>
  <c r="P19" i="7" s="1"/>
  <c r="O3" i="7"/>
  <c r="O19" i="7" s="1"/>
  <c r="D5" i="6"/>
  <c r="D4" i="6"/>
  <c r="C26" i="4"/>
  <c r="H34" i="1"/>
  <c r="H33" i="1"/>
  <c r="D22" i="4"/>
  <c r="D21" i="4"/>
  <c r="D20" i="4"/>
  <c r="D26" i="4" s="1"/>
  <c r="D2" i="4"/>
  <c r="D14" i="4"/>
  <c r="E25" i="6"/>
  <c r="D25" i="6"/>
  <c r="E17" i="6"/>
  <c r="D17" i="6"/>
  <c r="E9" i="6"/>
  <c r="D9" i="6"/>
  <c r="D15" i="4"/>
  <c r="D13" i="4"/>
  <c r="D12" i="4"/>
  <c r="D11" i="4"/>
  <c r="D17" i="4" s="1"/>
  <c r="D6" i="4"/>
  <c r="E17" i="4"/>
  <c r="C17" i="4"/>
  <c r="E8" i="4"/>
  <c r="C8" i="4"/>
  <c r="D5" i="4"/>
  <c r="D4" i="4"/>
  <c r="D3" i="4"/>
  <c r="M187" i="4" l="1"/>
  <c r="O178" i="4"/>
  <c r="O187" i="4" s="1"/>
  <c r="M173" i="4"/>
  <c r="O164" i="4"/>
  <c r="O173" i="4" s="1"/>
  <c r="O146" i="4"/>
  <c r="O159" i="4" s="1"/>
  <c r="M142" i="4"/>
  <c r="O142" i="4" s="1"/>
  <c r="O132" i="4"/>
  <c r="M128" i="4"/>
  <c r="O128" i="4" s="1"/>
  <c r="O114" i="4"/>
  <c r="M110" i="4"/>
  <c r="O110" i="4" s="1"/>
  <c r="O99" i="4"/>
  <c r="O78" i="4"/>
  <c r="M94" i="4"/>
  <c r="O94" i="4" s="1"/>
  <c r="O83" i="4"/>
  <c r="M58" i="4"/>
  <c r="O52" i="4"/>
  <c r="O58" i="4"/>
  <c r="O63" i="4"/>
  <c r="D8" i="4"/>
</calcChain>
</file>

<file path=xl/sharedStrings.xml><?xml version="1.0" encoding="utf-8"?>
<sst xmlns="http://schemas.openxmlformats.org/spreadsheetml/2006/main" count="542" uniqueCount="208">
  <si>
    <t>Calander week</t>
  </si>
  <si>
    <t>Date</t>
  </si>
  <si>
    <t>Budgeted
resources</t>
  </si>
  <si>
    <t>No. of
resources worked</t>
  </si>
  <si>
    <t>Actual weekly target
as per budgeted resources</t>
  </si>
  <si>
    <t>Actual weekly target
as per worked resources</t>
  </si>
  <si>
    <t>Achieved
weekly target</t>
  </si>
  <si>
    <t>Differece</t>
  </si>
  <si>
    <t>Status</t>
  </si>
  <si>
    <t>Remarks</t>
  </si>
  <si>
    <t>CW44</t>
  </si>
  <si>
    <t>31.Oct - 04.Nov</t>
  </si>
  <si>
    <t>On track</t>
  </si>
  <si>
    <t>1. Nilesh, Pawan, Mahesh, Disha were on diwali vacation.
2. Sunaina was on sick leave (3 days).
3. Hari Krishna was on personal leave (2 days).</t>
  </si>
  <si>
    <t>CW45</t>
  </si>
  <si>
    <t>07.Nov - 11.Nov</t>
  </si>
  <si>
    <t>Moderate</t>
  </si>
  <si>
    <t>1. Hari Krishna, Aslam, Kaleem, Rahul spent time on rework due to lot of mistakes.</t>
  </si>
  <si>
    <t>CW46</t>
  </si>
  <si>
    <t>14.Nov - 18.Nov</t>
  </si>
  <si>
    <t>High risk</t>
  </si>
  <si>
    <t>1. Mahesh was on leave (1day).
2. Nilesh is on emergency leave.
3.Aslam is on emergency leave (2days)</t>
  </si>
  <si>
    <t>CW47</t>
  </si>
  <si>
    <t>21.Nov - 25.Nov</t>
  </si>
  <si>
    <t>1. Nilesh is on emergency leave.
2.Gaurav is on leave (21/11/2022).
3.Aslam on leave (21/11/2022).
4.Rahul on sick leave (21/11/2022).
5.Sunaina on sick leave(24/11/2022).
6.Aslam,Kaleem,Rahul,Hari krishna this guys done only incorporation (23/11/2022).
7.Pawan on leave (25/11/2022).</t>
  </si>
  <si>
    <t>CW48</t>
  </si>
  <si>
    <t>28.Nov - 02.Dec</t>
  </si>
  <si>
    <t>1.Nilesh is on leave (28/11/2022).
2.Disha is on leave (30/11/2022).
3.Town hall meeting from 10.50 AM - 12.35 PM on (11/29/2022).
4.Nilesh,Mahesh,Sunaina,Pawan,Disha,Shesadri worked in grid &amp; references on 12/2/2022</t>
  </si>
  <si>
    <t>CW49</t>
  </si>
  <si>
    <t>05.Dec - 09.Dec</t>
  </si>
  <si>
    <t>1. Total team worked for VD143 Grid &amp; Reference (07/12/2022 to 08/12/2022)
2.Rahul is on leave(5/12/2022 to 7/12/2022)
3. Mahesh is on Leave (6/12/2022 to 9/12/2022)
4.Gourav is on leave(09/12/2022)
5.Pawan Worked in SD300 Series</t>
  </si>
  <si>
    <t>CW50</t>
  </si>
  <si>
    <t>12.Dec - 16.Dec</t>
  </si>
  <si>
    <t>1.Total team rechecked VD143 (12/12/2022
2.Sunaina is on leave(12/12/2022)
3.Disha is on leave (13/12/2022)
4.Sheshadri is on leave(12/12/2022 to 14/12/2022)
5. 1Hr HR meeting conducted(16/12/2022)</t>
  </si>
  <si>
    <t>CW51</t>
  </si>
  <si>
    <t>19.Dec - 23.Dec</t>
  </si>
  <si>
    <t xml:space="preserve">1.Total Team Checked G&amp;R VD147 2Days (20/12/2022 &amp; 23/12/2022)
2.Kaleem is on leave 4days(19/12/2022 to 22/12/2022)
3.Pawan Working in SD300 Series. </t>
  </si>
  <si>
    <t>CW52</t>
  </si>
  <si>
    <t>26.Dec - 30.Dec</t>
  </si>
  <si>
    <t>1.Total team worked for new updates incorporation and grid and reference(28/12/2022 to 30/12/2022)
2.Sheshadri is on leave (26/12/2022 to 28/12/2022)
3.Disha is on sick leave(28/12/2022)
4.Pawan is working on SD300 Series
5.Mahesh is worked in SD500 Series(26/12/2022)</t>
  </si>
  <si>
    <t>CW01</t>
  </si>
  <si>
    <t>02.Jan - 06.Jan</t>
  </si>
  <si>
    <t>1.Almost all team worked for new updates and grid and reference(02/01/2023 to 06/01/2023).
2.Pawan &amp; Mahesh is working in SD300 Series.</t>
  </si>
  <si>
    <t>CW02</t>
  </si>
  <si>
    <t>09-Jan - 13-Jan</t>
  </si>
  <si>
    <t>1. Team is forked for New updates, Grid &amp; Ref and QC With incorporation of different projects.
2.Pawan and Mahesh is working in SD300 Series.</t>
  </si>
  <si>
    <t>CW03</t>
  </si>
  <si>
    <t>16-Jan - 20-Jan</t>
  </si>
  <si>
    <t>1.Gaurav is on leave for a week.
2.Team is worked for new updates,Grid &amp; ref and Quality
3.Disha is on sick leave
4.Hari,Siyam&amp;Aslam is on leave.</t>
  </si>
  <si>
    <t>CW04</t>
  </si>
  <si>
    <t>23-Jan - 27-Jan</t>
  </si>
  <si>
    <t xml:space="preserve">1.Gaurav is on leave for a week.
2.pawan dhok on sick leave for half day.(24-01-2023)
3.Holiday:REPUBLIC DAY </t>
  </si>
  <si>
    <t>CW05</t>
  </si>
  <si>
    <t>30-Jan - 03-Feb</t>
  </si>
  <si>
    <t>1.Kaleem is on sick leave from monday 2nd half.
2.pawan worked for SD309 on 01-02-2023,
3.almost half day internet issue on 02-02-2023</t>
  </si>
  <si>
    <t>CW06</t>
  </si>
  <si>
    <t>06-Feb - 11-Feb</t>
  </si>
  <si>
    <t>1.Disha is on leave
2.Sunaina is on leave(9 &amp; 10-feb)
3.Nilesh,Sunaina,Pavan worked for Grid&amp;Ref
4.Kaleem is on leave(6&amp;7-Feb)</t>
  </si>
  <si>
    <t>Budgeted resources</t>
  </si>
  <si>
    <t>No. of resources worked</t>
  </si>
  <si>
    <t>Achieved weekly target</t>
  </si>
  <si>
    <t>Quality percentage</t>
  </si>
  <si>
    <t>QC-1</t>
  </si>
  <si>
    <t>QC-2</t>
  </si>
  <si>
    <t>-</t>
  </si>
  <si>
    <t>1. Vaibhav was on diwali vacation.
2. VD141 is a difficult project and due to project difficulty reduced the daily targets.</t>
  </si>
  <si>
    <t>1. To close the gap added 3 more resources in QC-1.</t>
  </si>
  <si>
    <t>1. To close the gap added 3 more resources in QC-1.
2. Reworking on VD141 due to too many errors.</t>
  </si>
  <si>
    <t>1.Vaibhav was worked in VD141 on 11/21/2022, so target reduced to 10.
2. Siyam and Sheshadri prepared query sheet for VD147 on 11/22/2022.
3. To close the gap added 1 more resources in QC-1.</t>
  </si>
  <si>
    <t>1. Vaibhav was on half day leave due to sick on 11/28/2022.
2. Town hall meeting from 10.50 AM - 12.35 PM on 11/29/2022.
3.Seshadri worked in QC1 from 11/28/2022 to 11/30/2022 
4.Siyam and Vaibhav worked in Recheck and updation for VD143 from  12/1/2022 -12/2/2022</t>
  </si>
  <si>
    <t>1. From 12/6/2022 - 12/9/2022 QC-2 target reduced to 15 as per request to recheck of VD143 files.
2.For recheck of VD143, QC-1 target reduced to 15 on 12/9/2022 due to mistakes found by QC-3.
3. Divyanand was on leave due to sick on 12/9/2022.</t>
  </si>
  <si>
    <t>1. From 12/12/2022 - 12/14/2022 QC-2 did recheck of VD143 files(Doc B &amp; c).
2.For recheck of VD143, QC-1 did recheck of VD143 on 12/12/2022.
3.On 12/15/2022 QC-1 target reduced to 7 because of complexity(VD145)
4.Vaibhav was on half day leave due to sick on 12/16/2022.
5. On 12/16/2022 HR meeting from 2.00pm to 3.00 pm</t>
  </si>
  <si>
    <t>1. VD145 &amp; VD149 is a difficult project and due to project difficulty reduced the daily targets for QC1 as12.
2.Sohan's Target reduced to 10 beacause of SD309(QC1)</t>
  </si>
  <si>
    <t>CW53</t>
  </si>
  <si>
    <t>1. VD145 &amp; VD149 is a difficult project and due to project difficulty reduced the daily targets for QC1 as12.</t>
  </si>
  <si>
    <t>2.Jan-6.Jan</t>
  </si>
  <si>
    <t>09.Jan - 13.Jan</t>
  </si>
  <si>
    <t>16.Jan - 20.Jan</t>
  </si>
  <si>
    <t>1. VD145 &amp; VD149 is a difficult project and due to project difficulty reduced the daily targets for QC1 as12.
2.Sohan's Target reduced to 6 beacause of SD309(QC1)
3.Siyam(QC-2) was on leave for the complete week.</t>
  </si>
  <si>
    <t>23.Jan - 27.Jan</t>
  </si>
  <si>
    <t>1. Sohan (QC-1) was on vacation.</t>
  </si>
  <si>
    <t>30.Jan - 3.Feb</t>
  </si>
  <si>
    <t>1.Sohan's Target reduced beacause of SD309(QC1)</t>
  </si>
  <si>
    <t>6 Feb-11 Feb</t>
  </si>
  <si>
    <t>1.From 2/8/2023 - 2/11/2023 Sohan &amp; Divyanand worked in production
2.On 2/10/2023 &amp; 2/11/2023 Sohan was on leave.</t>
  </si>
  <si>
    <t>CW07</t>
  </si>
  <si>
    <t>13 Feb-17 Feb</t>
  </si>
  <si>
    <t>1.From 2/13/2023, 2/11/2023 &amp;2/17/2023  Divyanand worked in production
2.On 2/13/2023 &amp; 2/14/2023 Sohan was on leave.</t>
  </si>
  <si>
    <t>Resource</t>
  </si>
  <si>
    <t>Activity</t>
  </si>
  <si>
    <t>Task</t>
  </si>
  <si>
    <t>Siyam</t>
  </si>
  <si>
    <t>Vaibhav</t>
  </si>
  <si>
    <t>Divyanad</t>
  </si>
  <si>
    <t>Sohan</t>
  </si>
  <si>
    <t>Pawan</t>
  </si>
  <si>
    <t>Production</t>
  </si>
  <si>
    <t>Disha</t>
  </si>
  <si>
    <t>Sunaina</t>
  </si>
  <si>
    <t>Nilesh</t>
  </si>
  <si>
    <t>Mahesh</t>
  </si>
  <si>
    <t>Gaurav</t>
  </si>
  <si>
    <t>Kaleem</t>
  </si>
  <si>
    <t>Aslam</t>
  </si>
  <si>
    <t>Harikrishna</t>
  </si>
  <si>
    <t>Rahul</t>
  </si>
  <si>
    <t>&gt;= allocated target</t>
  </si>
  <si>
    <t>&gt;= (allocated target-20)</t>
  </si>
  <si>
    <t>Risk</t>
  </si>
  <si>
    <t>&lt;= (allocated target-30)</t>
  </si>
  <si>
    <t>&lt;= (allocated target-40)</t>
  </si>
  <si>
    <t>Week</t>
  </si>
  <si>
    <t>No. of resources</t>
  </si>
  <si>
    <t>Target</t>
  </si>
  <si>
    <t>Achieved</t>
  </si>
  <si>
    <t xml:space="preserve">Name </t>
  </si>
  <si>
    <t>Actual Target</t>
  </si>
  <si>
    <t>Achieved Target</t>
  </si>
  <si>
    <t>Balance</t>
  </si>
  <si>
    <t>Total</t>
  </si>
  <si>
    <t>ASLAM</t>
  </si>
  <si>
    <t>RAHUL</t>
  </si>
  <si>
    <t>KALEEM</t>
  </si>
  <si>
    <t>HARI</t>
  </si>
  <si>
    <t>DISHA</t>
  </si>
  <si>
    <t>PAWAN DHOK</t>
  </si>
  <si>
    <t>SHESHADRI</t>
  </si>
  <si>
    <t>Saturday</t>
  </si>
  <si>
    <t>Swetha</t>
  </si>
  <si>
    <t>Yogesh</t>
  </si>
  <si>
    <t>Kartik</t>
  </si>
  <si>
    <t>Laxman</t>
  </si>
  <si>
    <t>YOGESH</t>
  </si>
  <si>
    <t>Holiday</t>
  </si>
  <si>
    <t>Last week still 2 File balance</t>
  </si>
  <si>
    <t> </t>
  </si>
  <si>
    <t>Last week 4 files balance</t>
  </si>
  <si>
    <t>SOHAN</t>
  </si>
  <si>
    <t>DIVYANAND</t>
  </si>
  <si>
    <t>QC1</t>
  </si>
  <si>
    <t>QC2</t>
  </si>
  <si>
    <t>2023-2024</t>
  </si>
  <si>
    <t>CW14</t>
  </si>
  <si>
    <t>CW15</t>
  </si>
  <si>
    <t>CW16</t>
  </si>
  <si>
    <t>CW17</t>
  </si>
  <si>
    <t>CW18</t>
  </si>
  <si>
    <t>CW19</t>
  </si>
  <si>
    <t>CW20</t>
  </si>
  <si>
    <t>CW21</t>
  </si>
  <si>
    <t>CW22</t>
  </si>
  <si>
    <t>CW23</t>
  </si>
  <si>
    <t>CW24</t>
  </si>
  <si>
    <t>CW25</t>
  </si>
  <si>
    <t>CW26</t>
  </si>
  <si>
    <t>CW27</t>
  </si>
  <si>
    <t>CW28</t>
  </si>
  <si>
    <t>CW29</t>
  </si>
  <si>
    <t>CW30</t>
  </si>
  <si>
    <t>CW31</t>
  </si>
  <si>
    <t>CW32</t>
  </si>
  <si>
    <t>CW33</t>
  </si>
  <si>
    <t>CW34</t>
  </si>
  <si>
    <t>CW35</t>
  </si>
  <si>
    <t>CW36</t>
  </si>
  <si>
    <t>CW37</t>
  </si>
  <si>
    <t>CW38</t>
  </si>
  <si>
    <t>CW39</t>
  </si>
  <si>
    <t>CW40</t>
  </si>
  <si>
    <t>CW41</t>
  </si>
  <si>
    <t>CW42</t>
  </si>
  <si>
    <t>CW43</t>
  </si>
  <si>
    <t>CW08</t>
  </si>
  <si>
    <t>CW09</t>
  </si>
  <si>
    <t>CW10</t>
  </si>
  <si>
    <t>CW11</t>
  </si>
  <si>
    <t>CW12</t>
  </si>
  <si>
    <t>CW13</t>
  </si>
  <si>
    <t>04-04-2022 to 08-04-2022</t>
  </si>
  <si>
    <t>11-04-2022 to 15-04-2022</t>
  </si>
  <si>
    <t>18-04-2022 to 22-04-2022</t>
  </si>
  <si>
    <t>25-04-2022 to 29-04-2022</t>
  </si>
  <si>
    <t>02-05-2022 to 06-05-2022</t>
  </si>
  <si>
    <t>09-05-2022 to 13-05-2022</t>
  </si>
  <si>
    <t>16-05-2022 to 20-05-2022</t>
  </si>
  <si>
    <t>23-05-2022 to 27-05-2022</t>
  </si>
  <si>
    <t>30-05-2022 to 03-06-2022</t>
  </si>
  <si>
    <t>06-06-2022 to 10-06-2022</t>
  </si>
  <si>
    <t>13-06-2022 to 17-06-2022</t>
  </si>
  <si>
    <t>20-06-2022 to 24-06-2022</t>
  </si>
  <si>
    <t>27-06-2022 to 01-07-2022</t>
  </si>
  <si>
    <t>04-07-2022 to 08-07-2022</t>
  </si>
  <si>
    <t>11-07-2022 to 15-07-2022</t>
  </si>
  <si>
    <t>18-07-2022 to 22-07-2022</t>
  </si>
  <si>
    <t>25-07-2022 to 29-07-2022</t>
  </si>
  <si>
    <t>01-08-2022 to 05-08-2022</t>
  </si>
  <si>
    <t>08-08-2022 to 12-08-2022</t>
  </si>
  <si>
    <t>15-08-2022 to 19-08-2022</t>
  </si>
  <si>
    <t>22-08-2022 to 26-08-2022</t>
  </si>
  <si>
    <t>29-08-2022 to 02-09-2022</t>
  </si>
  <si>
    <t>05-09-2022 to 09-09-2022</t>
  </si>
  <si>
    <t>12-09-2022 to 16-09-2022</t>
  </si>
  <si>
    <t>19-09-2022 to 23-09-2022</t>
  </si>
  <si>
    <t>26-09-2022 to 30-09-2022</t>
  </si>
  <si>
    <t>03-10-2022 to 07-10-2022</t>
  </si>
  <si>
    <t>10-10-2022 to 14-10-2022</t>
  </si>
  <si>
    <t>17-10-2022 to 21-10-2022</t>
  </si>
  <si>
    <t>24-10-2022 to 28-10-2022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</si>
</sst>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d/mm/yyyy;@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444444"/>
      <name val="Calibri"/>
      <family val="2"/>
    </font>
    <font>
      <b/>
      <sz val="14"/>
      <color rgb="FF00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8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Helvetica Neue"/>
      <family val="2"/>
    </font>
    <font>
      <sz val="12"/>
      <color theme="1"/>
      <name val="Helvetica Neue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9BC2E6"/>
        <bgColor rgb="FF000000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3" borderId="0" xfId="0" applyFill="1"/>
    <xf numFmtId="0" fontId="0" fillId="4" borderId="0" xfId="0" applyFill="1"/>
    <xf numFmtId="0" fontId="3" fillId="6" borderId="1" xfId="0" applyFont="1" applyFill="1" applyBorder="1"/>
    <xf numFmtId="0" fontId="0" fillId="7" borderId="0" xfId="0" applyFill="1"/>
    <xf numFmtId="0" fontId="0" fillId="8" borderId="0" xfId="0" applyFill="1"/>
    <xf numFmtId="0" fontId="4" fillId="8" borderId="5" xfId="0" applyFont="1" applyFill="1" applyBorder="1"/>
    <xf numFmtId="0" fontId="4" fillId="8" borderId="5" xfId="0" applyFont="1" applyFill="1" applyBorder="1" applyAlignment="1">
      <alignment horizontal="center" vertical="center"/>
    </xf>
    <xf numFmtId="0" fontId="5" fillId="0" borderId="5" xfId="0" applyFont="1" applyBorder="1"/>
    <xf numFmtId="0" fontId="5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4" fontId="0" fillId="0" borderId="5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17" xfId="0" applyNumberFormat="1" applyBorder="1" applyAlignment="1">
      <alignment horizontal="center"/>
    </xf>
    <xf numFmtId="0" fontId="2" fillId="5" borderId="18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6" fillId="0" borderId="0" xfId="0" quotePrefix="1" applyFont="1" applyAlignment="1">
      <alignment horizontal="center"/>
    </xf>
    <xf numFmtId="0" fontId="0" fillId="0" borderId="24" xfId="0" applyBorder="1" applyAlignment="1">
      <alignment horizont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vertical="center"/>
    </xf>
    <xf numFmtId="0" fontId="3" fillId="9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2" fillId="10" borderId="25" xfId="0" applyFont="1" applyFill="1" applyBorder="1" applyAlignment="1">
      <alignment horizontal="center"/>
    </xf>
    <xf numFmtId="0" fontId="2" fillId="10" borderId="18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4" fontId="0" fillId="0" borderId="29" xfId="0" applyNumberFormat="1" applyBorder="1" applyAlignment="1">
      <alignment horizontal="center"/>
    </xf>
    <xf numFmtId="0" fontId="6" fillId="0" borderId="0" xfId="0" quotePrefix="1" applyFont="1" applyAlignment="1">
      <alignment horizontal="center" vertical="center"/>
    </xf>
    <xf numFmtId="0" fontId="3" fillId="11" borderId="15" xfId="0" applyFont="1" applyFill="1" applyBorder="1" applyAlignment="1">
      <alignment horizontal="center"/>
    </xf>
    <xf numFmtId="0" fontId="3" fillId="11" borderId="6" xfId="0" applyFont="1" applyFill="1" applyBorder="1" applyAlignment="1">
      <alignment horizontal="center"/>
    </xf>
    <xf numFmtId="0" fontId="3" fillId="11" borderId="23" xfId="0" applyFont="1" applyFill="1" applyBorder="1" applyAlignment="1">
      <alignment horizontal="center"/>
    </xf>
    <xf numFmtId="0" fontId="3" fillId="12" borderId="6" xfId="0" applyFont="1" applyFill="1" applyBorder="1" applyAlignment="1">
      <alignment horizontal="center"/>
    </xf>
    <xf numFmtId="0" fontId="3" fillId="12" borderId="23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0" quotePrefix="1" applyFont="1" applyBorder="1" applyAlignment="1">
      <alignment horizontal="center"/>
    </xf>
    <xf numFmtId="0" fontId="6" fillId="0" borderId="5" xfId="0" quotePrefix="1" applyFont="1" applyBorder="1" applyAlignment="1">
      <alignment horizontal="center" vertical="center"/>
    </xf>
    <xf numFmtId="0" fontId="6" fillId="0" borderId="32" xfId="0" quotePrefix="1" applyFont="1" applyBorder="1" applyAlignment="1">
      <alignment horizontal="center"/>
    </xf>
    <xf numFmtId="0" fontId="6" fillId="0" borderId="9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9" fillId="13" borderId="18" xfId="0" applyFont="1" applyFill="1" applyBorder="1" applyAlignment="1">
      <alignment horizontal="center" vertical="center" wrapText="1"/>
    </xf>
    <xf numFmtId="0" fontId="9" fillId="13" borderId="19" xfId="0" applyFont="1" applyFill="1" applyBorder="1" applyAlignment="1">
      <alignment horizontal="center" vertical="center" wrapText="1"/>
    </xf>
    <xf numFmtId="0" fontId="9" fillId="13" borderId="20" xfId="0" applyFont="1" applyFill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10" fillId="14" borderId="18" xfId="0" applyFont="1" applyFill="1" applyBorder="1" applyAlignment="1">
      <alignment horizontal="center" vertical="center"/>
    </xf>
    <xf numFmtId="0" fontId="10" fillId="14" borderId="19" xfId="0" applyFont="1" applyFill="1" applyBorder="1" applyAlignment="1">
      <alignment horizontal="center" vertical="center"/>
    </xf>
    <xf numFmtId="0" fontId="10" fillId="14" borderId="20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2" fillId="5" borderId="40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9" fillId="13" borderId="46" xfId="0" applyFont="1" applyFill="1" applyBorder="1" applyAlignment="1">
      <alignment horizontal="center" vertical="center" wrapText="1"/>
    </xf>
    <xf numFmtId="0" fontId="9" fillId="13" borderId="47" xfId="0" applyFont="1" applyFill="1" applyBorder="1" applyAlignment="1">
      <alignment horizontal="center" vertical="center" wrapText="1"/>
    </xf>
    <xf numFmtId="0" fontId="9" fillId="13" borderId="48" xfId="0" applyFont="1" applyFill="1" applyBorder="1" applyAlignment="1">
      <alignment horizontal="center" vertical="center" wrapText="1"/>
    </xf>
    <xf numFmtId="0" fontId="2" fillId="0" borderId="49" xfId="0" applyFont="1" applyBorder="1" applyAlignment="1">
      <alignment horizontal="center" vertical="center"/>
    </xf>
    <xf numFmtId="0" fontId="2" fillId="10" borderId="50" xfId="0" applyFont="1" applyFill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51" xfId="0" applyFont="1" applyFill="1" applyBorder="1" applyAlignment="1">
      <alignment horizontal="center"/>
    </xf>
    <xf numFmtId="0" fontId="11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2" fillId="4" borderId="37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11" fillId="0" borderId="0" xfId="0" applyFont="1" applyAlignment="1">
      <alignment horizontal="left" wrapText="1"/>
    </xf>
    <xf numFmtId="0" fontId="2" fillId="4" borderId="35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52" xfId="0" applyBorder="1" applyAlignment="1">
      <alignment horizontal="center"/>
    </xf>
    <xf numFmtId="16" fontId="0" fillId="0" borderId="5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/>
    </xf>
    <xf numFmtId="16" fontId="0" fillId="0" borderId="6" xfId="0" applyNumberForma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7" fillId="2" borderId="7" xfId="0" applyFont="1" applyFill="1" applyBorder="1" applyAlignment="1">
      <alignment horizontal="center"/>
    </xf>
    <xf numFmtId="14" fontId="0" fillId="0" borderId="53" xfId="0" applyNumberFormat="1" applyBorder="1" applyAlignment="1">
      <alignment horizontal="center"/>
    </xf>
    <xf numFmtId="0" fontId="11" fillId="0" borderId="5" xfId="0" applyFont="1" applyBorder="1" applyAlignment="1">
      <alignment horizontal="left" wrapText="1"/>
    </xf>
    <xf numFmtId="0" fontId="0" fillId="0" borderId="27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left" vertical="center"/>
    </xf>
    <xf numFmtId="0" fontId="0" fillId="0" borderId="5" xfId="0" applyBorder="1" applyAlignment="1">
      <alignment wrapText="1"/>
    </xf>
    <xf numFmtId="0" fontId="12" fillId="0" borderId="5" xfId="0" applyFont="1" applyBorder="1" applyAlignment="1">
      <alignment horizontal="center"/>
    </xf>
    <xf numFmtId="0" fontId="9" fillId="13" borderId="33" xfId="0" applyFont="1" applyFill="1" applyBorder="1" applyAlignment="1">
      <alignment horizontal="center" vertical="center" wrapText="1"/>
    </xf>
    <xf numFmtId="0" fontId="9" fillId="13" borderId="34" xfId="0" applyFont="1" applyFill="1" applyBorder="1" applyAlignment="1">
      <alignment horizontal="center" vertical="center" wrapText="1"/>
    </xf>
    <xf numFmtId="0" fontId="9" fillId="13" borderId="35" xfId="0" applyFont="1" applyFill="1" applyBorder="1" applyAlignment="1">
      <alignment horizontal="center" vertical="center" wrapText="1"/>
    </xf>
    <xf numFmtId="0" fontId="10" fillId="14" borderId="38" xfId="0" applyFont="1" applyFill="1" applyBorder="1" applyAlignment="1">
      <alignment horizontal="center" vertical="center"/>
    </xf>
    <xf numFmtId="0" fontId="10" fillId="14" borderId="39" xfId="0" applyFont="1" applyFill="1" applyBorder="1" applyAlignment="1">
      <alignment horizontal="center" vertical="center"/>
    </xf>
    <xf numFmtId="0" fontId="10" fillId="14" borderId="4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2" fillId="10" borderId="55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6" fillId="0" borderId="31" xfId="0" quotePrefix="1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15" borderId="37" xfId="0" applyFont="1" applyFill="1" applyBorder="1" applyAlignment="1">
      <alignment horizontal="center" vertical="center"/>
    </xf>
    <xf numFmtId="0" fontId="6" fillId="0" borderId="8" xfId="0" quotePrefix="1" applyFont="1" applyBorder="1" applyAlignment="1">
      <alignment horizontal="center"/>
    </xf>
    <xf numFmtId="0" fontId="2" fillId="10" borderId="59" xfId="0" applyFont="1" applyFill="1" applyBorder="1" applyAlignment="1">
      <alignment horizontal="center"/>
    </xf>
    <xf numFmtId="0" fontId="2" fillId="10" borderId="60" xfId="0" applyFont="1" applyFill="1" applyBorder="1" applyAlignment="1">
      <alignment horizontal="center"/>
    </xf>
    <xf numFmtId="1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1" fillId="0" borderId="0" xfId="0" applyFont="1"/>
    <xf numFmtId="0" fontId="0" fillId="0" borderId="5" xfId="0" applyBorder="1"/>
    <xf numFmtId="16" fontId="0" fillId="0" borderId="9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1" fillId="0" borderId="5" xfId="0" applyFont="1" applyBorder="1"/>
    <xf numFmtId="0" fontId="11" fillId="0" borderId="9" xfId="0" applyFont="1" applyBorder="1" applyAlignment="1">
      <alignment horizontal="left" wrapText="1"/>
    </xf>
    <xf numFmtId="0" fontId="0" fillId="0" borderId="31" xfId="0" applyBorder="1" applyAlignment="1">
      <alignment wrapText="1"/>
    </xf>
    <xf numFmtId="0" fontId="0" fillId="0" borderId="17" xfId="0" applyBorder="1" applyAlignment="1">
      <alignment horizontal="center" vertical="center"/>
    </xf>
    <xf numFmtId="14" fontId="13" fillId="0" borderId="53" xfId="0" applyNumberFormat="1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6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4" fillId="16" borderId="65" xfId="0" applyFont="1" applyFill="1" applyBorder="1" applyAlignment="1">
      <alignment horizontal="center" vertical="center"/>
    </xf>
    <xf numFmtId="0" fontId="14" fillId="16" borderId="66" xfId="0" applyFont="1" applyFill="1" applyBorder="1" applyAlignment="1">
      <alignment horizontal="center" vertical="center"/>
    </xf>
    <xf numFmtId="0" fontId="15" fillId="17" borderId="33" xfId="0" applyFont="1" applyFill="1" applyBorder="1" applyAlignment="1">
      <alignment wrapText="1"/>
    </xf>
    <xf numFmtId="0" fontId="15" fillId="17" borderId="53" xfId="0" applyFont="1" applyFill="1" applyBorder="1" applyAlignment="1">
      <alignment wrapText="1"/>
    </xf>
    <xf numFmtId="0" fontId="15" fillId="17" borderId="62" xfId="0" applyFont="1" applyFill="1" applyBorder="1" applyAlignment="1">
      <alignment wrapText="1"/>
    </xf>
    <xf numFmtId="0" fontId="14" fillId="0" borderId="41" xfId="0" applyFont="1" applyBorder="1"/>
    <xf numFmtId="0" fontId="14" fillId="0" borderId="29" xfId="0" applyFont="1" applyBorder="1"/>
    <xf numFmtId="0" fontId="14" fillId="18" borderId="29" xfId="0" applyFont="1" applyFill="1" applyBorder="1"/>
    <xf numFmtId="0" fontId="14" fillId="0" borderId="63" xfId="0" applyFont="1" applyBorder="1"/>
    <xf numFmtId="0" fontId="14" fillId="19" borderId="29" xfId="0" applyFont="1" applyFill="1" applyBorder="1"/>
    <xf numFmtId="0" fontId="14" fillId="20" borderId="29" xfId="0" applyFont="1" applyFill="1" applyBorder="1"/>
    <xf numFmtId="0" fontId="16" fillId="21" borderId="67" xfId="0" applyFont="1" applyFill="1" applyBorder="1"/>
    <xf numFmtId="0" fontId="16" fillId="21" borderId="68" xfId="0" applyFont="1" applyFill="1" applyBorder="1"/>
    <xf numFmtId="0" fontId="14" fillId="0" borderId="60" xfId="0" applyFont="1" applyBorder="1"/>
    <xf numFmtId="0" fontId="2" fillId="10" borderId="69" xfId="0" applyFont="1" applyFill="1" applyBorder="1" applyAlignment="1">
      <alignment horizontal="center"/>
    </xf>
    <xf numFmtId="0" fontId="0" fillId="0" borderId="30" xfId="0" applyBorder="1" applyAlignment="1">
      <alignment horizontal="center" vertical="center"/>
    </xf>
    <xf numFmtId="165" fontId="2" fillId="0" borderId="0" xfId="0" applyNumberFormat="1" applyFont="1"/>
    <xf numFmtId="165" fontId="17" fillId="0" borderId="0" xfId="0" applyNumberFormat="1" applyFont="1"/>
    <xf numFmtId="0" fontId="18" fillId="0" borderId="0" xfId="0" applyFont="1"/>
    <xf numFmtId="0" fontId="19" fillId="0" borderId="0" xfId="0" applyFont="1"/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center" vertical="center"/>
    </xf>
    <xf numFmtId="0" fontId="14" fillId="16" borderId="64" xfId="0" applyFont="1" applyFill="1" applyBorder="1" applyAlignment="1">
      <alignment horizontal="center" vertical="center"/>
    </xf>
    <xf numFmtId="0" fontId="14" fillId="16" borderId="65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2" fillId="5" borderId="38" xfId="0" applyFont="1" applyFill="1" applyBorder="1" applyAlignment="1">
      <alignment horizontal="center" vertical="center"/>
    </xf>
    <xf numFmtId="0" fontId="2" fillId="5" borderId="39" xfId="0" applyFont="1" applyFill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13" fillId="0" borderId="61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/>
    </xf>
    <xf numFmtId="0" fontId="3" fillId="12" borderId="27" xfId="0" applyFont="1" applyFill="1" applyBorder="1" applyAlignment="1">
      <alignment horizontal="center"/>
    </xf>
    <xf numFmtId="0" fontId="3" fillId="12" borderId="28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center" vertical="center"/>
    </xf>
    <xf numFmtId="0" fontId="3" fillId="11" borderId="27" xfId="0" applyFont="1" applyFill="1" applyBorder="1" applyAlignment="1">
      <alignment horizontal="center"/>
    </xf>
    <xf numFmtId="0" fontId="3" fillId="11" borderId="28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4" fillId="8" borderId="51" xfId="0" applyFont="1" applyFill="1" applyBorder="1" applyAlignment="1">
      <alignment horizontal="center" vertical="center"/>
    </xf>
  </cellXfs>
  <cellStyles count="1">
    <cellStyle name="Normal" xfId="0" builtinId="0"/>
  </cellStyles>
  <dxfs count="48"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strike val="0"/>
        <color theme="1"/>
      </font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53"/>
  <sheetViews>
    <sheetView zoomScale="130" zoomScaleNormal="130" workbookViewId="0">
      <pane ySplit="1" topLeftCell="A2" activePane="bottomLeft" state="frozen"/>
      <selection pane="bottomLeft" activeCell="B4" sqref="B4"/>
    </sheetView>
  </sheetViews>
  <sheetFormatPr baseColWidth="10" defaultColWidth="8.83203125" defaultRowHeight="15" x14ac:dyDescent="0.2"/>
  <cols>
    <col min="1" max="1" width="13.5" bestFit="1" customWidth="1"/>
    <col min="2" max="2" width="26.33203125" bestFit="1" customWidth="1"/>
    <col min="3" max="3" width="9.33203125" bestFit="1" customWidth="1"/>
    <col min="4" max="4" width="16.33203125" bestFit="1" customWidth="1"/>
    <col min="5" max="5" width="23.6640625" bestFit="1" customWidth="1"/>
    <col min="6" max="6" width="21.83203125" bestFit="1" customWidth="1"/>
    <col min="7" max="7" width="12.6640625" bestFit="1" customWidth="1"/>
    <col min="8" max="8" width="8.83203125" bestFit="1" customWidth="1"/>
    <col min="9" max="9" width="9.1640625" bestFit="1" customWidth="1"/>
    <col min="10" max="10" width="69.5" bestFit="1" customWidth="1"/>
    <col min="13" max="13" width="10.1640625" bestFit="1" customWidth="1"/>
  </cols>
  <sheetData>
    <row r="1" spans="1:13" s="44" customFormat="1" ht="32" x14ac:dyDescent="0.2">
      <c r="A1" s="131" t="s">
        <v>0</v>
      </c>
      <c r="B1" s="132" t="s">
        <v>1</v>
      </c>
      <c r="C1" s="133" t="s">
        <v>2</v>
      </c>
      <c r="D1" s="133" t="s">
        <v>3</v>
      </c>
      <c r="E1" s="133" t="s">
        <v>4</v>
      </c>
      <c r="F1" s="133" t="s">
        <v>5</v>
      </c>
      <c r="G1" s="133" t="s">
        <v>6</v>
      </c>
      <c r="H1" s="132" t="s">
        <v>7</v>
      </c>
      <c r="I1" s="132" t="s">
        <v>8</v>
      </c>
      <c r="J1" s="131" t="s">
        <v>9</v>
      </c>
    </row>
    <row r="2" spans="1:13" ht="16" x14ac:dyDescent="0.2">
      <c r="A2" s="122" t="s">
        <v>142</v>
      </c>
      <c r="B2" s="181" t="s">
        <v>178</v>
      </c>
      <c r="C2" s="25">
        <v>0</v>
      </c>
      <c r="D2" s="25">
        <v>0</v>
      </c>
      <c r="E2" s="25">
        <f t="shared" ref="E2:E31" si="0">((7*5)+(4*3))*5</f>
        <v>235</v>
      </c>
      <c r="F2" s="25">
        <v>0</v>
      </c>
      <c r="G2" s="25">
        <v>0</v>
      </c>
      <c r="H2" s="25">
        <v>0</v>
      </c>
      <c r="I2" s="25">
        <v>0</v>
      </c>
      <c r="J2" s="25">
        <v>0</v>
      </c>
    </row>
    <row r="3" spans="1:13" ht="16" x14ac:dyDescent="0.2">
      <c r="A3" s="122" t="s">
        <v>143</v>
      </c>
      <c r="B3" s="182" t="s">
        <v>179</v>
      </c>
      <c r="C3" s="25">
        <v>0</v>
      </c>
      <c r="D3" s="25">
        <v>0</v>
      </c>
      <c r="E3" s="25">
        <f t="shared" si="0"/>
        <v>235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</row>
    <row r="4" spans="1:13" ht="16" x14ac:dyDescent="0.2">
      <c r="A4" s="122" t="s">
        <v>144</v>
      </c>
      <c r="B4" s="181" t="s">
        <v>180</v>
      </c>
      <c r="C4" s="25">
        <v>0</v>
      </c>
      <c r="D4" s="25">
        <v>0</v>
      </c>
      <c r="E4" s="25">
        <f t="shared" si="0"/>
        <v>235</v>
      </c>
      <c r="F4" s="25">
        <v>0</v>
      </c>
      <c r="G4" s="25">
        <v>0</v>
      </c>
      <c r="H4" s="25">
        <v>0</v>
      </c>
      <c r="I4" s="25">
        <v>0</v>
      </c>
      <c r="J4" s="25">
        <v>0</v>
      </c>
    </row>
    <row r="5" spans="1:13" ht="16" x14ac:dyDescent="0.2">
      <c r="A5" s="122" t="s">
        <v>145</v>
      </c>
      <c r="B5" s="181" t="s">
        <v>181</v>
      </c>
      <c r="C5" s="25">
        <v>0</v>
      </c>
      <c r="D5" s="25">
        <v>0</v>
      </c>
      <c r="E5" s="25">
        <f t="shared" si="0"/>
        <v>235</v>
      </c>
      <c r="F5" s="25">
        <v>0</v>
      </c>
      <c r="G5" s="25">
        <v>0</v>
      </c>
      <c r="H5" s="25">
        <v>0</v>
      </c>
      <c r="I5" s="25">
        <v>0</v>
      </c>
      <c r="J5" s="25">
        <v>0</v>
      </c>
    </row>
    <row r="6" spans="1:13" ht="16" x14ac:dyDescent="0.2">
      <c r="A6" s="122" t="s">
        <v>146</v>
      </c>
      <c r="B6" s="181" t="s">
        <v>182</v>
      </c>
      <c r="C6" s="25">
        <v>0</v>
      </c>
      <c r="D6" s="25">
        <v>0</v>
      </c>
      <c r="E6" s="25">
        <f t="shared" si="0"/>
        <v>235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M6" s="179"/>
    </row>
    <row r="7" spans="1:13" ht="16" x14ac:dyDescent="0.2">
      <c r="A7" s="122" t="s">
        <v>147</v>
      </c>
      <c r="B7" s="181" t="s">
        <v>183</v>
      </c>
      <c r="C7" s="25">
        <v>0</v>
      </c>
      <c r="D7" s="25">
        <v>0</v>
      </c>
      <c r="E7" s="25">
        <f t="shared" si="0"/>
        <v>235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M7" s="180"/>
    </row>
    <row r="8" spans="1:13" ht="16" x14ac:dyDescent="0.2">
      <c r="A8" s="122" t="s">
        <v>148</v>
      </c>
      <c r="B8" s="181" t="s">
        <v>184</v>
      </c>
      <c r="C8" s="25">
        <v>0</v>
      </c>
      <c r="D8" s="25">
        <v>0</v>
      </c>
      <c r="E8" s="25">
        <f t="shared" si="0"/>
        <v>235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</row>
    <row r="9" spans="1:13" ht="16" x14ac:dyDescent="0.2">
      <c r="A9" s="122" t="s">
        <v>149</v>
      </c>
      <c r="B9" s="181" t="s">
        <v>185</v>
      </c>
      <c r="C9" s="25">
        <v>0</v>
      </c>
      <c r="D9" s="25">
        <v>0</v>
      </c>
      <c r="E9" s="25">
        <f t="shared" si="0"/>
        <v>235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</row>
    <row r="10" spans="1:13" ht="16" x14ac:dyDescent="0.2">
      <c r="A10" s="122" t="s">
        <v>150</v>
      </c>
      <c r="B10" s="181" t="s">
        <v>186</v>
      </c>
      <c r="C10" s="25">
        <v>0</v>
      </c>
      <c r="D10" s="25">
        <v>0</v>
      </c>
      <c r="E10" s="25">
        <f t="shared" si="0"/>
        <v>235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</row>
    <row r="11" spans="1:13" ht="16" x14ac:dyDescent="0.2">
      <c r="A11" s="122" t="s">
        <v>151</v>
      </c>
      <c r="B11" s="181" t="s">
        <v>187</v>
      </c>
      <c r="C11" s="25">
        <v>0</v>
      </c>
      <c r="D11" s="25">
        <v>0</v>
      </c>
      <c r="E11" s="25">
        <f t="shared" si="0"/>
        <v>235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</row>
    <row r="12" spans="1:13" ht="16" x14ac:dyDescent="0.2">
      <c r="A12" s="122" t="s">
        <v>152</v>
      </c>
      <c r="B12" s="181" t="s">
        <v>188</v>
      </c>
      <c r="C12" s="25">
        <v>0</v>
      </c>
      <c r="D12" s="25">
        <v>0</v>
      </c>
      <c r="E12" s="25">
        <f t="shared" si="0"/>
        <v>235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</row>
    <row r="13" spans="1:13" ht="16" x14ac:dyDescent="0.2">
      <c r="A13" s="122" t="s">
        <v>153</v>
      </c>
      <c r="B13" s="181" t="s">
        <v>189</v>
      </c>
      <c r="C13" s="25">
        <v>0</v>
      </c>
      <c r="D13" s="25">
        <v>0</v>
      </c>
      <c r="E13" s="25">
        <f t="shared" si="0"/>
        <v>235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</row>
    <row r="14" spans="1:13" ht="16" x14ac:dyDescent="0.2">
      <c r="A14" s="122" t="s">
        <v>154</v>
      </c>
      <c r="B14" s="181" t="s">
        <v>190</v>
      </c>
      <c r="C14" s="25">
        <v>0</v>
      </c>
      <c r="D14" s="25">
        <v>0</v>
      </c>
      <c r="E14" s="25">
        <f t="shared" si="0"/>
        <v>235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</row>
    <row r="15" spans="1:13" ht="16" x14ac:dyDescent="0.2">
      <c r="A15" s="122" t="s">
        <v>155</v>
      </c>
      <c r="B15" s="181" t="s">
        <v>191</v>
      </c>
      <c r="C15" s="25">
        <v>0</v>
      </c>
      <c r="D15" s="25">
        <v>0</v>
      </c>
      <c r="E15" s="25">
        <f t="shared" si="0"/>
        <v>235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</row>
    <row r="16" spans="1:13" ht="16" x14ac:dyDescent="0.2">
      <c r="A16" s="122" t="s">
        <v>156</v>
      </c>
      <c r="B16" s="181" t="s">
        <v>192</v>
      </c>
      <c r="C16" s="25">
        <v>0</v>
      </c>
      <c r="D16" s="25">
        <v>0</v>
      </c>
      <c r="E16" s="25">
        <f t="shared" si="0"/>
        <v>235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</row>
    <row r="17" spans="1:12" ht="16" x14ac:dyDescent="0.2">
      <c r="A17" s="122" t="s">
        <v>157</v>
      </c>
      <c r="B17" s="181" t="s">
        <v>193</v>
      </c>
      <c r="C17" s="25">
        <v>0</v>
      </c>
      <c r="D17" s="25">
        <v>0</v>
      </c>
      <c r="E17" s="25">
        <f t="shared" si="0"/>
        <v>235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</row>
    <row r="18" spans="1:12" ht="16" x14ac:dyDescent="0.2">
      <c r="A18" s="122" t="s">
        <v>158</v>
      </c>
      <c r="B18" s="181" t="s">
        <v>194</v>
      </c>
      <c r="C18" s="25">
        <v>0</v>
      </c>
      <c r="D18" s="25">
        <v>0</v>
      </c>
      <c r="E18" s="25">
        <f t="shared" si="0"/>
        <v>235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</row>
    <row r="19" spans="1:12" ht="16" x14ac:dyDescent="0.2">
      <c r="A19" s="122" t="s">
        <v>159</v>
      </c>
      <c r="B19" s="181" t="s">
        <v>195</v>
      </c>
      <c r="C19" s="25">
        <v>0</v>
      </c>
      <c r="D19" s="25">
        <v>0</v>
      </c>
      <c r="E19" s="25">
        <f t="shared" si="0"/>
        <v>235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</row>
    <row r="20" spans="1:12" ht="16" x14ac:dyDescent="0.2">
      <c r="A20" s="122" t="s">
        <v>160</v>
      </c>
      <c r="B20" s="181" t="s">
        <v>196</v>
      </c>
      <c r="C20" s="25">
        <v>0</v>
      </c>
      <c r="D20" s="25">
        <v>0</v>
      </c>
      <c r="E20" s="25">
        <f t="shared" si="0"/>
        <v>235</v>
      </c>
      <c r="F20" s="25">
        <v>0</v>
      </c>
      <c r="G20" s="25">
        <v>0</v>
      </c>
      <c r="H20" s="25">
        <v>0</v>
      </c>
      <c r="I20" s="25">
        <v>0</v>
      </c>
      <c r="J20" s="25">
        <v>0</v>
      </c>
    </row>
    <row r="21" spans="1:12" ht="16" x14ac:dyDescent="0.2">
      <c r="A21" s="122" t="s">
        <v>161</v>
      </c>
      <c r="B21" s="181" t="s">
        <v>197</v>
      </c>
      <c r="C21" s="25">
        <v>0</v>
      </c>
      <c r="D21" s="25">
        <v>0</v>
      </c>
      <c r="E21" s="25">
        <f t="shared" si="0"/>
        <v>235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</row>
    <row r="22" spans="1:12" ht="16" x14ac:dyDescent="0.2">
      <c r="A22" s="122" t="s">
        <v>162</v>
      </c>
      <c r="B22" s="181" t="s">
        <v>198</v>
      </c>
      <c r="C22" s="25">
        <v>0</v>
      </c>
      <c r="D22" s="25">
        <v>0</v>
      </c>
      <c r="E22" s="25">
        <f t="shared" si="0"/>
        <v>235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</row>
    <row r="23" spans="1:12" ht="16" x14ac:dyDescent="0.2">
      <c r="A23" s="122" t="s">
        <v>163</v>
      </c>
      <c r="B23" s="181" t="s">
        <v>199</v>
      </c>
      <c r="C23" s="25">
        <v>0</v>
      </c>
      <c r="D23" s="25">
        <v>0</v>
      </c>
      <c r="E23" s="25">
        <f t="shared" si="0"/>
        <v>235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</row>
    <row r="24" spans="1:12" ht="16" x14ac:dyDescent="0.2">
      <c r="A24" s="122" t="s">
        <v>164</v>
      </c>
      <c r="B24" s="181" t="s">
        <v>200</v>
      </c>
      <c r="C24" s="25">
        <v>0</v>
      </c>
      <c r="D24" s="25">
        <v>0</v>
      </c>
      <c r="E24" s="25">
        <f t="shared" si="0"/>
        <v>235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</row>
    <row r="25" spans="1:12" ht="16" x14ac:dyDescent="0.2">
      <c r="A25" s="122" t="s">
        <v>165</v>
      </c>
      <c r="B25" s="181" t="s">
        <v>201</v>
      </c>
      <c r="C25" s="25">
        <v>0</v>
      </c>
      <c r="D25" s="25">
        <v>0</v>
      </c>
      <c r="E25" s="25">
        <f t="shared" si="0"/>
        <v>235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</row>
    <row r="26" spans="1:12" ht="16" x14ac:dyDescent="0.2">
      <c r="A26" s="122" t="s">
        <v>166</v>
      </c>
      <c r="B26" s="181" t="s">
        <v>202</v>
      </c>
      <c r="C26" s="25">
        <v>0</v>
      </c>
      <c r="D26" s="25">
        <v>0</v>
      </c>
      <c r="E26" s="25">
        <f t="shared" si="0"/>
        <v>235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</row>
    <row r="27" spans="1:12" ht="16" x14ac:dyDescent="0.2">
      <c r="A27" s="122" t="s">
        <v>167</v>
      </c>
      <c r="B27" s="181" t="s">
        <v>203</v>
      </c>
      <c r="C27" s="25">
        <v>0</v>
      </c>
      <c r="D27" s="25">
        <v>0</v>
      </c>
      <c r="E27" s="25">
        <f t="shared" si="0"/>
        <v>235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</row>
    <row r="28" spans="1:12" ht="16" x14ac:dyDescent="0.2">
      <c r="A28" s="122" t="s">
        <v>168</v>
      </c>
      <c r="B28" s="181" t="s">
        <v>204</v>
      </c>
      <c r="C28" s="25">
        <v>0</v>
      </c>
      <c r="D28" s="25">
        <v>0</v>
      </c>
      <c r="E28" s="25">
        <f t="shared" si="0"/>
        <v>235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</row>
    <row r="29" spans="1:12" ht="16" x14ac:dyDescent="0.2">
      <c r="A29" s="122" t="s">
        <v>169</v>
      </c>
      <c r="B29" s="181" t="s">
        <v>205</v>
      </c>
      <c r="C29" s="25">
        <v>0</v>
      </c>
      <c r="D29" s="25">
        <v>0</v>
      </c>
      <c r="E29" s="25">
        <f t="shared" si="0"/>
        <v>235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</row>
    <row r="30" spans="1:12" ht="16" x14ac:dyDescent="0.2">
      <c r="A30" s="122" t="s">
        <v>170</v>
      </c>
      <c r="B30" s="181" t="s">
        <v>206</v>
      </c>
      <c r="C30" s="25">
        <v>0</v>
      </c>
      <c r="D30" s="25">
        <v>0</v>
      </c>
      <c r="E30" s="25">
        <f t="shared" si="0"/>
        <v>235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</row>
    <row r="31" spans="1:12" ht="16" x14ac:dyDescent="0.2">
      <c r="A31" s="122" t="s">
        <v>171</v>
      </c>
      <c r="B31" s="181" t="s">
        <v>207</v>
      </c>
      <c r="C31" s="25">
        <v>0</v>
      </c>
      <c r="D31" s="25">
        <v>0</v>
      </c>
      <c r="E31" s="25">
        <f t="shared" si="0"/>
        <v>235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</row>
    <row r="32" spans="1:12" ht="48" x14ac:dyDescent="0.2">
      <c r="A32" s="122" t="s">
        <v>10</v>
      </c>
      <c r="B32" s="25" t="s">
        <v>11</v>
      </c>
      <c r="C32" s="25">
        <v>11</v>
      </c>
      <c r="D32" s="25">
        <v>5.83</v>
      </c>
      <c r="E32" s="25">
        <f>((7*5)+(4*3))*5</f>
        <v>235</v>
      </c>
      <c r="F32" s="25">
        <v>129</v>
      </c>
      <c r="G32" s="25">
        <v>200</v>
      </c>
      <c r="H32" s="25">
        <f t="shared" ref="H32:H44" si="1">F32-G32</f>
        <v>-71</v>
      </c>
      <c r="I32" s="25" t="s">
        <v>12</v>
      </c>
      <c r="J32" s="123" t="s">
        <v>13</v>
      </c>
      <c r="L32">
        <f>SUM(F32:F36)</f>
        <v>1096</v>
      </c>
    </row>
    <row r="33" spans="1:10" ht="16" x14ac:dyDescent="0.2">
      <c r="A33" s="122" t="s">
        <v>14</v>
      </c>
      <c r="B33" s="25" t="s">
        <v>15</v>
      </c>
      <c r="C33" s="25">
        <v>11</v>
      </c>
      <c r="D33" s="25">
        <v>8.33</v>
      </c>
      <c r="E33" s="25">
        <f t="shared" ref="E33:E53" si="2">((7*5)+(4*3))*5</f>
        <v>235</v>
      </c>
      <c r="F33" s="25">
        <v>228</v>
      </c>
      <c r="G33" s="25">
        <v>208</v>
      </c>
      <c r="H33" s="25">
        <f t="shared" si="1"/>
        <v>20</v>
      </c>
      <c r="I33" s="25" t="s">
        <v>16</v>
      </c>
      <c r="J33" s="123" t="s">
        <v>17</v>
      </c>
    </row>
    <row r="34" spans="1:10" ht="48" x14ac:dyDescent="0.2">
      <c r="A34" s="122" t="s">
        <v>18</v>
      </c>
      <c r="B34" s="25" t="s">
        <v>19</v>
      </c>
      <c r="C34" s="25">
        <v>11</v>
      </c>
      <c r="D34" s="25">
        <v>6.8</v>
      </c>
      <c r="E34" s="25">
        <f t="shared" si="2"/>
        <v>235</v>
      </c>
      <c r="F34" s="25">
        <v>162</v>
      </c>
      <c r="G34" s="25">
        <v>123</v>
      </c>
      <c r="H34" s="25">
        <f t="shared" si="1"/>
        <v>39</v>
      </c>
      <c r="I34" s="25" t="s">
        <v>20</v>
      </c>
      <c r="J34" s="123" t="s">
        <v>21</v>
      </c>
    </row>
    <row r="35" spans="1:10" ht="112" x14ac:dyDescent="0.2">
      <c r="A35" s="122" t="s">
        <v>22</v>
      </c>
      <c r="B35" s="25" t="s">
        <v>23</v>
      </c>
      <c r="C35" s="25">
        <v>11</v>
      </c>
      <c r="D35" s="25">
        <v>8</v>
      </c>
      <c r="E35" s="25">
        <f t="shared" si="2"/>
        <v>235</v>
      </c>
      <c r="F35" s="25">
        <v>260</v>
      </c>
      <c r="G35" s="25">
        <v>183</v>
      </c>
      <c r="H35" s="25">
        <f t="shared" si="1"/>
        <v>77</v>
      </c>
      <c r="I35" s="25" t="s">
        <v>20</v>
      </c>
      <c r="J35" s="123" t="s">
        <v>24</v>
      </c>
    </row>
    <row r="36" spans="1:10" ht="80" x14ac:dyDescent="0.2">
      <c r="A36" s="122" t="s">
        <v>25</v>
      </c>
      <c r="B36" s="25" t="s">
        <v>26</v>
      </c>
      <c r="C36" s="25">
        <v>11</v>
      </c>
      <c r="D36" s="25">
        <v>11</v>
      </c>
      <c r="E36" s="25">
        <f t="shared" si="2"/>
        <v>235</v>
      </c>
      <c r="F36" s="25">
        <v>317</v>
      </c>
      <c r="G36" s="25">
        <v>257</v>
      </c>
      <c r="H36" s="134">
        <f t="shared" si="1"/>
        <v>60</v>
      </c>
      <c r="I36" s="25" t="s">
        <v>20</v>
      </c>
      <c r="J36" s="123" t="s">
        <v>27</v>
      </c>
    </row>
    <row r="37" spans="1:10" ht="80" x14ac:dyDescent="0.2">
      <c r="A37" s="122" t="s">
        <v>28</v>
      </c>
      <c r="B37" s="25" t="s">
        <v>29</v>
      </c>
      <c r="C37" s="25">
        <v>11</v>
      </c>
      <c r="D37" s="25">
        <v>6.2</v>
      </c>
      <c r="E37" s="25">
        <f t="shared" si="2"/>
        <v>235</v>
      </c>
      <c r="F37" s="25">
        <v>147</v>
      </c>
      <c r="G37" s="25">
        <v>128</v>
      </c>
      <c r="H37" s="134">
        <f t="shared" si="1"/>
        <v>19</v>
      </c>
      <c r="I37" s="25" t="s">
        <v>20</v>
      </c>
      <c r="J37" s="123" t="s">
        <v>30</v>
      </c>
    </row>
    <row r="38" spans="1:10" ht="80" x14ac:dyDescent="0.2">
      <c r="A38" s="122" t="s">
        <v>31</v>
      </c>
      <c r="B38" s="25" t="s">
        <v>32</v>
      </c>
      <c r="C38" s="25">
        <v>11</v>
      </c>
      <c r="D38" s="25">
        <v>10.6</v>
      </c>
      <c r="E38" s="25">
        <f t="shared" si="2"/>
        <v>235</v>
      </c>
      <c r="F38" s="25">
        <v>170</v>
      </c>
      <c r="G38" s="25">
        <v>147</v>
      </c>
      <c r="H38" s="134">
        <f t="shared" si="1"/>
        <v>23</v>
      </c>
      <c r="I38" s="25" t="s">
        <v>20</v>
      </c>
      <c r="J38" s="123" t="s">
        <v>33</v>
      </c>
    </row>
    <row r="39" spans="1:10" ht="48" x14ac:dyDescent="0.2">
      <c r="A39" s="122" t="s">
        <v>34</v>
      </c>
      <c r="B39" s="25" t="s">
        <v>35</v>
      </c>
      <c r="C39" s="25">
        <v>11</v>
      </c>
      <c r="D39" s="25">
        <v>10.199999999999999</v>
      </c>
      <c r="E39" s="25">
        <f t="shared" si="2"/>
        <v>235</v>
      </c>
      <c r="F39" s="25">
        <v>178</v>
      </c>
      <c r="G39" s="25">
        <v>176</v>
      </c>
      <c r="H39" s="25">
        <f t="shared" si="1"/>
        <v>2</v>
      </c>
      <c r="I39" s="25" t="s">
        <v>16</v>
      </c>
      <c r="J39" s="123" t="s">
        <v>36</v>
      </c>
    </row>
    <row r="40" spans="1:10" ht="96" x14ac:dyDescent="0.2">
      <c r="A40" s="122" t="s">
        <v>37</v>
      </c>
      <c r="B40" s="25" t="s">
        <v>38</v>
      </c>
      <c r="C40" s="25">
        <v>11</v>
      </c>
      <c r="D40" s="25">
        <v>5.8</v>
      </c>
      <c r="E40" s="25">
        <f t="shared" si="2"/>
        <v>235</v>
      </c>
      <c r="F40" s="25">
        <v>106</v>
      </c>
      <c r="G40" s="25">
        <v>109</v>
      </c>
      <c r="H40" s="25">
        <f t="shared" si="1"/>
        <v>-3</v>
      </c>
      <c r="I40" s="25" t="s">
        <v>12</v>
      </c>
      <c r="J40" s="123" t="s">
        <v>39</v>
      </c>
    </row>
    <row r="41" spans="1:10" ht="48" x14ac:dyDescent="0.2">
      <c r="A41" s="122" t="s">
        <v>40</v>
      </c>
      <c r="B41" s="25" t="s">
        <v>41</v>
      </c>
      <c r="C41" s="25">
        <v>10</v>
      </c>
      <c r="D41" s="25">
        <v>5.4</v>
      </c>
      <c r="E41" s="25">
        <f t="shared" si="2"/>
        <v>235</v>
      </c>
      <c r="F41" s="25">
        <v>108</v>
      </c>
      <c r="G41" s="25">
        <v>112</v>
      </c>
      <c r="H41" s="25">
        <f t="shared" si="1"/>
        <v>-4</v>
      </c>
      <c r="I41" s="25" t="s">
        <v>12</v>
      </c>
      <c r="J41" s="123" t="s">
        <v>42</v>
      </c>
    </row>
    <row r="42" spans="1:10" ht="48" x14ac:dyDescent="0.2">
      <c r="A42" s="122" t="s">
        <v>43</v>
      </c>
      <c r="B42" s="25" t="s">
        <v>44</v>
      </c>
      <c r="C42" s="25">
        <v>10</v>
      </c>
      <c r="D42" s="25">
        <v>5</v>
      </c>
      <c r="E42" s="25">
        <f t="shared" si="2"/>
        <v>235</v>
      </c>
      <c r="F42" s="25">
        <v>74</v>
      </c>
      <c r="G42" s="25">
        <v>73</v>
      </c>
      <c r="H42" s="25">
        <f t="shared" si="1"/>
        <v>1</v>
      </c>
      <c r="I42" s="25" t="s">
        <v>16</v>
      </c>
      <c r="J42" s="123" t="s">
        <v>45</v>
      </c>
    </row>
    <row r="43" spans="1:10" ht="64" x14ac:dyDescent="0.2">
      <c r="A43" s="122" t="s">
        <v>46</v>
      </c>
      <c r="B43" s="25" t="s">
        <v>47</v>
      </c>
      <c r="C43" s="25">
        <v>10</v>
      </c>
      <c r="D43" s="25">
        <v>7</v>
      </c>
      <c r="E43" s="25">
        <f t="shared" si="2"/>
        <v>235</v>
      </c>
      <c r="F43" s="25">
        <v>149</v>
      </c>
      <c r="G43" s="25">
        <v>139</v>
      </c>
      <c r="H43" s="25">
        <f t="shared" si="1"/>
        <v>10</v>
      </c>
      <c r="I43" s="25" t="s">
        <v>20</v>
      </c>
      <c r="J43" s="123" t="s">
        <v>48</v>
      </c>
    </row>
    <row r="44" spans="1:10" ht="48" x14ac:dyDescent="0.2">
      <c r="A44" s="122" t="s">
        <v>49</v>
      </c>
      <c r="B44" s="25" t="s">
        <v>50</v>
      </c>
      <c r="C44" s="25">
        <v>10</v>
      </c>
      <c r="D44" s="25">
        <v>8.5</v>
      </c>
      <c r="E44" s="25">
        <f t="shared" si="2"/>
        <v>235</v>
      </c>
      <c r="F44" s="25">
        <v>141</v>
      </c>
      <c r="G44" s="25">
        <v>143</v>
      </c>
      <c r="H44" s="25">
        <f t="shared" si="1"/>
        <v>-2</v>
      </c>
      <c r="I44" s="25" t="s">
        <v>12</v>
      </c>
      <c r="J44" s="123" t="s">
        <v>51</v>
      </c>
    </row>
    <row r="45" spans="1:10" ht="48" x14ac:dyDescent="0.2">
      <c r="A45" s="122" t="s">
        <v>52</v>
      </c>
      <c r="B45" s="25" t="s">
        <v>53</v>
      </c>
      <c r="C45" s="25">
        <v>10</v>
      </c>
      <c r="D45" s="25">
        <v>9</v>
      </c>
      <c r="E45" s="25">
        <f t="shared" si="2"/>
        <v>235</v>
      </c>
      <c r="F45" s="25">
        <v>214</v>
      </c>
      <c r="G45" s="25">
        <v>198</v>
      </c>
      <c r="H45" s="25">
        <f t="shared" ref="H45:H47" si="3">F45-G45</f>
        <v>16</v>
      </c>
      <c r="I45" s="25" t="s">
        <v>20</v>
      </c>
      <c r="J45" s="123" t="s">
        <v>54</v>
      </c>
    </row>
    <row r="46" spans="1:10" ht="64" x14ac:dyDescent="0.2">
      <c r="A46" s="122" t="s">
        <v>55</v>
      </c>
      <c r="B46" s="25" t="s">
        <v>56</v>
      </c>
      <c r="C46" s="25">
        <v>10</v>
      </c>
      <c r="D46" s="25">
        <v>7.8333329999999997</v>
      </c>
      <c r="E46" s="25">
        <f t="shared" si="2"/>
        <v>235</v>
      </c>
      <c r="F46" s="25">
        <v>234</v>
      </c>
      <c r="G46" s="25">
        <v>241</v>
      </c>
      <c r="H46" s="25">
        <f t="shared" si="3"/>
        <v>-7</v>
      </c>
      <c r="I46" s="25" t="s">
        <v>12</v>
      </c>
      <c r="J46" s="123" t="s">
        <v>57</v>
      </c>
    </row>
    <row r="47" spans="1:10" x14ac:dyDescent="0.2">
      <c r="A47" s="122" t="s">
        <v>85</v>
      </c>
      <c r="C47" s="178">
        <v>10</v>
      </c>
      <c r="D47" s="25">
        <v>8</v>
      </c>
      <c r="E47" s="25">
        <f t="shared" si="2"/>
        <v>235</v>
      </c>
      <c r="F47" s="25">
        <v>300</v>
      </c>
      <c r="G47" s="25">
        <v>315</v>
      </c>
      <c r="H47" s="25">
        <f t="shared" si="3"/>
        <v>-15</v>
      </c>
      <c r="I47" s="25" t="s">
        <v>12</v>
      </c>
      <c r="J47" s="25">
        <v>0</v>
      </c>
    </row>
    <row r="48" spans="1:10" x14ac:dyDescent="0.2">
      <c r="A48" s="122" t="s">
        <v>172</v>
      </c>
      <c r="C48" s="178">
        <v>10</v>
      </c>
      <c r="D48" s="25">
        <v>0</v>
      </c>
      <c r="E48" s="25">
        <f t="shared" si="2"/>
        <v>235</v>
      </c>
      <c r="F48" s="25">
        <v>0</v>
      </c>
      <c r="G48" s="25">
        <v>0</v>
      </c>
      <c r="H48" s="25">
        <v>0</v>
      </c>
      <c r="I48" s="25">
        <v>0</v>
      </c>
      <c r="J48" s="25">
        <v>0</v>
      </c>
    </row>
    <row r="49" spans="1:10" x14ac:dyDescent="0.2">
      <c r="A49" s="122" t="s">
        <v>173</v>
      </c>
      <c r="C49" s="178">
        <v>0</v>
      </c>
      <c r="D49" s="25">
        <v>0</v>
      </c>
      <c r="E49" s="25">
        <f t="shared" si="2"/>
        <v>235</v>
      </c>
      <c r="F49" s="25">
        <v>0</v>
      </c>
      <c r="G49" s="25">
        <v>0</v>
      </c>
      <c r="H49" s="25">
        <v>0</v>
      </c>
      <c r="I49" s="25">
        <v>0</v>
      </c>
      <c r="J49" s="25">
        <v>0</v>
      </c>
    </row>
    <row r="50" spans="1:10" x14ac:dyDescent="0.2">
      <c r="A50" s="122" t="s">
        <v>174</v>
      </c>
      <c r="C50" s="178">
        <v>0</v>
      </c>
      <c r="D50" s="25">
        <v>0</v>
      </c>
      <c r="E50" s="25">
        <f t="shared" si="2"/>
        <v>235</v>
      </c>
      <c r="F50" s="25">
        <v>0</v>
      </c>
      <c r="G50" s="25">
        <v>0</v>
      </c>
      <c r="H50" s="25">
        <v>0</v>
      </c>
      <c r="I50" s="25">
        <v>0</v>
      </c>
      <c r="J50" s="25">
        <v>0</v>
      </c>
    </row>
    <row r="51" spans="1:10" x14ac:dyDescent="0.2">
      <c r="A51" s="122" t="s">
        <v>175</v>
      </c>
      <c r="C51" s="178">
        <v>0</v>
      </c>
      <c r="D51" s="25">
        <v>0</v>
      </c>
      <c r="E51" s="25">
        <f t="shared" si="2"/>
        <v>235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</row>
    <row r="52" spans="1:10" x14ac:dyDescent="0.2">
      <c r="A52" s="122" t="s">
        <v>176</v>
      </c>
      <c r="C52" s="178">
        <v>0</v>
      </c>
      <c r="D52" s="25">
        <v>0</v>
      </c>
      <c r="E52" s="25">
        <f t="shared" si="2"/>
        <v>235</v>
      </c>
      <c r="F52" s="25">
        <v>0</v>
      </c>
      <c r="G52" s="25">
        <v>0</v>
      </c>
      <c r="H52" s="25">
        <v>0</v>
      </c>
      <c r="I52" s="25">
        <v>0</v>
      </c>
      <c r="J52" s="25">
        <v>0</v>
      </c>
    </row>
    <row r="53" spans="1:10" x14ac:dyDescent="0.2">
      <c r="A53" s="122" t="s">
        <v>177</v>
      </c>
      <c r="C53" s="178">
        <v>0</v>
      </c>
      <c r="D53" s="25">
        <v>0</v>
      </c>
      <c r="E53" s="25">
        <f t="shared" si="2"/>
        <v>235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</row>
  </sheetData>
  <phoneticPr fontId="1" type="noConversion"/>
  <conditionalFormatting sqref="H32:H35">
    <cfRule type="cellIs" dxfId="47" priority="6" operator="lessThanOrEqual">
      <formula>0</formula>
    </cfRule>
    <cfRule type="cellIs" dxfId="46" priority="8" operator="lessThan">
      <formula>$G$32</formula>
    </cfRule>
  </conditionalFormatting>
  <conditionalFormatting sqref="I32:I47">
    <cfRule type="containsText" dxfId="45" priority="1" operator="containsText" text="High Risk">
      <formula>NOT(ISERROR(SEARCH("High Risk",I32)))</formula>
    </cfRule>
    <cfRule type="containsText" dxfId="44" priority="2" operator="containsText" text="Risk">
      <formula>NOT(ISERROR(SEARCH("Risk",I32)))</formula>
    </cfRule>
    <cfRule type="containsText" dxfId="43" priority="3" operator="containsText" text="Moderate">
      <formula>NOT(ISERROR(SEARCH("Moderate",I32)))</formula>
    </cfRule>
    <cfRule type="containsText" dxfId="42" priority="4" operator="containsText" text="On track">
      <formula>NOT(ISERROR(SEARCH("On track",I32)))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BBEA-003E-4E4A-A8BC-13829C6C9E91}">
  <sheetPr codeName="Sheet2"/>
  <dimension ref="A1:R20"/>
  <sheetViews>
    <sheetView zoomScale="130" zoomScaleNormal="130" workbookViewId="0">
      <pane ySplit="2" topLeftCell="A3" activePane="bottomLeft" state="frozen"/>
      <selection pane="bottomLeft" activeCell="R26" sqref="R26"/>
    </sheetView>
  </sheetViews>
  <sheetFormatPr baseColWidth="10" defaultColWidth="8.83203125" defaultRowHeight="15" x14ac:dyDescent="0.2"/>
  <cols>
    <col min="1" max="1" width="15" style="12" bestFit="1" customWidth="1"/>
    <col min="2" max="2" width="15.6640625" customWidth="1"/>
    <col min="3" max="3" width="12" customWidth="1"/>
    <col min="4" max="4" width="9.6640625" customWidth="1"/>
    <col min="5" max="5" width="11.5" customWidth="1"/>
    <col min="6" max="6" width="10" customWidth="1"/>
    <col min="7" max="7" width="10.5" customWidth="1"/>
    <col min="8" max="8" width="13" customWidth="1"/>
    <col min="9" max="9" width="12.33203125" customWidth="1"/>
    <col min="10" max="10" width="11.33203125" customWidth="1"/>
    <col min="11" max="11" width="11.5" customWidth="1"/>
    <col min="12" max="12" width="10" customWidth="1"/>
    <col min="13" max="13" width="10.6640625" customWidth="1"/>
    <col min="14" max="14" width="11" customWidth="1"/>
    <col min="15" max="15" width="8.6640625" customWidth="1"/>
    <col min="16" max="16" width="9.83203125" customWidth="1"/>
    <col min="17" max="17" width="11.6640625" customWidth="1"/>
    <col min="18" max="18" width="69.33203125" customWidth="1"/>
  </cols>
  <sheetData>
    <row r="1" spans="1:18" ht="30" customHeight="1" x14ac:dyDescent="0.2">
      <c r="A1" s="187" t="s">
        <v>0</v>
      </c>
      <c r="B1" s="187" t="s">
        <v>1</v>
      </c>
      <c r="C1" s="187" t="s">
        <v>58</v>
      </c>
      <c r="D1" s="187"/>
      <c r="E1" s="187" t="s">
        <v>59</v>
      </c>
      <c r="F1" s="187"/>
      <c r="G1" s="185" t="s">
        <v>4</v>
      </c>
      <c r="H1" s="186"/>
      <c r="I1" s="185" t="s">
        <v>5</v>
      </c>
      <c r="J1" s="186"/>
      <c r="K1" s="187" t="s">
        <v>60</v>
      </c>
      <c r="L1" s="187"/>
      <c r="M1" s="190" t="s">
        <v>61</v>
      </c>
      <c r="N1" s="186"/>
      <c r="O1" s="190" t="s">
        <v>7</v>
      </c>
      <c r="P1" s="186"/>
      <c r="Q1" s="183" t="s">
        <v>8</v>
      </c>
      <c r="R1" s="188" t="s">
        <v>9</v>
      </c>
    </row>
    <row r="2" spans="1:18" x14ac:dyDescent="0.2">
      <c r="A2" s="187"/>
      <c r="B2" s="187"/>
      <c r="C2" s="45" t="s">
        <v>62</v>
      </c>
      <c r="D2" s="45" t="s">
        <v>63</v>
      </c>
      <c r="E2" s="45" t="s">
        <v>62</v>
      </c>
      <c r="F2" s="45" t="s">
        <v>63</v>
      </c>
      <c r="G2" s="45" t="s">
        <v>62</v>
      </c>
      <c r="H2" s="45" t="s">
        <v>63</v>
      </c>
      <c r="I2" s="45" t="s">
        <v>62</v>
      </c>
      <c r="J2" s="45" t="s">
        <v>63</v>
      </c>
      <c r="K2" s="45" t="s">
        <v>62</v>
      </c>
      <c r="L2" s="45" t="s">
        <v>63</v>
      </c>
      <c r="M2" s="45" t="s">
        <v>62</v>
      </c>
      <c r="N2" s="45" t="s">
        <v>63</v>
      </c>
      <c r="O2" s="45" t="s">
        <v>62</v>
      </c>
      <c r="P2" s="45" t="s">
        <v>63</v>
      </c>
      <c r="Q2" s="184"/>
      <c r="R2" s="189"/>
    </row>
    <row r="3" spans="1:18" ht="46.5" customHeight="1" x14ac:dyDescent="0.2">
      <c r="A3" s="1" t="s">
        <v>14</v>
      </c>
      <c r="B3" s="1" t="s">
        <v>11</v>
      </c>
      <c r="C3" s="1">
        <v>2</v>
      </c>
      <c r="D3" s="1">
        <v>2</v>
      </c>
      <c r="E3" s="1">
        <v>2</v>
      </c>
      <c r="F3" s="1">
        <v>1</v>
      </c>
      <c r="G3" s="1">
        <f t="shared" ref="G3:H18" si="0">(2*20)*5</f>
        <v>200</v>
      </c>
      <c r="H3" s="54">
        <f t="shared" si="0"/>
        <v>200</v>
      </c>
      <c r="I3" s="1">
        <v>100</v>
      </c>
      <c r="J3" s="1">
        <v>50</v>
      </c>
      <c r="K3" s="1">
        <v>112</v>
      </c>
      <c r="L3" s="1">
        <v>54</v>
      </c>
      <c r="M3" s="46">
        <v>0.94</v>
      </c>
      <c r="N3" s="1" t="s">
        <v>64</v>
      </c>
      <c r="O3" s="1">
        <f t="shared" ref="O3:O12" si="1">I3-K3</f>
        <v>-12</v>
      </c>
      <c r="P3" s="1">
        <f t="shared" ref="P3:P12" si="2">J3-L3</f>
        <v>-4</v>
      </c>
      <c r="Q3" s="1" t="s">
        <v>16</v>
      </c>
      <c r="R3" s="43" t="s">
        <v>65</v>
      </c>
    </row>
    <row r="4" spans="1:18" ht="16" x14ac:dyDescent="0.2">
      <c r="A4" s="1" t="s">
        <v>18</v>
      </c>
      <c r="B4" s="1" t="s">
        <v>15</v>
      </c>
      <c r="C4" s="1">
        <v>2</v>
      </c>
      <c r="D4" s="1">
        <v>2</v>
      </c>
      <c r="E4" s="1">
        <v>4</v>
      </c>
      <c r="F4" s="1">
        <v>2</v>
      </c>
      <c r="G4" s="23">
        <f t="shared" si="0"/>
        <v>200</v>
      </c>
      <c r="H4" s="23">
        <f t="shared" si="0"/>
        <v>200</v>
      </c>
      <c r="I4" s="1">
        <v>360</v>
      </c>
      <c r="J4" s="1">
        <v>110</v>
      </c>
      <c r="K4" s="1">
        <v>311</v>
      </c>
      <c r="L4" s="1">
        <v>116</v>
      </c>
      <c r="M4" s="46">
        <v>0.94</v>
      </c>
      <c r="N4" s="1" t="s">
        <v>64</v>
      </c>
      <c r="O4" s="1">
        <f t="shared" si="1"/>
        <v>49</v>
      </c>
      <c r="P4" s="1">
        <f t="shared" si="2"/>
        <v>-6</v>
      </c>
      <c r="Q4" s="1" t="s">
        <v>20</v>
      </c>
      <c r="R4" s="43" t="s">
        <v>66</v>
      </c>
    </row>
    <row r="5" spans="1:18" ht="32" x14ac:dyDescent="0.2">
      <c r="A5" s="1" t="s">
        <v>22</v>
      </c>
      <c r="B5" s="1" t="s">
        <v>19</v>
      </c>
      <c r="C5" s="1">
        <v>2</v>
      </c>
      <c r="D5" s="1">
        <v>2</v>
      </c>
      <c r="E5" s="1">
        <v>4.8333000000000004</v>
      </c>
      <c r="F5" s="21">
        <v>2</v>
      </c>
      <c r="G5" s="62">
        <f t="shared" si="0"/>
        <v>200</v>
      </c>
      <c r="H5" s="62">
        <f t="shared" si="0"/>
        <v>200</v>
      </c>
      <c r="I5" s="22">
        <v>393</v>
      </c>
      <c r="J5" s="1">
        <v>155</v>
      </c>
      <c r="K5" s="1">
        <v>344</v>
      </c>
      <c r="L5" s="1">
        <v>150</v>
      </c>
      <c r="M5" s="46">
        <v>0.95</v>
      </c>
      <c r="N5" s="1" t="s">
        <v>64</v>
      </c>
      <c r="O5" s="1">
        <f t="shared" si="1"/>
        <v>49</v>
      </c>
      <c r="P5" s="1">
        <f t="shared" si="2"/>
        <v>5</v>
      </c>
      <c r="Q5" s="1" t="s">
        <v>16</v>
      </c>
      <c r="R5" s="43" t="s">
        <v>67</v>
      </c>
    </row>
    <row r="6" spans="1:18" ht="48" x14ac:dyDescent="0.2">
      <c r="A6" s="1" t="s">
        <v>25</v>
      </c>
      <c r="B6" s="1" t="s">
        <v>23</v>
      </c>
      <c r="C6" s="1">
        <v>2</v>
      </c>
      <c r="D6" s="1">
        <v>2</v>
      </c>
      <c r="E6" s="1">
        <v>2.6659999999999999</v>
      </c>
      <c r="F6" s="1">
        <v>2</v>
      </c>
      <c r="G6" s="64">
        <f t="shared" si="0"/>
        <v>200</v>
      </c>
      <c r="H6" s="62">
        <f t="shared" si="0"/>
        <v>200</v>
      </c>
      <c r="I6" s="1">
        <v>320</v>
      </c>
      <c r="J6" s="1">
        <v>190</v>
      </c>
      <c r="K6" s="1">
        <v>229</v>
      </c>
      <c r="L6" s="1">
        <v>157</v>
      </c>
      <c r="M6" s="46">
        <v>0.96</v>
      </c>
      <c r="N6" s="1"/>
      <c r="O6" s="1">
        <f t="shared" si="1"/>
        <v>91</v>
      </c>
      <c r="P6" s="1">
        <f t="shared" si="2"/>
        <v>33</v>
      </c>
      <c r="Q6" s="1" t="s">
        <v>20</v>
      </c>
      <c r="R6" s="2" t="s">
        <v>68</v>
      </c>
    </row>
    <row r="7" spans="1:18" ht="80" x14ac:dyDescent="0.2">
      <c r="A7" s="1" t="s">
        <v>28</v>
      </c>
      <c r="B7" s="1" t="s">
        <v>26</v>
      </c>
      <c r="C7" s="1">
        <v>2</v>
      </c>
      <c r="D7" s="1">
        <v>2</v>
      </c>
      <c r="E7" s="1">
        <v>2.4</v>
      </c>
      <c r="F7" s="21">
        <v>2</v>
      </c>
      <c r="G7" s="62">
        <f t="shared" si="0"/>
        <v>200</v>
      </c>
      <c r="H7" s="54">
        <f t="shared" si="0"/>
        <v>200</v>
      </c>
      <c r="I7" s="1">
        <v>181</v>
      </c>
      <c r="J7" s="1">
        <v>100</v>
      </c>
      <c r="K7" s="1">
        <v>173</v>
      </c>
      <c r="L7" s="1">
        <v>95</v>
      </c>
      <c r="M7" s="46">
        <v>0.96</v>
      </c>
      <c r="N7" s="1"/>
      <c r="O7" s="1">
        <f t="shared" si="1"/>
        <v>8</v>
      </c>
      <c r="P7" s="1">
        <f t="shared" si="2"/>
        <v>5</v>
      </c>
      <c r="Q7" s="1" t="s">
        <v>16</v>
      </c>
      <c r="R7" s="43" t="s">
        <v>69</v>
      </c>
    </row>
    <row r="8" spans="1:18" ht="80" x14ac:dyDescent="0.2">
      <c r="A8" s="1" t="s">
        <v>31</v>
      </c>
      <c r="B8" s="1" t="s">
        <v>29</v>
      </c>
      <c r="C8" s="1">
        <v>2</v>
      </c>
      <c r="D8" s="1">
        <v>2</v>
      </c>
      <c r="E8" s="1">
        <v>1.8</v>
      </c>
      <c r="F8" s="1">
        <v>2</v>
      </c>
      <c r="G8" s="66">
        <f t="shared" si="0"/>
        <v>200</v>
      </c>
      <c r="H8" s="65">
        <f t="shared" si="0"/>
        <v>200</v>
      </c>
      <c r="I8" s="22">
        <v>169</v>
      </c>
      <c r="J8" s="1">
        <v>160</v>
      </c>
      <c r="K8" s="1">
        <v>169</v>
      </c>
      <c r="L8" s="1">
        <v>160</v>
      </c>
      <c r="M8" s="46">
        <v>0.97</v>
      </c>
      <c r="N8" s="1"/>
      <c r="O8" s="1">
        <f t="shared" si="1"/>
        <v>0</v>
      </c>
      <c r="P8" s="1">
        <f t="shared" si="2"/>
        <v>0</v>
      </c>
      <c r="Q8" s="1" t="s">
        <v>12</v>
      </c>
      <c r="R8" s="2" t="s">
        <v>70</v>
      </c>
    </row>
    <row r="9" spans="1:18" ht="80" x14ac:dyDescent="0.2">
      <c r="A9" s="1" t="s">
        <v>34</v>
      </c>
      <c r="B9" s="1" t="s">
        <v>32</v>
      </c>
      <c r="C9" s="1">
        <v>2</v>
      </c>
      <c r="D9" s="1">
        <v>2</v>
      </c>
      <c r="E9" s="1">
        <v>2</v>
      </c>
      <c r="F9" s="1">
        <v>2</v>
      </c>
      <c r="G9" s="66">
        <f t="shared" si="0"/>
        <v>200</v>
      </c>
      <c r="H9" s="65">
        <f t="shared" si="0"/>
        <v>200</v>
      </c>
      <c r="I9" s="1">
        <v>121</v>
      </c>
      <c r="J9" s="1">
        <v>68</v>
      </c>
      <c r="K9" s="1">
        <v>115</v>
      </c>
      <c r="L9" s="1">
        <v>56</v>
      </c>
      <c r="M9" s="46">
        <v>0.97</v>
      </c>
      <c r="N9" s="1"/>
      <c r="O9" s="1">
        <f t="shared" si="1"/>
        <v>6</v>
      </c>
      <c r="P9" s="1">
        <f t="shared" si="2"/>
        <v>12</v>
      </c>
      <c r="Q9" s="1" t="s">
        <v>16</v>
      </c>
      <c r="R9" s="101" t="s">
        <v>71</v>
      </c>
    </row>
    <row r="10" spans="1:18" ht="48" x14ac:dyDescent="0.2">
      <c r="A10" s="1" t="s">
        <v>37</v>
      </c>
      <c r="B10" s="1" t="s">
        <v>35</v>
      </c>
      <c r="C10" s="1">
        <v>2</v>
      </c>
      <c r="D10" s="1">
        <v>2</v>
      </c>
      <c r="E10" s="1">
        <v>2</v>
      </c>
      <c r="F10" s="1">
        <v>2</v>
      </c>
      <c r="G10" s="66">
        <f t="shared" si="0"/>
        <v>200</v>
      </c>
      <c r="H10" s="65">
        <f t="shared" si="0"/>
        <v>200</v>
      </c>
      <c r="I10" s="1">
        <v>115</v>
      </c>
      <c r="J10" s="1">
        <v>200</v>
      </c>
      <c r="K10" s="1">
        <v>115</v>
      </c>
      <c r="L10" s="1">
        <v>196</v>
      </c>
      <c r="M10" s="46">
        <v>0.97</v>
      </c>
      <c r="N10" s="1"/>
      <c r="O10" s="1">
        <f t="shared" si="1"/>
        <v>0</v>
      </c>
      <c r="P10" s="1">
        <f t="shared" si="2"/>
        <v>4</v>
      </c>
      <c r="Q10" s="32" t="s">
        <v>16</v>
      </c>
      <c r="R10" s="100" t="s">
        <v>72</v>
      </c>
    </row>
    <row r="11" spans="1:18" ht="32" x14ac:dyDescent="0.2">
      <c r="A11" s="1" t="s">
        <v>73</v>
      </c>
      <c r="B11" s="1" t="s">
        <v>38</v>
      </c>
      <c r="C11" s="1">
        <v>2</v>
      </c>
      <c r="D11" s="1">
        <v>2</v>
      </c>
      <c r="E11" s="1">
        <v>2</v>
      </c>
      <c r="F11" s="1">
        <v>2</v>
      </c>
      <c r="G11" s="66">
        <f t="shared" si="0"/>
        <v>200</v>
      </c>
      <c r="H11" s="65">
        <f t="shared" si="0"/>
        <v>200</v>
      </c>
      <c r="I11" s="1">
        <v>120</v>
      </c>
      <c r="J11" s="1">
        <v>200</v>
      </c>
      <c r="K11" s="1">
        <v>117</v>
      </c>
      <c r="L11" s="1">
        <v>190</v>
      </c>
      <c r="M11" s="46">
        <v>0.97</v>
      </c>
      <c r="N11" s="1"/>
      <c r="O11" s="1">
        <f t="shared" si="1"/>
        <v>3</v>
      </c>
      <c r="P11" s="21">
        <f t="shared" si="2"/>
        <v>10</v>
      </c>
      <c r="Q11" s="25" t="s">
        <v>16</v>
      </c>
      <c r="R11" s="104" t="s">
        <v>74</v>
      </c>
    </row>
    <row r="12" spans="1:18" x14ac:dyDescent="0.2">
      <c r="A12" s="112" t="s">
        <v>40</v>
      </c>
      <c r="B12" s="113" t="s">
        <v>75</v>
      </c>
      <c r="C12" s="23">
        <v>2</v>
      </c>
      <c r="D12" s="23">
        <v>2</v>
      </c>
      <c r="E12" s="23">
        <v>2</v>
      </c>
      <c r="F12" s="23">
        <v>2</v>
      </c>
      <c r="G12" s="114">
        <f t="shared" si="0"/>
        <v>200</v>
      </c>
      <c r="H12" s="115">
        <f t="shared" si="0"/>
        <v>200</v>
      </c>
      <c r="I12" s="23">
        <v>120</v>
      </c>
      <c r="J12" s="23">
        <v>180</v>
      </c>
      <c r="K12" s="23">
        <v>128</v>
      </c>
      <c r="L12" s="23">
        <v>179</v>
      </c>
      <c r="M12" s="116">
        <v>0.97</v>
      </c>
      <c r="N12" s="23"/>
      <c r="O12" s="23">
        <f t="shared" si="1"/>
        <v>-8</v>
      </c>
      <c r="P12" s="32">
        <f t="shared" si="2"/>
        <v>1</v>
      </c>
      <c r="Q12" s="1" t="s">
        <v>12</v>
      </c>
      <c r="R12" s="121"/>
    </row>
    <row r="13" spans="1:18" ht="48" x14ac:dyDescent="0.2">
      <c r="A13" s="25" t="s">
        <v>43</v>
      </c>
      <c r="B13" s="110" t="s">
        <v>76</v>
      </c>
      <c r="C13" s="25">
        <v>2</v>
      </c>
      <c r="D13" s="25">
        <v>2</v>
      </c>
      <c r="E13" s="25">
        <v>2</v>
      </c>
      <c r="F13" s="25">
        <v>2.2000000000000002</v>
      </c>
      <c r="G13" s="114">
        <f t="shared" si="0"/>
        <v>200</v>
      </c>
      <c r="H13" s="115">
        <f t="shared" si="0"/>
        <v>200</v>
      </c>
      <c r="I13" s="25">
        <v>102</v>
      </c>
      <c r="J13" s="25">
        <v>165</v>
      </c>
      <c r="K13" s="25">
        <v>102</v>
      </c>
      <c r="L13" s="25">
        <v>167</v>
      </c>
      <c r="M13" s="111">
        <v>0.97</v>
      </c>
      <c r="N13" s="25"/>
      <c r="O13" s="23">
        <f t="shared" ref="O13:O14" si="3">I13-K13</f>
        <v>0</v>
      </c>
      <c r="P13" s="32">
        <f t="shared" ref="P13:P14" si="4">J13-L13</f>
        <v>-2</v>
      </c>
      <c r="Q13" s="120" t="s">
        <v>12</v>
      </c>
      <c r="R13" s="119" t="s">
        <v>72</v>
      </c>
    </row>
    <row r="14" spans="1:18" ht="64" x14ac:dyDescent="0.2">
      <c r="A14" s="25" t="s">
        <v>46</v>
      </c>
      <c r="B14" s="110" t="s">
        <v>77</v>
      </c>
      <c r="C14" s="25">
        <v>2</v>
      </c>
      <c r="D14" s="25">
        <v>2</v>
      </c>
      <c r="E14" s="25">
        <v>2</v>
      </c>
      <c r="F14" s="25">
        <v>1</v>
      </c>
      <c r="G14" s="114">
        <f t="shared" si="0"/>
        <v>200</v>
      </c>
      <c r="H14" s="115">
        <f t="shared" si="0"/>
        <v>200</v>
      </c>
      <c r="I14" s="25">
        <v>137</v>
      </c>
      <c r="J14" s="25">
        <v>80</v>
      </c>
      <c r="K14" s="25">
        <v>119</v>
      </c>
      <c r="L14" s="25">
        <v>80</v>
      </c>
      <c r="M14" s="111">
        <v>0.97</v>
      </c>
      <c r="N14" s="31"/>
      <c r="O14" s="25">
        <f t="shared" si="3"/>
        <v>18</v>
      </c>
      <c r="P14" s="25">
        <f t="shared" si="4"/>
        <v>0</v>
      </c>
      <c r="Q14" s="25" t="s">
        <v>16</v>
      </c>
      <c r="R14" s="119" t="s">
        <v>78</v>
      </c>
    </row>
    <row r="15" spans="1:18" ht="16" x14ac:dyDescent="0.2">
      <c r="A15" s="25" t="s">
        <v>49</v>
      </c>
      <c r="B15" s="110" t="s">
        <v>79</v>
      </c>
      <c r="C15" s="25">
        <v>1</v>
      </c>
      <c r="D15" s="25">
        <v>2</v>
      </c>
      <c r="E15" s="25">
        <v>1</v>
      </c>
      <c r="F15" s="25">
        <v>2</v>
      </c>
      <c r="G15" s="114">
        <f t="shared" si="0"/>
        <v>200</v>
      </c>
      <c r="H15" s="115">
        <f t="shared" si="0"/>
        <v>200</v>
      </c>
      <c r="I15" s="25">
        <v>80</v>
      </c>
      <c r="J15" s="25">
        <v>160</v>
      </c>
      <c r="K15" s="25">
        <v>80</v>
      </c>
      <c r="L15" s="25">
        <v>160</v>
      </c>
      <c r="M15" s="111">
        <v>0.97</v>
      </c>
      <c r="N15" s="31"/>
      <c r="O15" s="25">
        <f t="shared" ref="O15:P18" si="5">I15-K15</f>
        <v>0</v>
      </c>
      <c r="P15" s="25">
        <f t="shared" si="5"/>
        <v>0</v>
      </c>
      <c r="Q15" s="1" t="s">
        <v>12</v>
      </c>
      <c r="R15" s="153" t="s">
        <v>80</v>
      </c>
    </row>
    <row r="16" spans="1:18" x14ac:dyDescent="0.2">
      <c r="A16" s="39" t="s">
        <v>52</v>
      </c>
      <c r="B16" s="150" t="s">
        <v>81</v>
      </c>
      <c r="C16" s="39">
        <v>2</v>
      </c>
      <c r="D16" s="39">
        <v>2</v>
      </c>
      <c r="E16" s="39">
        <v>2</v>
      </c>
      <c r="F16" s="39">
        <v>2</v>
      </c>
      <c r="G16" s="114">
        <f t="shared" si="0"/>
        <v>200</v>
      </c>
      <c r="H16" s="115">
        <f t="shared" si="0"/>
        <v>200</v>
      </c>
      <c r="I16" s="39">
        <v>183</v>
      </c>
      <c r="J16" s="39">
        <v>200</v>
      </c>
      <c r="K16" s="39">
        <v>183</v>
      </c>
      <c r="L16" s="39">
        <v>200</v>
      </c>
      <c r="M16" s="151">
        <v>0.97</v>
      </c>
      <c r="N16" s="40"/>
      <c r="O16" s="39">
        <f t="shared" si="5"/>
        <v>0</v>
      </c>
      <c r="P16" s="39">
        <f t="shared" si="5"/>
        <v>0</v>
      </c>
      <c r="Q16" s="32" t="s">
        <v>12</v>
      </c>
      <c r="R16" s="152" t="s">
        <v>82</v>
      </c>
    </row>
    <row r="17" spans="1:18" ht="32" x14ac:dyDescent="0.2">
      <c r="A17" s="25" t="s">
        <v>55</v>
      </c>
      <c r="B17" s="155" t="s">
        <v>83</v>
      </c>
      <c r="C17" s="25">
        <v>2</v>
      </c>
      <c r="D17" s="25">
        <v>2</v>
      </c>
      <c r="E17" s="25">
        <v>2</v>
      </c>
      <c r="F17" s="25">
        <v>2</v>
      </c>
      <c r="G17" s="65">
        <f t="shared" si="0"/>
        <v>200</v>
      </c>
      <c r="H17" s="65">
        <f t="shared" si="0"/>
        <v>200</v>
      </c>
      <c r="I17" s="25">
        <v>80</v>
      </c>
      <c r="J17" s="25">
        <v>200</v>
      </c>
      <c r="K17" s="25">
        <v>80</v>
      </c>
      <c r="L17" s="25">
        <v>203</v>
      </c>
      <c r="M17" s="111">
        <v>0.97</v>
      </c>
      <c r="N17" s="149"/>
      <c r="O17" s="39">
        <f t="shared" si="5"/>
        <v>0</v>
      </c>
      <c r="P17" s="39">
        <f t="shared" si="5"/>
        <v>-3</v>
      </c>
      <c r="Q17" s="23" t="s">
        <v>12</v>
      </c>
      <c r="R17" s="154" t="s">
        <v>84</v>
      </c>
    </row>
    <row r="18" spans="1:18" ht="32" x14ac:dyDescent="0.2">
      <c r="A18" s="25" t="s">
        <v>85</v>
      </c>
      <c r="B18" s="155" t="s">
        <v>86</v>
      </c>
      <c r="C18" s="25">
        <v>2</v>
      </c>
      <c r="D18" s="25">
        <v>2</v>
      </c>
      <c r="E18" s="25">
        <v>1.67</v>
      </c>
      <c r="F18" s="25">
        <v>2</v>
      </c>
      <c r="G18" s="65">
        <f t="shared" si="0"/>
        <v>200</v>
      </c>
      <c r="H18" s="65">
        <f t="shared" si="0"/>
        <v>200</v>
      </c>
      <c r="I18" s="25">
        <v>100</v>
      </c>
      <c r="J18" s="25">
        <v>200</v>
      </c>
      <c r="K18" s="25">
        <v>98</v>
      </c>
      <c r="L18" s="25">
        <v>168</v>
      </c>
      <c r="M18" s="111">
        <v>0.97</v>
      </c>
      <c r="N18" s="149"/>
      <c r="O18" s="39">
        <f t="shared" si="5"/>
        <v>2</v>
      </c>
      <c r="P18" s="39">
        <f t="shared" si="5"/>
        <v>32</v>
      </c>
      <c r="Q18" s="25" t="s">
        <v>16</v>
      </c>
      <c r="R18" s="154" t="s">
        <v>87</v>
      </c>
    </row>
    <row r="19" spans="1:18" x14ac:dyDescent="0.2">
      <c r="G19" s="117">
        <f>SUM(G3:G15)</f>
        <v>2600</v>
      </c>
      <c r="H19" s="117">
        <f t="shared" ref="H19:L19" si="6">SUM(H3:H15)</f>
        <v>2600</v>
      </c>
      <c r="I19" s="117">
        <f t="shared" si="6"/>
        <v>2318</v>
      </c>
      <c r="J19" s="117">
        <f t="shared" si="6"/>
        <v>1818</v>
      </c>
      <c r="K19" s="117">
        <f t="shared" si="6"/>
        <v>2114</v>
      </c>
      <c r="L19" s="117">
        <f t="shared" si="6"/>
        <v>1760</v>
      </c>
      <c r="O19" s="117">
        <f t="shared" ref="O19:P19" si="7">SUM(O3:O15)</f>
        <v>204</v>
      </c>
      <c r="P19" s="117">
        <f t="shared" si="7"/>
        <v>58</v>
      </c>
    </row>
    <row r="20" spans="1:18" x14ac:dyDescent="0.2">
      <c r="A20" s="26"/>
      <c r="B20" s="145"/>
      <c r="C20" s="26"/>
      <c r="D20" s="26"/>
      <c r="E20" s="26"/>
      <c r="F20" s="26"/>
      <c r="G20" s="146"/>
      <c r="H20" s="146"/>
      <c r="I20" s="26"/>
      <c r="J20" s="26"/>
      <c r="K20" s="26"/>
      <c r="L20" s="26"/>
      <c r="M20" s="147"/>
      <c r="N20" s="26"/>
      <c r="O20" s="26"/>
      <c r="P20" s="26"/>
      <c r="Q20" s="26"/>
      <c r="R20" s="148"/>
    </row>
  </sheetData>
  <mergeCells count="11">
    <mergeCell ref="Q1:Q2"/>
    <mergeCell ref="I1:J1"/>
    <mergeCell ref="K1:L1"/>
    <mergeCell ref="R1:R2"/>
    <mergeCell ref="A1:A2"/>
    <mergeCell ref="B1:B2"/>
    <mergeCell ref="E1:F1"/>
    <mergeCell ref="G1:H1"/>
    <mergeCell ref="C1:D1"/>
    <mergeCell ref="M1:N1"/>
    <mergeCell ref="O1:P1"/>
  </mergeCells>
  <conditionalFormatting sqref="O3:P6">
    <cfRule type="cellIs" dxfId="41" priority="45" operator="equal">
      <formula>0</formula>
    </cfRule>
    <cfRule type="cellIs" dxfId="40" priority="46" operator="lessThan">
      <formula>$H$3</formula>
    </cfRule>
  </conditionalFormatting>
  <conditionalFormatting sqref="Q3 Q20 Q15:Q17">
    <cfRule type="containsText" dxfId="39" priority="41" operator="containsText" text="High Risk">
      <formula>NOT(ISERROR(SEARCH("High Risk",Q3)))</formula>
    </cfRule>
    <cfRule type="containsText" dxfId="38" priority="42" operator="containsText" text="Risk">
      <formula>NOT(ISERROR(SEARCH("Risk",Q3)))</formula>
    </cfRule>
    <cfRule type="containsText" dxfId="37" priority="43" operator="containsText" text="Moderate">
      <formula>NOT(ISERROR(SEARCH("Moderate",Q3)))</formula>
    </cfRule>
    <cfRule type="containsText" dxfId="36" priority="44" operator="containsText" text="On track">
      <formula>NOT(ISERROR(SEARCH("On track",Q3)))</formula>
    </cfRule>
  </conditionalFormatting>
  <conditionalFormatting sqref="Q4">
    <cfRule type="containsText" dxfId="35" priority="37" operator="containsText" text="High Risk">
      <formula>NOT(ISERROR(SEARCH("High Risk",Q4)))</formula>
    </cfRule>
    <cfRule type="containsText" dxfId="34" priority="38" operator="containsText" text="Risk">
      <formula>NOT(ISERROR(SEARCH("Risk",Q4)))</formula>
    </cfRule>
    <cfRule type="containsText" dxfId="33" priority="39" operator="containsText" text="Moderate">
      <formula>NOT(ISERROR(SEARCH("Moderate",Q4)))</formula>
    </cfRule>
    <cfRule type="containsText" dxfId="32" priority="40" operator="containsText" text="On track">
      <formula>NOT(ISERROR(SEARCH("On track",Q4)))</formula>
    </cfRule>
  </conditionalFormatting>
  <conditionalFormatting sqref="Q5">
    <cfRule type="containsText" dxfId="31" priority="33" operator="containsText" text="High Risk">
      <formula>NOT(ISERROR(SEARCH("High Risk",Q5)))</formula>
    </cfRule>
    <cfRule type="containsText" dxfId="30" priority="34" operator="containsText" text="Risk">
      <formula>NOT(ISERROR(SEARCH("Risk",Q5)))</formula>
    </cfRule>
    <cfRule type="containsText" dxfId="29" priority="35" operator="containsText" text="Moderate">
      <formula>NOT(ISERROR(SEARCH("Moderate",Q5)))</formula>
    </cfRule>
    <cfRule type="containsText" dxfId="28" priority="36" operator="containsText" text="On track">
      <formula>NOT(ISERROR(SEARCH("On track",Q5)))</formula>
    </cfRule>
  </conditionalFormatting>
  <conditionalFormatting sqref="Q6">
    <cfRule type="containsText" dxfId="27" priority="29" operator="containsText" text="High Risk">
      <formula>NOT(ISERROR(SEARCH("High Risk",Q6)))</formula>
    </cfRule>
    <cfRule type="containsText" dxfId="26" priority="30" operator="containsText" text="Risk">
      <formula>NOT(ISERROR(SEARCH("Risk",Q6)))</formula>
    </cfRule>
    <cfRule type="containsText" dxfId="25" priority="31" operator="containsText" text="Moderate">
      <formula>NOT(ISERROR(SEARCH("Moderate",Q6)))</formula>
    </cfRule>
    <cfRule type="containsText" dxfId="24" priority="32" operator="containsText" text="On track">
      <formula>NOT(ISERROR(SEARCH("On track",Q6)))</formula>
    </cfRule>
  </conditionalFormatting>
  <conditionalFormatting sqref="Q7">
    <cfRule type="containsText" dxfId="23" priority="25" operator="containsText" text="High Risk">
      <formula>NOT(ISERROR(SEARCH("High Risk",Q7)))</formula>
    </cfRule>
    <cfRule type="containsText" dxfId="22" priority="26" operator="containsText" text="Risk">
      <formula>NOT(ISERROR(SEARCH("Risk",Q7)))</formula>
    </cfRule>
    <cfRule type="containsText" dxfId="21" priority="27" operator="containsText" text="Moderate">
      <formula>NOT(ISERROR(SEARCH("Moderate",Q7)))</formula>
    </cfRule>
    <cfRule type="containsText" dxfId="20" priority="28" operator="containsText" text="On track">
      <formula>NOT(ISERROR(SEARCH("On track",Q7)))</formula>
    </cfRule>
  </conditionalFormatting>
  <conditionalFormatting sqref="Q8">
    <cfRule type="containsText" dxfId="19" priority="21" operator="containsText" text="High Risk">
      <formula>NOT(ISERROR(SEARCH("High Risk",Q8)))</formula>
    </cfRule>
    <cfRule type="containsText" dxfId="18" priority="22" operator="containsText" text="Risk">
      <formula>NOT(ISERROR(SEARCH("Risk",Q8)))</formula>
    </cfRule>
    <cfRule type="containsText" dxfId="17" priority="23" operator="containsText" text="Moderate">
      <formula>NOT(ISERROR(SEARCH("Moderate",Q8)))</formula>
    </cfRule>
    <cfRule type="containsText" dxfId="16" priority="24" operator="containsText" text="On track">
      <formula>NOT(ISERROR(SEARCH("On track",Q8)))</formula>
    </cfRule>
  </conditionalFormatting>
  <conditionalFormatting sqref="Q9:Q11">
    <cfRule type="containsText" dxfId="15" priority="17" operator="containsText" text="High Risk">
      <formula>NOT(ISERROR(SEARCH("High Risk",Q9)))</formula>
    </cfRule>
    <cfRule type="containsText" dxfId="14" priority="18" operator="containsText" text="Risk">
      <formula>NOT(ISERROR(SEARCH("Risk",Q9)))</formula>
    </cfRule>
    <cfRule type="containsText" dxfId="13" priority="19" operator="containsText" text="Moderate">
      <formula>NOT(ISERROR(SEARCH("Moderate",Q9)))</formula>
    </cfRule>
    <cfRule type="containsText" dxfId="12" priority="20" operator="containsText" text="On track">
      <formula>NOT(ISERROR(SEARCH("On track",Q9)))</formula>
    </cfRule>
  </conditionalFormatting>
  <conditionalFormatting sqref="Q12:Q13">
    <cfRule type="containsText" dxfId="11" priority="13" operator="containsText" text="High Risk">
      <formula>NOT(ISERROR(SEARCH("High Risk",Q12)))</formula>
    </cfRule>
    <cfRule type="containsText" dxfId="10" priority="14" operator="containsText" text="Risk">
      <formula>NOT(ISERROR(SEARCH("Risk",Q12)))</formula>
    </cfRule>
    <cfRule type="containsText" dxfId="9" priority="15" operator="containsText" text="Moderate">
      <formula>NOT(ISERROR(SEARCH("Moderate",Q12)))</formula>
    </cfRule>
    <cfRule type="containsText" dxfId="8" priority="16" operator="containsText" text="On track">
      <formula>NOT(ISERROR(SEARCH("On track",Q12)))</formula>
    </cfRule>
  </conditionalFormatting>
  <conditionalFormatting sqref="Q14">
    <cfRule type="containsText" dxfId="7" priority="9" operator="containsText" text="High Risk">
      <formula>NOT(ISERROR(SEARCH("High Risk",Q14)))</formula>
    </cfRule>
    <cfRule type="containsText" dxfId="6" priority="10" operator="containsText" text="Risk">
      <formula>NOT(ISERROR(SEARCH("Risk",Q14)))</formula>
    </cfRule>
    <cfRule type="containsText" dxfId="5" priority="11" operator="containsText" text="Moderate">
      <formula>NOT(ISERROR(SEARCH("Moderate",Q14)))</formula>
    </cfRule>
    <cfRule type="containsText" dxfId="4" priority="12" operator="containsText" text="On track">
      <formula>NOT(ISERROR(SEARCH("On track",Q14)))</formula>
    </cfRule>
  </conditionalFormatting>
  <conditionalFormatting sqref="Q18">
    <cfRule type="containsText" dxfId="3" priority="1" operator="containsText" text="High Risk">
      <formula>NOT(ISERROR(SEARCH("High Risk",Q18)))</formula>
    </cfRule>
    <cfRule type="containsText" dxfId="2" priority="2" operator="containsText" text="Risk">
      <formula>NOT(ISERROR(SEARCH("Risk",Q18)))</formula>
    </cfRule>
    <cfRule type="containsText" dxfId="1" priority="3" operator="containsText" text="Moderate">
      <formula>NOT(ISERROR(SEARCH("Moderate",Q18)))</formula>
    </cfRule>
    <cfRule type="containsText" dxfId="0" priority="4" operator="containsText" text="On track">
      <formula>NOT(ISERROR(SEARCH("On track",Q18)))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81832-6B26-48C2-8662-B5C2948BB540}">
  <sheetPr codeName="Sheet3"/>
  <dimension ref="A1:D15"/>
  <sheetViews>
    <sheetView tabSelected="1" workbookViewId="0">
      <selection activeCell="A6" sqref="A6:A15"/>
    </sheetView>
  </sheetViews>
  <sheetFormatPr baseColWidth="10" defaultColWidth="8.83203125" defaultRowHeight="15" x14ac:dyDescent="0.2"/>
  <cols>
    <col min="1" max="1" width="14" bestFit="1" customWidth="1"/>
    <col min="2" max="2" width="13.5" bestFit="1" customWidth="1"/>
  </cols>
  <sheetData>
    <row r="1" spans="1:4" ht="19" x14ac:dyDescent="0.25">
      <c r="A1" s="8" t="s">
        <v>88</v>
      </c>
      <c r="B1" s="9" t="s">
        <v>89</v>
      </c>
      <c r="C1" s="9" t="s">
        <v>90</v>
      </c>
    </row>
    <row r="2" spans="1:4" ht="19" x14ac:dyDescent="0.25">
      <c r="A2" s="10" t="s">
        <v>91</v>
      </c>
      <c r="B2" s="11" t="s">
        <v>63</v>
      </c>
      <c r="C2" s="11"/>
    </row>
    <row r="3" spans="1:4" ht="19" x14ac:dyDescent="0.25">
      <c r="A3" s="10" t="s">
        <v>92</v>
      </c>
      <c r="B3" s="11" t="s">
        <v>63</v>
      </c>
      <c r="C3" s="11"/>
    </row>
    <row r="4" spans="1:4" ht="19" x14ac:dyDescent="0.25">
      <c r="A4" s="10" t="s">
        <v>93</v>
      </c>
      <c r="B4" s="11" t="s">
        <v>62</v>
      </c>
      <c r="C4" s="11"/>
    </row>
    <row r="5" spans="1:4" ht="19" x14ac:dyDescent="0.25">
      <c r="A5" s="10" t="s">
        <v>94</v>
      </c>
      <c r="B5" s="11" t="s">
        <v>62</v>
      </c>
      <c r="C5" s="11"/>
    </row>
    <row r="6" spans="1:4" ht="19" x14ac:dyDescent="0.25">
      <c r="A6" s="10" t="s">
        <v>95</v>
      </c>
      <c r="B6" s="11" t="s">
        <v>96</v>
      </c>
      <c r="C6" s="11"/>
      <c r="D6">
        <v>6</v>
      </c>
    </row>
    <row r="7" spans="1:4" ht="19" x14ac:dyDescent="0.25">
      <c r="A7" s="10" t="s">
        <v>97</v>
      </c>
      <c r="B7" s="11" t="s">
        <v>96</v>
      </c>
      <c r="C7" s="11"/>
      <c r="D7">
        <v>6</v>
      </c>
    </row>
    <row r="8" spans="1:4" ht="19" x14ac:dyDescent="0.25">
      <c r="A8" s="10" t="s">
        <v>98</v>
      </c>
      <c r="B8" s="11" t="s">
        <v>96</v>
      </c>
      <c r="C8" s="11"/>
      <c r="D8">
        <v>6</v>
      </c>
    </row>
    <row r="9" spans="1:4" ht="19" x14ac:dyDescent="0.25">
      <c r="A9" s="10" t="s">
        <v>99</v>
      </c>
      <c r="B9" s="11" t="s">
        <v>96</v>
      </c>
      <c r="C9" s="11"/>
      <c r="D9">
        <v>6</v>
      </c>
    </row>
    <row r="10" spans="1:4" ht="19" x14ac:dyDescent="0.25">
      <c r="A10" s="10" t="s">
        <v>100</v>
      </c>
      <c r="B10" s="11" t="s">
        <v>96</v>
      </c>
      <c r="C10" s="11"/>
      <c r="D10">
        <v>6</v>
      </c>
    </row>
    <row r="11" spans="1:4" ht="19" x14ac:dyDescent="0.25">
      <c r="A11" s="10" t="s">
        <v>101</v>
      </c>
      <c r="B11" s="11" t="s">
        <v>96</v>
      </c>
      <c r="C11" s="11"/>
      <c r="D11">
        <v>6</v>
      </c>
    </row>
    <row r="12" spans="1:4" ht="19" x14ac:dyDescent="0.25">
      <c r="A12" s="10" t="s">
        <v>102</v>
      </c>
      <c r="B12" s="11" t="s">
        <v>96</v>
      </c>
      <c r="C12" s="11"/>
      <c r="D12">
        <v>4</v>
      </c>
    </row>
    <row r="13" spans="1:4" ht="19" x14ac:dyDescent="0.25">
      <c r="A13" s="10" t="s">
        <v>103</v>
      </c>
      <c r="B13" s="11" t="s">
        <v>96</v>
      </c>
      <c r="C13" s="11"/>
      <c r="D13">
        <v>4</v>
      </c>
    </row>
    <row r="14" spans="1:4" ht="19" x14ac:dyDescent="0.25">
      <c r="A14" s="10" t="s">
        <v>104</v>
      </c>
      <c r="B14" s="11" t="s">
        <v>96</v>
      </c>
      <c r="C14" s="11"/>
      <c r="D14">
        <v>4</v>
      </c>
    </row>
    <row r="15" spans="1:4" ht="19" x14ac:dyDescent="0.25">
      <c r="A15" s="10" t="s">
        <v>105</v>
      </c>
      <c r="B15" s="11" t="s">
        <v>96</v>
      </c>
      <c r="C15" s="11"/>
      <c r="D1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38D1F-97E0-477D-84C3-2456E1ED5FFE}">
  <sheetPr codeName="Sheet4"/>
  <dimension ref="A1:B4"/>
  <sheetViews>
    <sheetView workbookViewId="0">
      <selection activeCell="B8" sqref="B8"/>
    </sheetView>
  </sheetViews>
  <sheetFormatPr baseColWidth="10" defaultColWidth="8.83203125" defaultRowHeight="15" x14ac:dyDescent="0.2"/>
  <cols>
    <col min="1" max="1" width="9.6640625" bestFit="1" customWidth="1"/>
    <col min="2" max="2" width="21.83203125" bestFit="1" customWidth="1"/>
  </cols>
  <sheetData>
    <row r="1" spans="1:2" x14ac:dyDescent="0.2">
      <c r="A1" s="3" t="s">
        <v>12</v>
      </c>
      <c r="B1" t="s">
        <v>106</v>
      </c>
    </row>
    <row r="2" spans="1:2" x14ac:dyDescent="0.2">
      <c r="A2" s="7" t="s">
        <v>16</v>
      </c>
      <c r="B2" t="s">
        <v>107</v>
      </c>
    </row>
    <row r="3" spans="1:2" x14ac:dyDescent="0.2">
      <c r="A3" s="6" t="s">
        <v>108</v>
      </c>
      <c r="B3" t="s">
        <v>109</v>
      </c>
    </row>
    <row r="4" spans="1:2" x14ac:dyDescent="0.2">
      <c r="A4" s="4" t="s">
        <v>20</v>
      </c>
      <c r="B4" t="s">
        <v>110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D1D92-2F45-4231-8E8C-2F920198BBA9}">
  <sheetPr codeName="Sheet5"/>
  <dimension ref="A1:P202"/>
  <sheetViews>
    <sheetView workbookViewId="0">
      <pane ySplit="1" topLeftCell="A191" activePane="bottomLeft" state="frozen"/>
      <selection pane="bottomLeft" activeCell="P205" sqref="P205"/>
    </sheetView>
  </sheetViews>
  <sheetFormatPr baseColWidth="10" defaultColWidth="8.83203125" defaultRowHeight="15" x14ac:dyDescent="0.2"/>
  <cols>
    <col min="1" max="1" width="14.5" bestFit="1" customWidth="1"/>
    <col min="2" max="2" width="14.5" customWidth="1"/>
    <col min="3" max="3" width="15.5" bestFit="1" customWidth="1"/>
    <col min="12" max="12" width="14.1640625" bestFit="1" customWidth="1"/>
    <col min="13" max="13" width="18" customWidth="1"/>
    <col min="14" max="14" width="19.6640625" customWidth="1"/>
    <col min="15" max="15" width="12.5" customWidth="1"/>
    <col min="16" max="16" width="26" customWidth="1"/>
    <col min="18" max="18" width="11.33203125" bestFit="1" customWidth="1"/>
    <col min="20" max="20" width="11.6640625" customWidth="1"/>
    <col min="21" max="21" width="11.1640625" customWidth="1"/>
  </cols>
  <sheetData>
    <row r="1" spans="1:5" x14ac:dyDescent="0.2">
      <c r="A1" s="14" t="s">
        <v>111</v>
      </c>
      <c r="B1" s="14"/>
      <c r="C1" s="5" t="s">
        <v>112</v>
      </c>
      <c r="D1" s="13" t="s">
        <v>113</v>
      </c>
      <c r="E1" s="5" t="s">
        <v>114</v>
      </c>
    </row>
    <row r="2" spans="1:5" ht="22.5" customHeight="1" x14ac:dyDescent="0.2">
      <c r="A2" s="200" t="s">
        <v>10</v>
      </c>
      <c r="B2" s="30">
        <v>44865</v>
      </c>
      <c r="C2" s="22">
        <v>7</v>
      </c>
      <c r="D2" s="1">
        <f>(3*5)+(3*4)+(1*3)</f>
        <v>30</v>
      </c>
      <c r="E2" s="1">
        <v>45</v>
      </c>
    </row>
    <row r="3" spans="1:5" x14ac:dyDescent="0.2">
      <c r="A3" s="200"/>
      <c r="B3" s="30">
        <v>44866</v>
      </c>
      <c r="C3" s="22">
        <v>7</v>
      </c>
      <c r="D3" s="1">
        <f>(3*5)+(3*4)+(1*3)</f>
        <v>30</v>
      </c>
      <c r="E3" s="1">
        <v>33</v>
      </c>
    </row>
    <row r="4" spans="1:5" x14ac:dyDescent="0.2">
      <c r="A4" s="200"/>
      <c r="B4" s="30">
        <v>44867</v>
      </c>
      <c r="C4" s="22">
        <v>6</v>
      </c>
      <c r="D4" s="1">
        <f>(2*5)+(3*4)+(1*3)</f>
        <v>25</v>
      </c>
      <c r="E4" s="1">
        <v>30</v>
      </c>
    </row>
    <row r="5" spans="1:5" x14ac:dyDescent="0.2">
      <c r="A5" s="200"/>
      <c r="B5" s="30">
        <v>44868</v>
      </c>
      <c r="C5" s="22">
        <v>5</v>
      </c>
      <c r="D5" s="1">
        <f>(2*5)+(3*4)</f>
        <v>22</v>
      </c>
      <c r="E5" s="1">
        <v>25</v>
      </c>
    </row>
    <row r="6" spans="1:5" x14ac:dyDescent="0.2">
      <c r="A6" s="200"/>
      <c r="B6" s="30">
        <v>44869</v>
      </c>
      <c r="C6" s="22">
        <v>5</v>
      </c>
      <c r="D6" s="1">
        <f>(2*5)+(3*4)</f>
        <v>22</v>
      </c>
      <c r="E6" s="1">
        <v>29</v>
      </c>
    </row>
    <row r="7" spans="1:5" x14ac:dyDescent="0.2">
      <c r="A7" s="200"/>
      <c r="B7" s="30">
        <v>44870</v>
      </c>
      <c r="C7" s="29">
        <v>5</v>
      </c>
      <c r="D7" s="1"/>
      <c r="E7" s="23">
        <v>38</v>
      </c>
    </row>
    <row r="8" spans="1:5" x14ac:dyDescent="0.2">
      <c r="A8" s="200"/>
      <c r="B8" s="31"/>
      <c r="C8" s="35">
        <f>AVERAGE(C2:C7)</f>
        <v>5.833333333333333</v>
      </c>
      <c r="D8" s="36">
        <f>SUM(D2:D7)</f>
        <v>129</v>
      </c>
      <c r="E8" s="37">
        <f>SUM(E2:E7)</f>
        <v>200</v>
      </c>
    </row>
    <row r="9" spans="1:5" x14ac:dyDescent="0.2">
      <c r="A9" s="26"/>
      <c r="B9" s="26"/>
    </row>
    <row r="10" spans="1:5" x14ac:dyDescent="0.2">
      <c r="A10" s="26"/>
      <c r="B10" s="26"/>
    </row>
    <row r="11" spans="1:5" x14ac:dyDescent="0.2">
      <c r="A11" s="200" t="s">
        <v>14</v>
      </c>
      <c r="B11" s="30">
        <v>44872</v>
      </c>
      <c r="C11" s="33">
        <v>10</v>
      </c>
      <c r="D11" s="25">
        <f>(6*6)+(4*5)</f>
        <v>56</v>
      </c>
      <c r="E11" s="39">
        <v>38</v>
      </c>
    </row>
    <row r="12" spans="1:5" x14ac:dyDescent="0.2">
      <c r="A12" s="200"/>
      <c r="B12" s="30">
        <v>44873</v>
      </c>
      <c r="C12" s="33">
        <v>8</v>
      </c>
      <c r="D12" s="31">
        <f>(4*7)+(4*6)</f>
        <v>52</v>
      </c>
      <c r="E12" s="25">
        <v>53</v>
      </c>
    </row>
    <row r="13" spans="1:5" x14ac:dyDescent="0.2">
      <c r="A13" s="200"/>
      <c r="B13" s="30">
        <v>44874</v>
      </c>
      <c r="C13" s="28">
        <v>8</v>
      </c>
      <c r="D13" s="27">
        <f>(4*6)+(4*5)</f>
        <v>44</v>
      </c>
      <c r="E13" s="25">
        <v>40</v>
      </c>
    </row>
    <row r="14" spans="1:5" x14ac:dyDescent="0.2">
      <c r="A14" s="200"/>
      <c r="B14" s="30">
        <v>44875</v>
      </c>
      <c r="C14" s="22">
        <v>8</v>
      </c>
      <c r="D14" s="21">
        <f>(8*4)</f>
        <v>32</v>
      </c>
      <c r="E14" s="25">
        <v>27</v>
      </c>
    </row>
    <row r="15" spans="1:5" x14ac:dyDescent="0.2">
      <c r="A15" s="200"/>
      <c r="B15" s="30">
        <v>44876</v>
      </c>
      <c r="C15" s="22">
        <v>8</v>
      </c>
      <c r="D15" s="21">
        <f>(4*6)+(4*5)</f>
        <v>44</v>
      </c>
      <c r="E15" s="25">
        <v>29</v>
      </c>
    </row>
    <row r="16" spans="1:5" x14ac:dyDescent="0.2">
      <c r="A16" s="200"/>
      <c r="B16" s="30">
        <v>44877</v>
      </c>
      <c r="C16" s="29">
        <v>8</v>
      </c>
      <c r="D16" s="32"/>
      <c r="E16" s="39">
        <v>21</v>
      </c>
    </row>
    <row r="17" spans="1:5" x14ac:dyDescent="0.2">
      <c r="A17" s="200"/>
      <c r="B17" s="31"/>
      <c r="C17" s="35">
        <f>AVERAGE(C11:C16)</f>
        <v>8.3333333333333339</v>
      </c>
      <c r="D17" s="38">
        <f>SUM(D11:D16)</f>
        <v>228</v>
      </c>
      <c r="E17" s="37">
        <f>SUM(E11:E16)</f>
        <v>208</v>
      </c>
    </row>
    <row r="18" spans="1:5" x14ac:dyDescent="0.2">
      <c r="A18" s="26"/>
      <c r="B18" s="26"/>
    </row>
    <row r="19" spans="1:5" x14ac:dyDescent="0.2">
      <c r="A19" s="26"/>
      <c r="B19" s="26"/>
    </row>
    <row r="20" spans="1:5" x14ac:dyDescent="0.2">
      <c r="A20" s="200" t="s">
        <v>18</v>
      </c>
      <c r="B20" s="15">
        <v>44879</v>
      </c>
      <c r="C20" s="25">
        <v>6</v>
      </c>
      <c r="D20" s="25">
        <f>(2*6)+(4*4)</f>
        <v>28</v>
      </c>
      <c r="E20" s="39">
        <v>17</v>
      </c>
    </row>
    <row r="21" spans="1:5" x14ac:dyDescent="0.2">
      <c r="A21" s="200"/>
      <c r="B21" s="15">
        <v>44880</v>
      </c>
      <c r="C21" s="24">
        <v>7</v>
      </c>
      <c r="D21" s="27">
        <f>(3*6)+(4*4)</f>
        <v>34</v>
      </c>
      <c r="E21" s="25">
        <v>23</v>
      </c>
    </row>
    <row r="22" spans="1:5" x14ac:dyDescent="0.2">
      <c r="A22" s="200"/>
      <c r="B22" s="15">
        <v>44881</v>
      </c>
      <c r="C22" s="1">
        <v>7</v>
      </c>
      <c r="D22" s="21">
        <f>(2*6)+(4*4)+(1*8)</f>
        <v>36</v>
      </c>
      <c r="E22" s="25">
        <v>21</v>
      </c>
    </row>
    <row r="23" spans="1:5" x14ac:dyDescent="0.2">
      <c r="A23" s="200"/>
      <c r="B23" s="15">
        <v>44882</v>
      </c>
      <c r="C23" s="1">
        <v>6</v>
      </c>
      <c r="D23" s="21">
        <f>(2*6)+(3*4)+(1*8)</f>
        <v>32</v>
      </c>
      <c r="E23" s="25">
        <v>24</v>
      </c>
    </row>
    <row r="24" spans="1:5" x14ac:dyDescent="0.2">
      <c r="A24" s="200"/>
      <c r="B24" s="15">
        <v>44883</v>
      </c>
      <c r="C24" s="1">
        <v>6</v>
      </c>
      <c r="D24" s="21">
        <f>(2*6)+(3*4)+(1*8)</f>
        <v>32</v>
      </c>
      <c r="E24" s="25">
        <v>22</v>
      </c>
    </row>
    <row r="25" spans="1:5" x14ac:dyDescent="0.2">
      <c r="A25" s="200"/>
      <c r="B25" s="34">
        <v>44884</v>
      </c>
      <c r="C25" s="39">
        <v>5</v>
      </c>
      <c r="D25" s="40"/>
      <c r="E25" s="39">
        <v>16</v>
      </c>
    </row>
    <row r="26" spans="1:5" x14ac:dyDescent="0.2">
      <c r="A26" s="200"/>
      <c r="C26" s="35">
        <f>AVERAGE(C20:C24)</f>
        <v>6.4</v>
      </c>
      <c r="D26" s="36">
        <f>SUM(D20:D25)</f>
        <v>162</v>
      </c>
      <c r="E26" s="37">
        <f>SUM(E20:E25)</f>
        <v>123</v>
      </c>
    </row>
    <row r="29" spans="1:5" x14ac:dyDescent="0.2">
      <c r="A29" s="200" t="s">
        <v>22</v>
      </c>
      <c r="B29" s="15">
        <v>44886</v>
      </c>
      <c r="C29" s="25">
        <v>6</v>
      </c>
      <c r="D29" s="25">
        <f>(3*6)+(2*4)+(1*8)</f>
        <v>34</v>
      </c>
      <c r="E29" s="39">
        <v>29</v>
      </c>
    </row>
    <row r="30" spans="1:5" x14ac:dyDescent="0.2">
      <c r="A30" s="200"/>
      <c r="B30" s="15">
        <v>44887</v>
      </c>
      <c r="C30" s="24">
        <v>9</v>
      </c>
      <c r="D30" s="27">
        <f>(4*6)+(4*4)+(1*8)</f>
        <v>48</v>
      </c>
      <c r="E30" s="25">
        <v>42</v>
      </c>
    </row>
    <row r="31" spans="1:5" x14ac:dyDescent="0.2">
      <c r="A31" s="200"/>
      <c r="B31" s="15">
        <v>44888</v>
      </c>
      <c r="C31" s="1">
        <v>9</v>
      </c>
      <c r="D31" s="21">
        <f>(3*6)+(3*7)+(2*8)+(1*10)</f>
        <v>65</v>
      </c>
      <c r="E31" s="25">
        <v>21</v>
      </c>
    </row>
    <row r="32" spans="1:5" x14ac:dyDescent="0.2">
      <c r="A32" s="200"/>
      <c r="B32" s="15">
        <v>44889</v>
      </c>
      <c r="C32" s="1">
        <v>8</v>
      </c>
      <c r="D32" s="21">
        <f>(2*8)+(3*6)+(3*7)</f>
        <v>55</v>
      </c>
      <c r="E32" s="25">
        <v>34</v>
      </c>
    </row>
    <row r="33" spans="1:15" x14ac:dyDescent="0.2">
      <c r="A33" s="200"/>
      <c r="B33" s="15">
        <v>44890</v>
      </c>
      <c r="C33" s="1">
        <v>8</v>
      </c>
      <c r="D33" s="21">
        <f>(1*8)+(2*6)+(4*7)+(1*10)</f>
        <v>58</v>
      </c>
      <c r="E33" s="25">
        <v>32</v>
      </c>
    </row>
    <row r="34" spans="1:15" x14ac:dyDescent="0.2">
      <c r="A34" s="200"/>
      <c r="B34" s="34">
        <v>44891</v>
      </c>
      <c r="C34" s="39">
        <v>8</v>
      </c>
      <c r="D34" s="40"/>
      <c r="E34" s="39">
        <v>25</v>
      </c>
    </row>
    <row r="35" spans="1:15" x14ac:dyDescent="0.2">
      <c r="A35" s="200"/>
      <c r="C35" s="35">
        <f>AVERAGE(C29:C33)</f>
        <v>8</v>
      </c>
      <c r="D35" s="36">
        <f>SUM(D29:D34)</f>
        <v>260</v>
      </c>
      <c r="E35" s="37">
        <f>SUM(E29:E34)</f>
        <v>183</v>
      </c>
    </row>
    <row r="38" spans="1:15" ht="15" customHeight="1" x14ac:dyDescent="0.2">
      <c r="A38" s="200" t="s">
        <v>25</v>
      </c>
      <c r="B38" s="15">
        <v>44893</v>
      </c>
      <c r="C38" s="25">
        <v>9</v>
      </c>
      <c r="D38" s="25">
        <f>(8*6)+(1*8)</f>
        <v>56</v>
      </c>
      <c r="E38" s="39">
        <v>52</v>
      </c>
    </row>
    <row r="39" spans="1:15" ht="15" customHeight="1" x14ac:dyDescent="0.2">
      <c r="A39" s="200"/>
      <c r="B39" s="15">
        <v>44894</v>
      </c>
      <c r="C39" s="24">
        <v>11</v>
      </c>
      <c r="D39" s="27">
        <f>(8*6)+(2*4)+(1*3)</f>
        <v>59</v>
      </c>
      <c r="E39" s="25">
        <v>55</v>
      </c>
    </row>
    <row r="40" spans="1:15" ht="15" customHeight="1" x14ac:dyDescent="0.2">
      <c r="A40" s="200"/>
      <c r="B40" s="15">
        <v>44895</v>
      </c>
      <c r="C40" s="1">
        <v>10</v>
      </c>
      <c r="D40" s="21">
        <f>(9*8)+(1*6)</f>
        <v>78</v>
      </c>
      <c r="E40" s="25">
        <v>70</v>
      </c>
    </row>
    <row r="41" spans="1:15" ht="15" customHeight="1" x14ac:dyDescent="0.2">
      <c r="A41" s="200"/>
      <c r="B41" s="15">
        <v>44896</v>
      </c>
      <c r="C41" s="1">
        <v>11</v>
      </c>
      <c r="D41" s="21">
        <f>(4*5)+(7*6)</f>
        <v>62</v>
      </c>
      <c r="E41" s="25">
        <v>58</v>
      </c>
    </row>
    <row r="42" spans="1:15" ht="15" customHeight="1" x14ac:dyDescent="0.2">
      <c r="A42" s="200"/>
      <c r="B42" s="15">
        <v>44897</v>
      </c>
      <c r="C42" s="1">
        <v>11</v>
      </c>
      <c r="D42" s="21">
        <f>(4*5)+(7*6)</f>
        <v>62</v>
      </c>
      <c r="E42" s="25">
        <v>22</v>
      </c>
    </row>
    <row r="43" spans="1:15" x14ac:dyDescent="0.2">
      <c r="A43" s="44"/>
      <c r="C43" s="35">
        <f>AVERAGE(C38:C42)</f>
        <v>10.4</v>
      </c>
      <c r="D43" s="36">
        <f>SUM(D38:D42)</f>
        <v>317</v>
      </c>
      <c r="E43" s="37">
        <f>SUM(E38:E42)</f>
        <v>257</v>
      </c>
    </row>
    <row r="46" spans="1:15" ht="20" x14ac:dyDescent="0.2">
      <c r="A46" s="193" t="s">
        <v>28</v>
      </c>
      <c r="B46" s="84">
        <v>44900</v>
      </c>
      <c r="C46" s="82">
        <v>10</v>
      </c>
      <c r="D46" s="82">
        <v>58</v>
      </c>
      <c r="E46" s="85">
        <v>49</v>
      </c>
      <c r="L46" s="71" t="s">
        <v>115</v>
      </c>
      <c r="M46" s="72" t="s">
        <v>116</v>
      </c>
      <c r="N46" s="72" t="s">
        <v>117</v>
      </c>
      <c r="O46" s="73" t="s">
        <v>118</v>
      </c>
    </row>
    <row r="47" spans="1:15" x14ac:dyDescent="0.2">
      <c r="A47" s="194"/>
      <c r="B47" s="30">
        <v>44901</v>
      </c>
      <c r="C47" s="25">
        <v>9</v>
      </c>
      <c r="D47" s="25">
        <v>35</v>
      </c>
      <c r="E47" s="83">
        <v>27</v>
      </c>
      <c r="L47" s="74" t="s">
        <v>101</v>
      </c>
      <c r="M47" s="75">
        <f>6+4</f>
        <v>10</v>
      </c>
      <c r="N47" s="75">
        <f>4+3</f>
        <v>7</v>
      </c>
      <c r="O47" s="76">
        <f>M47-N47</f>
        <v>3</v>
      </c>
    </row>
    <row r="48" spans="1:15" x14ac:dyDescent="0.2">
      <c r="A48" s="194"/>
      <c r="B48" s="30">
        <v>44902</v>
      </c>
      <c r="C48" s="25">
        <v>1</v>
      </c>
      <c r="D48" s="25">
        <v>3</v>
      </c>
      <c r="E48" s="83">
        <v>3</v>
      </c>
      <c r="L48" s="69" t="s">
        <v>99</v>
      </c>
      <c r="M48" s="67">
        <f>6+4+5</f>
        <v>15</v>
      </c>
      <c r="N48" s="67">
        <v>16</v>
      </c>
      <c r="O48" s="70">
        <f t="shared" ref="O48:O57" si="0">M48-N48</f>
        <v>-1</v>
      </c>
    </row>
    <row r="49" spans="1:16" x14ac:dyDescent="0.2">
      <c r="A49" s="194"/>
      <c r="B49" s="30">
        <v>44903</v>
      </c>
      <c r="C49" s="25">
        <v>2</v>
      </c>
      <c r="D49" s="25">
        <v>7</v>
      </c>
      <c r="E49" s="83">
        <v>6</v>
      </c>
      <c r="L49" s="69" t="s">
        <v>100</v>
      </c>
      <c r="M49" s="67">
        <v>6</v>
      </c>
      <c r="N49" s="67">
        <v>4</v>
      </c>
      <c r="O49" s="70">
        <f t="shared" si="0"/>
        <v>2</v>
      </c>
    </row>
    <row r="50" spans="1:16" x14ac:dyDescent="0.2">
      <c r="A50" s="194"/>
      <c r="B50" s="30">
        <v>44904</v>
      </c>
      <c r="C50" s="25">
        <v>9</v>
      </c>
      <c r="D50" s="25">
        <v>44</v>
      </c>
      <c r="E50" s="83">
        <v>43</v>
      </c>
      <c r="L50" s="69" t="s">
        <v>98</v>
      </c>
      <c r="M50" s="67">
        <v>15</v>
      </c>
      <c r="N50" s="67">
        <f>8+2+6</f>
        <v>16</v>
      </c>
      <c r="O50" s="70">
        <f t="shared" si="0"/>
        <v>-1</v>
      </c>
    </row>
    <row r="51" spans="1:16" x14ac:dyDescent="0.2">
      <c r="A51" s="195" t="s">
        <v>119</v>
      </c>
      <c r="B51" s="196"/>
      <c r="C51" s="86">
        <f>AVERAGE(C46:C50)</f>
        <v>6.2</v>
      </c>
      <c r="D51" s="86">
        <f>SUM(D46:D50)</f>
        <v>147</v>
      </c>
      <c r="E51" s="87">
        <f>SUM(E46:E50)</f>
        <v>128</v>
      </c>
      <c r="L51" s="69" t="s">
        <v>120</v>
      </c>
      <c r="M51" s="67">
        <f>6+4+5</f>
        <v>15</v>
      </c>
      <c r="N51" s="67">
        <f>3+3+3</f>
        <v>9</v>
      </c>
      <c r="O51" s="70">
        <f t="shared" si="0"/>
        <v>6</v>
      </c>
    </row>
    <row r="52" spans="1:16" x14ac:dyDescent="0.2">
      <c r="L52" s="69" t="s">
        <v>121</v>
      </c>
      <c r="M52" s="67">
        <f>4+6</f>
        <v>10</v>
      </c>
      <c r="N52" s="67">
        <f>3+7</f>
        <v>10</v>
      </c>
      <c r="O52" s="70">
        <f t="shared" si="0"/>
        <v>0</v>
      </c>
    </row>
    <row r="53" spans="1:16" x14ac:dyDescent="0.2">
      <c r="L53" s="69" t="s">
        <v>122</v>
      </c>
      <c r="M53" s="67">
        <v>15</v>
      </c>
      <c r="N53" s="67">
        <f>4+3+4</f>
        <v>11</v>
      </c>
      <c r="O53" s="70">
        <f t="shared" si="0"/>
        <v>4</v>
      </c>
    </row>
    <row r="54" spans="1:16" x14ac:dyDescent="0.2">
      <c r="L54" s="69" t="s">
        <v>123</v>
      </c>
      <c r="M54" s="67">
        <v>15</v>
      </c>
      <c r="N54" s="67">
        <f>4+3+6</f>
        <v>13</v>
      </c>
      <c r="O54" s="70">
        <f t="shared" si="0"/>
        <v>2</v>
      </c>
    </row>
    <row r="55" spans="1:16" x14ac:dyDescent="0.2">
      <c r="L55" s="69" t="s">
        <v>124</v>
      </c>
      <c r="M55" s="67">
        <v>15</v>
      </c>
      <c r="N55" s="67">
        <f>3+4+8</f>
        <v>15</v>
      </c>
      <c r="O55" s="70">
        <f t="shared" si="0"/>
        <v>0</v>
      </c>
    </row>
    <row r="56" spans="1:16" x14ac:dyDescent="0.2">
      <c r="L56" s="69" t="s">
        <v>125</v>
      </c>
      <c r="M56" s="67">
        <f>6+3+3+3+3</f>
        <v>18</v>
      </c>
      <c r="N56" s="67">
        <f>6+3+2+3+3</f>
        <v>17</v>
      </c>
      <c r="O56" s="70">
        <f t="shared" si="0"/>
        <v>1</v>
      </c>
    </row>
    <row r="57" spans="1:16" x14ac:dyDescent="0.2">
      <c r="L57" s="80" t="s">
        <v>126</v>
      </c>
      <c r="M57" s="68">
        <f>4+4+5</f>
        <v>13</v>
      </c>
      <c r="N57" s="68">
        <f>0+3+7</f>
        <v>10</v>
      </c>
      <c r="O57" s="81">
        <f t="shared" si="0"/>
        <v>3</v>
      </c>
    </row>
    <row r="58" spans="1:16" ht="24" x14ac:dyDescent="0.2">
      <c r="L58" s="77" t="s">
        <v>119</v>
      </c>
      <c r="M58" s="78">
        <f>SUM(M47:M57)</f>
        <v>147</v>
      </c>
      <c r="N58" s="78">
        <f t="shared" ref="N58:O58" si="1">SUM(N47:N57)</f>
        <v>128</v>
      </c>
      <c r="O58" s="79">
        <f t="shared" si="1"/>
        <v>19</v>
      </c>
    </row>
    <row r="62" spans="1:16" ht="20" x14ac:dyDescent="0.2">
      <c r="A62" s="193" t="s">
        <v>31</v>
      </c>
      <c r="B62" s="84">
        <v>44907</v>
      </c>
      <c r="C62" s="82">
        <v>0</v>
      </c>
      <c r="D62" s="82">
        <v>0</v>
      </c>
      <c r="E62" s="85">
        <v>0</v>
      </c>
      <c r="L62" s="92" t="s">
        <v>115</v>
      </c>
      <c r="M62" s="93" t="s">
        <v>116</v>
      </c>
      <c r="N62" s="93" t="s">
        <v>117</v>
      </c>
      <c r="O62" s="94" t="s">
        <v>118</v>
      </c>
    </row>
    <row r="63" spans="1:16" x14ac:dyDescent="0.2">
      <c r="A63" s="194"/>
      <c r="B63" s="84">
        <v>44908</v>
      </c>
      <c r="C63" s="25">
        <v>9</v>
      </c>
      <c r="D63" s="25">
        <v>29</v>
      </c>
      <c r="E63" s="83">
        <v>28</v>
      </c>
      <c r="L63" s="88" t="s">
        <v>101</v>
      </c>
      <c r="M63" s="89">
        <f>4+4+4+4</f>
        <v>16</v>
      </c>
      <c r="N63" s="89">
        <f>3+4+4+3</f>
        <v>14</v>
      </c>
      <c r="O63" s="90">
        <f>M63-N63</f>
        <v>2</v>
      </c>
      <c r="P63" t="s">
        <v>127</v>
      </c>
    </row>
    <row r="64" spans="1:16" x14ac:dyDescent="0.2">
      <c r="A64" s="194"/>
      <c r="B64" s="84">
        <v>44909</v>
      </c>
      <c r="C64" s="25">
        <v>14</v>
      </c>
      <c r="D64" s="25">
        <v>41</v>
      </c>
      <c r="E64" s="83">
        <v>37</v>
      </c>
      <c r="L64" s="69" t="s">
        <v>99</v>
      </c>
      <c r="M64" s="67">
        <f>4+4+4+4</f>
        <v>16</v>
      </c>
      <c r="N64" s="67">
        <f>4+4+4+4</f>
        <v>16</v>
      </c>
      <c r="O64" s="70">
        <f t="shared" ref="O64:O72" si="2">M64-N64</f>
        <v>0</v>
      </c>
    </row>
    <row r="65" spans="1:16" x14ac:dyDescent="0.2">
      <c r="A65" s="194"/>
      <c r="B65" s="84">
        <v>44910</v>
      </c>
      <c r="C65" s="25">
        <v>15</v>
      </c>
      <c r="D65" s="25">
        <v>50</v>
      </c>
      <c r="E65" s="83">
        <v>42</v>
      </c>
      <c r="L65" s="69" t="s">
        <v>100</v>
      </c>
      <c r="M65" s="67">
        <f>2+2+3+3</f>
        <v>10</v>
      </c>
      <c r="N65" s="67">
        <f>2+2+3+2</f>
        <v>9</v>
      </c>
      <c r="O65" s="70">
        <f t="shared" si="2"/>
        <v>1</v>
      </c>
    </row>
    <row r="66" spans="1:16" x14ac:dyDescent="0.2">
      <c r="A66" s="194"/>
      <c r="B66" s="84">
        <v>44911</v>
      </c>
      <c r="C66" s="25">
        <v>15</v>
      </c>
      <c r="D66" s="25">
        <v>50</v>
      </c>
      <c r="E66" s="83">
        <v>40</v>
      </c>
      <c r="L66" s="69" t="s">
        <v>98</v>
      </c>
      <c r="M66" s="67">
        <f>4+4+4+4</f>
        <v>16</v>
      </c>
      <c r="N66" s="67">
        <f>4+6+3+2</f>
        <v>15</v>
      </c>
      <c r="O66" s="70">
        <f t="shared" si="2"/>
        <v>1</v>
      </c>
      <c r="P66" t="s">
        <v>127</v>
      </c>
    </row>
    <row r="67" spans="1:16" x14ac:dyDescent="0.2">
      <c r="A67" s="195" t="s">
        <v>119</v>
      </c>
      <c r="B67" s="196"/>
      <c r="C67" s="86">
        <f>AVERAGE(C62:C66)</f>
        <v>10.6</v>
      </c>
      <c r="D67" s="86">
        <v>168</v>
      </c>
      <c r="E67" s="87">
        <f>SUM(E62:E66)</f>
        <v>147</v>
      </c>
      <c r="L67" s="69" t="s">
        <v>120</v>
      </c>
      <c r="M67" s="67">
        <f>3+3+3+3</f>
        <v>12</v>
      </c>
      <c r="N67" s="67">
        <f>3+3+3+2</f>
        <v>11</v>
      </c>
      <c r="O67" s="70">
        <f t="shared" si="2"/>
        <v>1</v>
      </c>
    </row>
    <row r="68" spans="1:16" x14ac:dyDescent="0.2">
      <c r="L68" s="69" t="s">
        <v>121</v>
      </c>
      <c r="M68" s="67">
        <f>3+3+3+3</f>
        <v>12</v>
      </c>
      <c r="N68" s="67">
        <f>4+3+3+3</f>
        <v>13</v>
      </c>
      <c r="O68" s="70">
        <f t="shared" si="2"/>
        <v>-1</v>
      </c>
    </row>
    <row r="69" spans="1:16" x14ac:dyDescent="0.2">
      <c r="L69" s="69" t="s">
        <v>122</v>
      </c>
      <c r="M69" s="67">
        <f>3+3+3+3</f>
        <v>12</v>
      </c>
      <c r="N69" s="67">
        <f>3+3+3+3</f>
        <v>12</v>
      </c>
      <c r="O69" s="70">
        <f t="shared" si="2"/>
        <v>0</v>
      </c>
    </row>
    <row r="70" spans="1:16" x14ac:dyDescent="0.2">
      <c r="L70" s="69" t="s">
        <v>123</v>
      </c>
      <c r="M70" s="67">
        <f>3+3+3+3</f>
        <v>12</v>
      </c>
      <c r="N70" s="67">
        <f>3+3+3+3</f>
        <v>12</v>
      </c>
      <c r="O70" s="70">
        <f t="shared" si="2"/>
        <v>0</v>
      </c>
    </row>
    <row r="71" spans="1:16" x14ac:dyDescent="0.2">
      <c r="L71" s="80" t="s">
        <v>124</v>
      </c>
      <c r="M71" s="68">
        <f>4+4+4</f>
        <v>12</v>
      </c>
      <c r="N71" s="68">
        <f>4+4+4</f>
        <v>12</v>
      </c>
      <c r="O71" s="81">
        <f t="shared" si="2"/>
        <v>0</v>
      </c>
    </row>
    <row r="72" spans="1:16" x14ac:dyDescent="0.2">
      <c r="L72" s="69" t="s">
        <v>125</v>
      </c>
      <c r="M72" s="67">
        <v>10</v>
      </c>
      <c r="N72" s="67">
        <f>2+3+3+1</f>
        <v>9</v>
      </c>
      <c r="O72" s="70">
        <f t="shared" si="2"/>
        <v>1</v>
      </c>
    </row>
    <row r="73" spans="1:16" x14ac:dyDescent="0.2">
      <c r="L73" s="69" t="s">
        <v>126</v>
      </c>
      <c r="M73" s="67">
        <f>4+4</f>
        <v>8</v>
      </c>
      <c r="N73" s="67">
        <f>3+4</f>
        <v>7</v>
      </c>
      <c r="O73" s="70">
        <f>M73-N73</f>
        <v>1</v>
      </c>
    </row>
    <row r="74" spans="1:16" x14ac:dyDescent="0.2">
      <c r="L74" s="91" t="s">
        <v>128</v>
      </c>
      <c r="M74" s="67">
        <f>2+3+3</f>
        <v>8</v>
      </c>
      <c r="N74" s="67">
        <f>0+2+2</f>
        <v>4</v>
      </c>
      <c r="O74" s="70">
        <f t="shared" ref="O74:O77" si="3">M74-N74</f>
        <v>4</v>
      </c>
    </row>
    <row r="75" spans="1:16" x14ac:dyDescent="0.2">
      <c r="L75" s="91" t="s">
        <v>129</v>
      </c>
      <c r="M75" s="67">
        <f>2+3+3</f>
        <v>8</v>
      </c>
      <c r="N75" s="67">
        <f>1+2+3</f>
        <v>6</v>
      </c>
      <c r="O75" s="70">
        <f t="shared" si="3"/>
        <v>2</v>
      </c>
    </row>
    <row r="76" spans="1:16" x14ac:dyDescent="0.2">
      <c r="L76" s="91" t="s">
        <v>130</v>
      </c>
      <c r="M76" s="67">
        <f>2+3+3</f>
        <v>8</v>
      </c>
      <c r="N76" s="67">
        <f>0+0+2</f>
        <v>2</v>
      </c>
      <c r="O76" s="70">
        <f t="shared" si="3"/>
        <v>6</v>
      </c>
    </row>
    <row r="77" spans="1:16" x14ac:dyDescent="0.2">
      <c r="L77" s="95" t="s">
        <v>131</v>
      </c>
      <c r="M77" s="68">
        <f>2+3+3</f>
        <v>8</v>
      </c>
      <c r="N77" s="68">
        <f>1+2+2</f>
        <v>5</v>
      </c>
      <c r="O77" s="81">
        <f t="shared" si="3"/>
        <v>3</v>
      </c>
    </row>
    <row r="78" spans="1:16" ht="24" x14ac:dyDescent="0.2">
      <c r="L78" s="77" t="s">
        <v>119</v>
      </c>
      <c r="M78" s="78">
        <f>SUM(M63:M77)</f>
        <v>168</v>
      </c>
      <c r="N78" s="78">
        <f>SUM(N63:N77)</f>
        <v>147</v>
      </c>
      <c r="O78" s="79">
        <f>M78-N78</f>
        <v>21</v>
      </c>
    </row>
    <row r="82" spans="1:15" ht="20" x14ac:dyDescent="0.2">
      <c r="A82" s="193" t="s">
        <v>31</v>
      </c>
      <c r="B82" s="84">
        <v>44914</v>
      </c>
      <c r="C82" s="82">
        <v>10</v>
      </c>
      <c r="D82" s="82">
        <v>34</v>
      </c>
      <c r="E82" s="85">
        <v>30</v>
      </c>
      <c r="L82" s="92" t="s">
        <v>115</v>
      </c>
      <c r="M82" s="93" t="s">
        <v>116</v>
      </c>
      <c r="N82" s="93" t="s">
        <v>117</v>
      </c>
      <c r="O82" s="94" t="s">
        <v>118</v>
      </c>
    </row>
    <row r="83" spans="1:15" x14ac:dyDescent="0.2">
      <c r="A83" s="194"/>
      <c r="B83" s="84">
        <v>44915</v>
      </c>
      <c r="C83" s="25">
        <v>10</v>
      </c>
      <c r="D83" s="25">
        <v>30</v>
      </c>
      <c r="E83" s="83">
        <v>31</v>
      </c>
      <c r="L83" s="88" t="s">
        <v>101</v>
      </c>
      <c r="M83" s="89">
        <f>4+3+4+4+3</f>
        <v>18</v>
      </c>
      <c r="N83" s="89">
        <f>3+2+3+5+5</f>
        <v>18</v>
      </c>
      <c r="O83" s="90">
        <f>M83-N83</f>
        <v>0</v>
      </c>
    </row>
    <row r="84" spans="1:15" x14ac:dyDescent="0.2">
      <c r="A84" s="194"/>
      <c r="B84" s="84">
        <v>44916</v>
      </c>
      <c r="C84" s="25">
        <v>10</v>
      </c>
      <c r="D84" s="25">
        <v>40</v>
      </c>
      <c r="E84" s="83">
        <v>38</v>
      </c>
      <c r="L84" s="69" t="s">
        <v>99</v>
      </c>
      <c r="M84" s="67">
        <f>4+3+4+4+3</f>
        <v>18</v>
      </c>
      <c r="N84" s="67">
        <f>3+4+4+4+3</f>
        <v>18</v>
      </c>
      <c r="O84" s="70">
        <f t="shared" ref="O84:O92" si="4">M84-N84</f>
        <v>0</v>
      </c>
    </row>
    <row r="85" spans="1:15" x14ac:dyDescent="0.2">
      <c r="A85" s="194"/>
      <c r="B85" s="84">
        <v>44917</v>
      </c>
      <c r="C85" s="25">
        <v>10</v>
      </c>
      <c r="D85" s="25">
        <v>40</v>
      </c>
      <c r="E85" s="83">
        <v>42</v>
      </c>
      <c r="L85" s="69" t="s">
        <v>100</v>
      </c>
      <c r="M85" s="67">
        <f>3+5+8+8+8</f>
        <v>32</v>
      </c>
      <c r="N85" s="67">
        <f>3+5+6+8+7</f>
        <v>29</v>
      </c>
      <c r="O85" s="102">
        <f t="shared" si="4"/>
        <v>3</v>
      </c>
    </row>
    <row r="86" spans="1:15" x14ac:dyDescent="0.2">
      <c r="A86" s="194"/>
      <c r="B86" s="84">
        <v>44918</v>
      </c>
      <c r="C86" s="25">
        <v>11</v>
      </c>
      <c r="D86" s="25">
        <v>34</v>
      </c>
      <c r="E86" s="83">
        <v>35</v>
      </c>
      <c r="L86" s="69" t="s">
        <v>98</v>
      </c>
      <c r="M86" s="67">
        <f>4+3+4+4+3</f>
        <v>18</v>
      </c>
      <c r="N86" s="67">
        <f>2+3+5+5+3</f>
        <v>18</v>
      </c>
      <c r="O86" s="70">
        <f t="shared" si="4"/>
        <v>0</v>
      </c>
    </row>
    <row r="87" spans="1:15" x14ac:dyDescent="0.2">
      <c r="A87" s="195" t="s">
        <v>119</v>
      </c>
      <c r="B87" s="196"/>
      <c r="C87" s="86">
        <f>AVERAGE(C82:C86)</f>
        <v>10.199999999999999</v>
      </c>
      <c r="D87" s="86">
        <f>SUM(D82:D86)</f>
        <v>178</v>
      </c>
      <c r="E87" s="87">
        <f>SUM(E82:E86)</f>
        <v>176</v>
      </c>
      <c r="L87" s="69" t="s">
        <v>120</v>
      </c>
      <c r="M87" s="67">
        <f>3+3+3+3+2</f>
        <v>14</v>
      </c>
      <c r="N87" s="67">
        <f>3+3+3+3+2</f>
        <v>14</v>
      </c>
      <c r="O87" s="70">
        <f t="shared" si="4"/>
        <v>0</v>
      </c>
    </row>
    <row r="88" spans="1:15" x14ac:dyDescent="0.2">
      <c r="L88" s="69" t="s">
        <v>121</v>
      </c>
      <c r="M88" s="67">
        <f>3+2+3+3+2</f>
        <v>13</v>
      </c>
      <c r="N88" s="67">
        <f>2+3+3+3+2</f>
        <v>13</v>
      </c>
      <c r="O88" s="70">
        <f t="shared" si="4"/>
        <v>0</v>
      </c>
    </row>
    <row r="89" spans="1:15" x14ac:dyDescent="0.2">
      <c r="L89" s="69" t="s">
        <v>122</v>
      </c>
      <c r="M89" s="67">
        <f>0+0+0+0+2</f>
        <v>2</v>
      </c>
      <c r="N89" s="67">
        <v>2</v>
      </c>
      <c r="O89" s="70">
        <f t="shared" si="4"/>
        <v>0</v>
      </c>
    </row>
    <row r="90" spans="1:15" x14ac:dyDescent="0.2">
      <c r="L90" s="69" t="s">
        <v>123</v>
      </c>
      <c r="M90" s="67">
        <f>3+2+3+3+2</f>
        <v>13</v>
      </c>
      <c r="N90" s="67">
        <f>3+2+3+3+2</f>
        <v>13</v>
      </c>
      <c r="O90" s="70">
        <f t="shared" si="4"/>
        <v>0</v>
      </c>
    </row>
    <row r="91" spans="1:15" x14ac:dyDescent="0.2">
      <c r="L91" s="80" t="s">
        <v>124</v>
      </c>
      <c r="M91" s="68">
        <f>4+3+4+4+3</f>
        <v>18</v>
      </c>
      <c r="N91" s="68">
        <f>4+3+4+4+3</f>
        <v>18</v>
      </c>
      <c r="O91" s="81">
        <f t="shared" si="4"/>
        <v>0</v>
      </c>
    </row>
    <row r="92" spans="1:15" x14ac:dyDescent="0.2">
      <c r="L92" s="69" t="s">
        <v>125</v>
      </c>
      <c r="M92" s="67">
        <f>2+2+3+3+3</f>
        <v>13</v>
      </c>
      <c r="N92" s="67">
        <f>3+2+3+3+3</f>
        <v>14</v>
      </c>
      <c r="O92" s="103">
        <f t="shared" si="4"/>
        <v>-1</v>
      </c>
    </row>
    <row r="93" spans="1:15" x14ac:dyDescent="0.2">
      <c r="L93" s="69" t="s">
        <v>126</v>
      </c>
      <c r="M93" s="67">
        <f>4+4+4+4+3</f>
        <v>19</v>
      </c>
      <c r="N93" s="67">
        <f>4+4+4+4+3</f>
        <v>19</v>
      </c>
      <c r="O93" s="70">
        <f>M93-N93</f>
        <v>0</v>
      </c>
    </row>
    <row r="94" spans="1:15" ht="24" x14ac:dyDescent="0.2">
      <c r="L94" s="77" t="s">
        <v>119</v>
      </c>
      <c r="M94" s="78">
        <f>SUM(M83:M93)</f>
        <v>178</v>
      </c>
      <c r="N94" s="78">
        <f>SUM(N83:N93)</f>
        <v>176</v>
      </c>
      <c r="O94" s="79">
        <f>M94-N94</f>
        <v>2</v>
      </c>
    </row>
    <row r="98" spans="1:15" ht="20" x14ac:dyDescent="0.2">
      <c r="A98" s="193" t="s">
        <v>34</v>
      </c>
      <c r="B98" s="84">
        <v>44921</v>
      </c>
      <c r="C98" s="82">
        <v>10</v>
      </c>
      <c r="D98" s="82">
        <v>37</v>
      </c>
      <c r="E98" s="85">
        <v>35</v>
      </c>
      <c r="L98" s="92" t="s">
        <v>115</v>
      </c>
      <c r="M98" s="93" t="s">
        <v>116</v>
      </c>
      <c r="N98" s="93" t="s">
        <v>117</v>
      </c>
      <c r="O98" s="94" t="s">
        <v>118</v>
      </c>
    </row>
    <row r="99" spans="1:15" x14ac:dyDescent="0.2">
      <c r="A99" s="194"/>
      <c r="B99" s="84">
        <v>44922</v>
      </c>
      <c r="C99" s="25">
        <v>10</v>
      </c>
      <c r="D99" s="25">
        <v>31</v>
      </c>
      <c r="E99" s="83">
        <v>28</v>
      </c>
      <c r="L99" s="88" t="s">
        <v>101</v>
      </c>
      <c r="M99" s="89">
        <f>4+4+5</f>
        <v>13</v>
      </c>
      <c r="N99" s="89">
        <f>4+4+6</f>
        <v>14</v>
      </c>
      <c r="O99" s="90">
        <f>M99-N99</f>
        <v>-1</v>
      </c>
    </row>
    <row r="100" spans="1:15" x14ac:dyDescent="0.2">
      <c r="A100" s="194"/>
      <c r="B100" s="84">
        <v>44923</v>
      </c>
      <c r="C100" s="25">
        <v>6</v>
      </c>
      <c r="D100" s="25">
        <v>30</v>
      </c>
      <c r="E100" s="83">
        <v>36</v>
      </c>
      <c r="L100" s="69" t="s">
        <v>99</v>
      </c>
      <c r="M100" s="67">
        <f>4+2+0</f>
        <v>6</v>
      </c>
      <c r="N100" s="67">
        <f>4+1+0</f>
        <v>5</v>
      </c>
      <c r="O100" s="70">
        <f t="shared" ref="O100:O108" si="5">M100-N100</f>
        <v>1</v>
      </c>
    </row>
    <row r="101" spans="1:15" x14ac:dyDescent="0.2">
      <c r="A101" s="194"/>
      <c r="B101" s="84">
        <v>44924</v>
      </c>
      <c r="C101" s="25">
        <v>2</v>
      </c>
      <c r="D101" s="25">
        <v>7</v>
      </c>
      <c r="E101" s="83">
        <v>7</v>
      </c>
      <c r="L101" s="69" t="s">
        <v>100</v>
      </c>
      <c r="M101" s="67">
        <f>6+6+0</f>
        <v>12</v>
      </c>
      <c r="N101" s="67">
        <f>4+5+1</f>
        <v>10</v>
      </c>
      <c r="O101" s="70">
        <f t="shared" si="5"/>
        <v>2</v>
      </c>
    </row>
    <row r="102" spans="1:15" x14ac:dyDescent="0.2">
      <c r="A102" s="194"/>
      <c r="B102" s="84">
        <v>44925</v>
      </c>
      <c r="C102" s="25">
        <v>1</v>
      </c>
      <c r="D102" s="25">
        <v>3</v>
      </c>
      <c r="E102" s="83">
        <v>3</v>
      </c>
      <c r="L102" s="69" t="s">
        <v>98</v>
      </c>
      <c r="M102" s="67">
        <f>4+2+0</f>
        <v>6</v>
      </c>
      <c r="N102" s="67">
        <f>4+2+0</f>
        <v>6</v>
      </c>
      <c r="O102" s="70">
        <f t="shared" si="5"/>
        <v>0</v>
      </c>
    </row>
    <row r="103" spans="1:15" x14ac:dyDescent="0.2">
      <c r="A103" s="195" t="s">
        <v>119</v>
      </c>
      <c r="B103" s="196"/>
      <c r="C103" s="86">
        <f>AVERAGE(C98:C102)</f>
        <v>5.8</v>
      </c>
      <c r="D103" s="86">
        <f>SUM(D98:D102)</f>
        <v>108</v>
      </c>
      <c r="E103" s="86">
        <f>SUM(E98:E102)</f>
        <v>109</v>
      </c>
      <c r="L103" s="69" t="s">
        <v>120</v>
      </c>
      <c r="M103" s="67">
        <f>3+3+5</f>
        <v>11</v>
      </c>
      <c r="N103" s="67">
        <f>3+3+9</f>
        <v>15</v>
      </c>
      <c r="O103" s="70">
        <f t="shared" si="5"/>
        <v>-4</v>
      </c>
    </row>
    <row r="104" spans="1:15" x14ac:dyDescent="0.2">
      <c r="L104" s="69" t="s">
        <v>121</v>
      </c>
      <c r="M104" s="67">
        <f>3+3+6</f>
        <v>12</v>
      </c>
      <c r="N104" s="67">
        <f>3+3+6</f>
        <v>12</v>
      </c>
      <c r="O104" s="70">
        <f t="shared" si="5"/>
        <v>0</v>
      </c>
    </row>
    <row r="105" spans="1:15" x14ac:dyDescent="0.2">
      <c r="L105" s="69" t="s">
        <v>122</v>
      </c>
      <c r="M105" s="67">
        <f>3+3+6</f>
        <v>12</v>
      </c>
      <c r="N105" s="67">
        <f>3+3+6</f>
        <v>12</v>
      </c>
      <c r="O105" s="70">
        <f t="shared" si="5"/>
        <v>0</v>
      </c>
    </row>
    <row r="106" spans="1:15" x14ac:dyDescent="0.2">
      <c r="L106" s="69" t="s">
        <v>123</v>
      </c>
      <c r="M106" s="67">
        <f>3+3+5</f>
        <v>11</v>
      </c>
      <c r="N106" s="67">
        <f>3+3+5</f>
        <v>11</v>
      </c>
      <c r="O106" s="70">
        <f t="shared" si="5"/>
        <v>0</v>
      </c>
    </row>
    <row r="107" spans="1:15" x14ac:dyDescent="0.2">
      <c r="L107" s="80" t="s">
        <v>124</v>
      </c>
      <c r="M107" s="68">
        <f>4+2+0</f>
        <v>6</v>
      </c>
      <c r="N107" s="68">
        <f>4+2+0</f>
        <v>6</v>
      </c>
      <c r="O107" s="81">
        <f t="shared" si="5"/>
        <v>0</v>
      </c>
    </row>
    <row r="108" spans="1:15" x14ac:dyDescent="0.2">
      <c r="L108" s="69" t="s">
        <v>125</v>
      </c>
      <c r="M108" s="67">
        <f>3+3+3+3+3</f>
        <v>15</v>
      </c>
      <c r="N108" s="67">
        <f>3+2+3+3+2</f>
        <v>13</v>
      </c>
      <c r="O108" s="70">
        <f t="shared" si="5"/>
        <v>2</v>
      </c>
    </row>
    <row r="109" spans="1:15" x14ac:dyDescent="0.2">
      <c r="L109" s="69" t="s">
        <v>126</v>
      </c>
      <c r="M109" s="67">
        <f>0+0+0+4+0</f>
        <v>4</v>
      </c>
      <c r="N109" s="67">
        <f>0+0+0+4+1</f>
        <v>5</v>
      </c>
      <c r="O109" s="70">
        <f>M109-N109</f>
        <v>-1</v>
      </c>
    </row>
    <row r="110" spans="1:15" ht="24" x14ac:dyDescent="0.2">
      <c r="L110" s="77" t="s">
        <v>119</v>
      </c>
      <c r="M110" s="78">
        <f>SUM(M99:M109)</f>
        <v>108</v>
      </c>
      <c r="N110" s="78">
        <f>SUM(N99:N109)</f>
        <v>109</v>
      </c>
      <c r="O110" s="79">
        <f>M110-N110</f>
        <v>-1</v>
      </c>
    </row>
    <row r="113" spans="1:15" ht="20" x14ac:dyDescent="0.2">
      <c r="A113" s="193" t="s">
        <v>40</v>
      </c>
      <c r="B113" s="84">
        <v>44928</v>
      </c>
      <c r="C113" s="82">
        <v>7</v>
      </c>
      <c r="D113" s="82">
        <v>23</v>
      </c>
      <c r="E113" s="85">
        <v>26</v>
      </c>
      <c r="L113" s="92" t="s">
        <v>115</v>
      </c>
      <c r="M113" s="93" t="s">
        <v>116</v>
      </c>
      <c r="N113" s="93" t="s">
        <v>117</v>
      </c>
      <c r="O113" s="94" t="s">
        <v>118</v>
      </c>
    </row>
    <row r="114" spans="1:15" x14ac:dyDescent="0.2">
      <c r="A114" s="194"/>
      <c r="B114" s="84">
        <v>44929</v>
      </c>
      <c r="C114" s="25">
        <v>8</v>
      </c>
      <c r="D114" s="25">
        <v>23</v>
      </c>
      <c r="E114" s="83">
        <v>28</v>
      </c>
      <c r="L114" s="88" t="s">
        <v>101</v>
      </c>
      <c r="M114" s="89">
        <f>2</f>
        <v>2</v>
      </c>
      <c r="N114" s="89">
        <f>2</f>
        <v>2</v>
      </c>
      <c r="O114" s="90">
        <f>M114-N114</f>
        <v>0</v>
      </c>
    </row>
    <row r="115" spans="1:15" x14ac:dyDescent="0.2">
      <c r="A115" s="194"/>
      <c r="B115" s="84">
        <v>44930</v>
      </c>
      <c r="C115" s="25">
        <v>3</v>
      </c>
      <c r="D115" s="25">
        <v>10</v>
      </c>
      <c r="E115" s="83">
        <v>7</v>
      </c>
      <c r="L115" s="69" t="s">
        <v>99</v>
      </c>
      <c r="M115" s="67">
        <v>0</v>
      </c>
      <c r="N115" s="67">
        <f>1</f>
        <v>1</v>
      </c>
      <c r="O115" s="106">
        <f t="shared" ref="O115:O127" si="6">M115-N115</f>
        <v>-1</v>
      </c>
    </row>
    <row r="116" spans="1:15" x14ac:dyDescent="0.2">
      <c r="A116" s="194"/>
      <c r="B116" s="84">
        <v>44931</v>
      </c>
      <c r="C116" s="25">
        <v>6</v>
      </c>
      <c r="D116" s="25">
        <v>43</v>
      </c>
      <c r="E116" s="83">
        <v>42</v>
      </c>
      <c r="L116" s="69" t="s">
        <v>100</v>
      </c>
      <c r="M116" s="67">
        <f>4+3+3+3</f>
        <v>13</v>
      </c>
      <c r="N116" s="67">
        <f>3+1+2+3</f>
        <v>9</v>
      </c>
      <c r="O116" s="105">
        <f t="shared" si="6"/>
        <v>4</v>
      </c>
    </row>
    <row r="117" spans="1:15" x14ac:dyDescent="0.2">
      <c r="A117" s="194"/>
      <c r="B117" s="84">
        <v>44932</v>
      </c>
      <c r="C117" s="25">
        <v>3</v>
      </c>
      <c r="D117" s="25">
        <v>9</v>
      </c>
      <c r="E117" s="83">
        <v>9</v>
      </c>
      <c r="L117" s="69" t="s">
        <v>98</v>
      </c>
      <c r="M117" s="67">
        <f>4+4+4</f>
        <v>12</v>
      </c>
      <c r="N117" s="67">
        <f>4+4+4</f>
        <v>12</v>
      </c>
      <c r="O117" s="90">
        <f t="shared" si="6"/>
        <v>0</v>
      </c>
    </row>
    <row r="118" spans="1:15" x14ac:dyDescent="0.2">
      <c r="A118" s="195" t="s">
        <v>119</v>
      </c>
      <c r="B118" s="196"/>
      <c r="C118" s="86">
        <f>AVERAGE(C113:C117)</f>
        <v>5.4</v>
      </c>
      <c r="D118" s="86">
        <f>SUM(D113:D117)</f>
        <v>108</v>
      </c>
      <c r="E118" s="86">
        <f>SUM(E113:E117)</f>
        <v>112</v>
      </c>
      <c r="L118" s="69" t="s">
        <v>120</v>
      </c>
      <c r="M118" s="67">
        <f>3+3</f>
        <v>6</v>
      </c>
      <c r="N118" s="67">
        <f>3+4</f>
        <v>7</v>
      </c>
      <c r="O118" s="106">
        <f t="shared" si="6"/>
        <v>-1</v>
      </c>
    </row>
    <row r="119" spans="1:15" x14ac:dyDescent="0.2">
      <c r="L119" s="69" t="s">
        <v>121</v>
      </c>
      <c r="M119" s="67">
        <f>3+4</f>
        <v>7</v>
      </c>
      <c r="N119" s="67">
        <f>4+6+1+1</f>
        <v>12</v>
      </c>
      <c r="O119" s="106">
        <f t="shared" si="6"/>
        <v>-5</v>
      </c>
    </row>
    <row r="120" spans="1:15" x14ac:dyDescent="0.2">
      <c r="L120" s="69" t="s">
        <v>122</v>
      </c>
      <c r="M120" s="67">
        <f>3+4</f>
        <v>7</v>
      </c>
      <c r="N120" s="67">
        <f>4+4</f>
        <v>8</v>
      </c>
      <c r="O120" s="106">
        <f t="shared" si="6"/>
        <v>-1</v>
      </c>
    </row>
    <row r="121" spans="1:15" x14ac:dyDescent="0.2">
      <c r="L121" s="69" t="s">
        <v>123</v>
      </c>
      <c r="M121" s="67">
        <f>3</f>
        <v>3</v>
      </c>
      <c r="N121" s="67">
        <f>5</f>
        <v>5</v>
      </c>
      <c r="O121" s="106">
        <f t="shared" si="6"/>
        <v>-2</v>
      </c>
    </row>
    <row r="122" spans="1:15" x14ac:dyDescent="0.2">
      <c r="L122" s="80" t="s">
        <v>124</v>
      </c>
      <c r="M122" s="68">
        <f>3</f>
        <v>3</v>
      </c>
      <c r="N122" s="68">
        <f>3</f>
        <v>3</v>
      </c>
      <c r="O122" s="90">
        <f t="shared" si="6"/>
        <v>0</v>
      </c>
    </row>
    <row r="123" spans="1:15" x14ac:dyDescent="0.2">
      <c r="L123" s="69" t="s">
        <v>125</v>
      </c>
      <c r="M123" s="67">
        <f>3+3+3+3+3</f>
        <v>15</v>
      </c>
      <c r="N123" s="67">
        <f>2+4+2+3+3</f>
        <v>14</v>
      </c>
      <c r="O123" s="105">
        <f t="shared" si="6"/>
        <v>1</v>
      </c>
    </row>
    <row r="124" spans="1:15" x14ac:dyDescent="0.2">
      <c r="L124" s="69" t="s">
        <v>128</v>
      </c>
      <c r="M124" s="67">
        <f>9</f>
        <v>9</v>
      </c>
      <c r="N124" s="67">
        <f>9</f>
        <v>9</v>
      </c>
      <c r="O124" s="90">
        <f t="shared" si="6"/>
        <v>0</v>
      </c>
    </row>
    <row r="125" spans="1:15" x14ac:dyDescent="0.2">
      <c r="L125" s="69" t="s">
        <v>129</v>
      </c>
      <c r="M125" s="67">
        <f>9</f>
        <v>9</v>
      </c>
      <c r="N125" s="67">
        <f>9</f>
        <v>9</v>
      </c>
      <c r="O125" s="90">
        <f t="shared" si="6"/>
        <v>0</v>
      </c>
    </row>
    <row r="126" spans="1:15" x14ac:dyDescent="0.2">
      <c r="L126" s="69" t="s">
        <v>131</v>
      </c>
      <c r="M126" s="67">
        <f>9+3</f>
        <v>12</v>
      </c>
      <c r="N126" s="67">
        <f>9+3</f>
        <v>12</v>
      </c>
      <c r="O126" s="90">
        <f t="shared" si="6"/>
        <v>0</v>
      </c>
    </row>
    <row r="127" spans="1:15" x14ac:dyDescent="0.2">
      <c r="L127" s="69" t="s">
        <v>130</v>
      </c>
      <c r="M127" s="67">
        <f>10</f>
        <v>10</v>
      </c>
      <c r="N127" s="67">
        <f>9</f>
        <v>9</v>
      </c>
      <c r="O127" s="105">
        <f t="shared" si="6"/>
        <v>1</v>
      </c>
    </row>
    <row r="128" spans="1:15" ht="24" x14ac:dyDescent="0.2">
      <c r="L128" s="77" t="s">
        <v>119</v>
      </c>
      <c r="M128" s="78">
        <f>SUM(M114:M127)</f>
        <v>108</v>
      </c>
      <c r="N128" s="78">
        <f>SUM(N114:N127)</f>
        <v>112</v>
      </c>
      <c r="O128" s="79">
        <f>M128-N128</f>
        <v>-4</v>
      </c>
    </row>
    <row r="131" spans="1:15" ht="20" x14ac:dyDescent="0.2">
      <c r="A131" s="193" t="s">
        <v>43</v>
      </c>
      <c r="B131" s="118">
        <v>44935</v>
      </c>
      <c r="C131" s="82">
        <v>10</v>
      </c>
      <c r="D131" s="82">
        <v>34</v>
      </c>
      <c r="E131" s="85">
        <v>30</v>
      </c>
      <c r="L131" s="92" t="s">
        <v>115</v>
      </c>
      <c r="M131" s="93" t="s">
        <v>116</v>
      </c>
      <c r="N131" s="93" t="s">
        <v>117</v>
      </c>
      <c r="O131" s="94" t="s">
        <v>118</v>
      </c>
    </row>
    <row r="132" spans="1:15" x14ac:dyDescent="0.2">
      <c r="A132" s="194"/>
      <c r="B132" s="15">
        <v>44936</v>
      </c>
      <c r="C132" s="25">
        <v>8</v>
      </c>
      <c r="D132" s="25">
        <v>20</v>
      </c>
      <c r="E132" s="83">
        <v>19</v>
      </c>
      <c r="L132" s="88" t="s">
        <v>101</v>
      </c>
      <c r="M132" s="89">
        <f>4+2</f>
        <v>6</v>
      </c>
      <c r="N132" s="89">
        <f>4+2</f>
        <v>6</v>
      </c>
      <c r="O132" s="90">
        <f>M132-N132</f>
        <v>0</v>
      </c>
    </row>
    <row r="133" spans="1:15" x14ac:dyDescent="0.2">
      <c r="A133" s="194"/>
      <c r="B133" s="15">
        <v>44937</v>
      </c>
      <c r="C133" s="25">
        <v>3</v>
      </c>
      <c r="D133" s="25">
        <v>9</v>
      </c>
      <c r="E133" s="83">
        <v>9</v>
      </c>
      <c r="L133" s="69" t="s">
        <v>99</v>
      </c>
      <c r="M133" s="67">
        <f>4+2</f>
        <v>6</v>
      </c>
      <c r="N133" s="67">
        <f>2+2</f>
        <v>4</v>
      </c>
      <c r="O133" s="105">
        <f t="shared" ref="O133:O141" si="7">M133-N133</f>
        <v>2</v>
      </c>
    </row>
    <row r="134" spans="1:15" x14ac:dyDescent="0.2">
      <c r="A134" s="194"/>
      <c r="B134" s="15">
        <v>44938</v>
      </c>
      <c r="C134" s="25">
        <v>3</v>
      </c>
      <c r="D134" s="25">
        <v>8</v>
      </c>
      <c r="E134" s="83">
        <v>10</v>
      </c>
      <c r="L134" s="69" t="s">
        <v>100</v>
      </c>
      <c r="M134" s="67">
        <f>3+3+3+3</f>
        <v>12</v>
      </c>
      <c r="N134" s="67">
        <f>1+1+2+3</f>
        <v>7</v>
      </c>
      <c r="O134" s="105">
        <f t="shared" si="7"/>
        <v>5</v>
      </c>
    </row>
    <row r="135" spans="1:15" x14ac:dyDescent="0.2">
      <c r="A135" s="194"/>
      <c r="B135" s="15">
        <v>44939</v>
      </c>
      <c r="C135" s="25">
        <v>1</v>
      </c>
      <c r="D135" s="25">
        <v>3</v>
      </c>
      <c r="E135" s="83">
        <v>5</v>
      </c>
      <c r="L135" s="69" t="s">
        <v>98</v>
      </c>
      <c r="M135" s="67">
        <f>4+2</f>
        <v>6</v>
      </c>
      <c r="N135" s="67">
        <f>4+2</f>
        <v>6</v>
      </c>
      <c r="O135" s="90">
        <f t="shared" si="7"/>
        <v>0</v>
      </c>
    </row>
    <row r="136" spans="1:15" x14ac:dyDescent="0.2">
      <c r="A136" s="195" t="s">
        <v>119</v>
      </c>
      <c r="B136" s="196"/>
      <c r="C136" s="86">
        <f>AVERAGE(C131:C135)</f>
        <v>5</v>
      </c>
      <c r="D136" s="86">
        <f>SUM(D131:D135)</f>
        <v>74</v>
      </c>
      <c r="E136" s="87">
        <f>SUM(E131:E135)</f>
        <v>73</v>
      </c>
      <c r="L136" s="69" t="s">
        <v>120</v>
      </c>
      <c r="M136" s="67">
        <f>3+2+3+2</f>
        <v>10</v>
      </c>
      <c r="N136" s="67">
        <f>3+2+3+2</f>
        <v>10</v>
      </c>
      <c r="O136" s="90">
        <f t="shared" si="7"/>
        <v>0</v>
      </c>
    </row>
    <row r="137" spans="1:15" x14ac:dyDescent="0.2">
      <c r="L137" s="69" t="s">
        <v>121</v>
      </c>
      <c r="M137" s="67">
        <f>3</f>
        <v>3</v>
      </c>
      <c r="N137" s="67">
        <f>4+1</f>
        <v>5</v>
      </c>
      <c r="O137" s="106">
        <f t="shared" si="7"/>
        <v>-2</v>
      </c>
    </row>
    <row r="138" spans="1:15" x14ac:dyDescent="0.2">
      <c r="L138" s="69" t="s">
        <v>122</v>
      </c>
      <c r="M138" s="67">
        <f>3</f>
        <v>3</v>
      </c>
      <c r="N138" s="67">
        <f>4+1</f>
        <v>5</v>
      </c>
      <c r="O138" s="106">
        <f t="shared" si="7"/>
        <v>-2</v>
      </c>
    </row>
    <row r="139" spans="1:15" x14ac:dyDescent="0.2">
      <c r="L139" s="69" t="s">
        <v>123</v>
      </c>
      <c r="M139" s="67">
        <f>3+3</f>
        <v>6</v>
      </c>
      <c r="N139" s="67">
        <f>3+3</f>
        <v>6</v>
      </c>
      <c r="O139" s="90">
        <f t="shared" si="7"/>
        <v>0</v>
      </c>
    </row>
    <row r="140" spans="1:15" x14ac:dyDescent="0.2">
      <c r="L140" s="80" t="s">
        <v>124</v>
      </c>
      <c r="M140" s="68">
        <f>4+3</f>
        <v>7</v>
      </c>
      <c r="N140" s="68">
        <f>4+3</f>
        <v>7</v>
      </c>
      <c r="O140" s="90">
        <f t="shared" si="7"/>
        <v>0</v>
      </c>
    </row>
    <row r="141" spans="1:15" x14ac:dyDescent="0.2">
      <c r="L141" s="69" t="s">
        <v>125</v>
      </c>
      <c r="M141" s="67">
        <f>3+3+3+3+3</f>
        <v>15</v>
      </c>
      <c r="N141" s="67">
        <f>1+4+4+3+5</f>
        <v>17</v>
      </c>
      <c r="O141" s="106">
        <f t="shared" si="7"/>
        <v>-2</v>
      </c>
    </row>
    <row r="142" spans="1:15" ht="24" x14ac:dyDescent="0.2">
      <c r="L142" s="77" t="s">
        <v>119</v>
      </c>
      <c r="M142" s="78">
        <f>SUM(M132:M141)</f>
        <v>74</v>
      </c>
      <c r="N142" s="78">
        <f>SUM(N132:N141)</f>
        <v>73</v>
      </c>
      <c r="O142" s="79">
        <f>M142-N142</f>
        <v>1</v>
      </c>
    </row>
    <row r="145" spans="1:15" ht="20" x14ac:dyDescent="0.2">
      <c r="A145" s="193" t="s">
        <v>46</v>
      </c>
      <c r="B145" s="118">
        <v>44942</v>
      </c>
      <c r="C145" s="82">
        <v>1</v>
      </c>
      <c r="D145" s="82">
        <v>9</v>
      </c>
      <c r="E145" s="85">
        <v>6</v>
      </c>
      <c r="L145" s="125" t="s">
        <v>115</v>
      </c>
      <c r="M145" s="126" t="s">
        <v>116</v>
      </c>
      <c r="N145" s="126" t="s">
        <v>117</v>
      </c>
      <c r="O145" s="127" t="s">
        <v>118</v>
      </c>
    </row>
    <row r="146" spans="1:15" x14ac:dyDescent="0.2">
      <c r="A146" s="194"/>
      <c r="B146" s="118">
        <v>44943</v>
      </c>
      <c r="C146" s="25">
        <v>6</v>
      </c>
      <c r="D146" s="25">
        <v>27</v>
      </c>
      <c r="E146" s="83">
        <v>23</v>
      </c>
      <c r="L146" s="69" t="s">
        <v>101</v>
      </c>
      <c r="M146" s="67">
        <v>0</v>
      </c>
      <c r="N146" s="67">
        <v>0</v>
      </c>
      <c r="O146" s="70">
        <f>M146-N146</f>
        <v>0</v>
      </c>
    </row>
    <row r="147" spans="1:15" x14ac:dyDescent="0.2">
      <c r="A147" s="194"/>
      <c r="B147" s="118">
        <v>44944</v>
      </c>
      <c r="C147" s="25">
        <v>8</v>
      </c>
      <c r="D147" s="25">
        <v>34</v>
      </c>
      <c r="E147" s="83">
        <v>30</v>
      </c>
      <c r="L147" s="69" t="s">
        <v>99</v>
      </c>
      <c r="M147" s="67">
        <f>3+3+3+4</f>
        <v>13</v>
      </c>
      <c r="N147" s="67">
        <f>3+3+4+4</f>
        <v>14</v>
      </c>
      <c r="O147" s="103">
        <f t="shared" ref="O147:O158" si="8">M147-N147</f>
        <v>-1</v>
      </c>
    </row>
    <row r="148" spans="1:15" x14ac:dyDescent="0.2">
      <c r="A148" s="194"/>
      <c r="B148" s="118">
        <v>44945</v>
      </c>
      <c r="C148" s="25">
        <v>9</v>
      </c>
      <c r="D148" s="25">
        <v>39</v>
      </c>
      <c r="E148" s="83">
        <v>41</v>
      </c>
      <c r="L148" s="69" t="s">
        <v>100</v>
      </c>
      <c r="M148" s="67">
        <f>9+9+9+9+9</f>
        <v>45</v>
      </c>
      <c r="N148" s="67">
        <f>6+6+6+8+7</f>
        <v>33</v>
      </c>
      <c r="O148" s="102">
        <f t="shared" si="8"/>
        <v>12</v>
      </c>
    </row>
    <row r="149" spans="1:15" x14ac:dyDescent="0.2">
      <c r="A149" s="194"/>
      <c r="B149" s="118">
        <v>44946</v>
      </c>
      <c r="C149" s="25">
        <v>11</v>
      </c>
      <c r="D149" s="25">
        <v>40</v>
      </c>
      <c r="E149" s="83">
        <v>39</v>
      </c>
      <c r="L149" s="69" t="s">
        <v>98</v>
      </c>
      <c r="M149" s="67">
        <f>3+3+3+4</f>
        <v>13</v>
      </c>
      <c r="N149" s="67">
        <f>2+3+4+4</f>
        <v>13</v>
      </c>
      <c r="O149" s="70">
        <f t="shared" si="8"/>
        <v>0</v>
      </c>
    </row>
    <row r="150" spans="1:15" x14ac:dyDescent="0.2">
      <c r="A150" s="195" t="s">
        <v>119</v>
      </c>
      <c r="B150" s="196"/>
      <c r="C150" s="86">
        <f>AVERAGE(C145:C149)</f>
        <v>7</v>
      </c>
      <c r="D150" s="86">
        <f>SUM(D145:D149)</f>
        <v>149</v>
      </c>
      <c r="E150" s="87">
        <f>SUM(E145:E149)</f>
        <v>139</v>
      </c>
      <c r="L150" s="69" t="s">
        <v>120</v>
      </c>
      <c r="M150" s="67">
        <f>4+4+4</f>
        <v>12</v>
      </c>
      <c r="N150" s="67">
        <f>4+4+5</f>
        <v>13</v>
      </c>
      <c r="O150" s="103">
        <f t="shared" si="8"/>
        <v>-1</v>
      </c>
    </row>
    <row r="151" spans="1:15" x14ac:dyDescent="0.2">
      <c r="L151" s="69" t="s">
        <v>121</v>
      </c>
      <c r="M151" s="67">
        <f>4+4+4+4</f>
        <v>16</v>
      </c>
      <c r="N151" s="67">
        <f>4+3+5+4</f>
        <v>16</v>
      </c>
      <c r="O151" s="70">
        <f t="shared" si="8"/>
        <v>0</v>
      </c>
    </row>
    <row r="152" spans="1:15" x14ac:dyDescent="0.2">
      <c r="L152" s="69" t="s">
        <v>122</v>
      </c>
      <c r="M152" s="67">
        <f>4+4+4+4</f>
        <v>16</v>
      </c>
      <c r="N152" s="67">
        <f>4+4+4+4</f>
        <v>16</v>
      </c>
      <c r="O152" s="70">
        <f t="shared" si="8"/>
        <v>0</v>
      </c>
    </row>
    <row r="153" spans="1:15" x14ac:dyDescent="0.2">
      <c r="L153" s="69" t="s">
        <v>123</v>
      </c>
      <c r="M153" s="67">
        <f>4+4+4</f>
        <v>12</v>
      </c>
      <c r="N153" s="67">
        <f>4+4+4</f>
        <v>12</v>
      </c>
      <c r="O153" s="70">
        <f t="shared" si="8"/>
        <v>0</v>
      </c>
    </row>
    <row r="154" spans="1:15" x14ac:dyDescent="0.2">
      <c r="L154" s="69" t="s">
        <v>124</v>
      </c>
      <c r="M154" s="67">
        <f>4+3+4</f>
        <v>11</v>
      </c>
      <c r="N154" s="67">
        <f>4+3+4</f>
        <v>11</v>
      </c>
      <c r="O154" s="70">
        <f t="shared" si="8"/>
        <v>0</v>
      </c>
    </row>
    <row r="155" spans="1:15" x14ac:dyDescent="0.2">
      <c r="L155" s="69" t="s">
        <v>125</v>
      </c>
      <c r="M155" s="67">
        <f>4+4</f>
        <v>8</v>
      </c>
      <c r="N155" s="67">
        <f>4+4</f>
        <v>8</v>
      </c>
      <c r="O155" s="70">
        <f t="shared" si="8"/>
        <v>0</v>
      </c>
    </row>
    <row r="156" spans="1:15" x14ac:dyDescent="0.2">
      <c r="L156" s="69" t="s">
        <v>132</v>
      </c>
      <c r="M156" s="67">
        <v>1</v>
      </c>
      <c r="N156" s="124">
        <v>1</v>
      </c>
      <c r="O156" s="70">
        <f t="shared" si="8"/>
        <v>0</v>
      </c>
    </row>
    <row r="157" spans="1:15" x14ac:dyDescent="0.2">
      <c r="L157" s="69" t="s">
        <v>131</v>
      </c>
      <c r="M157" s="67">
        <v>1</v>
      </c>
      <c r="N157" s="124">
        <v>1</v>
      </c>
      <c r="O157" s="70">
        <f t="shared" si="8"/>
        <v>0</v>
      </c>
    </row>
    <row r="158" spans="1:15" x14ac:dyDescent="0.2">
      <c r="L158" s="69" t="s">
        <v>128</v>
      </c>
      <c r="M158" s="67">
        <v>1</v>
      </c>
      <c r="N158" s="124">
        <v>1</v>
      </c>
      <c r="O158" s="70">
        <f t="shared" si="8"/>
        <v>0</v>
      </c>
    </row>
    <row r="159" spans="1:15" ht="24" x14ac:dyDescent="0.2">
      <c r="L159" s="128" t="s">
        <v>119</v>
      </c>
      <c r="M159" s="129">
        <f>SUM(M146:M158)</f>
        <v>149</v>
      </c>
      <c r="N159" s="129">
        <f t="shared" ref="N159:O159" si="9">SUM(N146:N158)</f>
        <v>139</v>
      </c>
      <c r="O159" s="130">
        <f t="shared" si="9"/>
        <v>10</v>
      </c>
    </row>
    <row r="162" spans="1:15" ht="20" x14ac:dyDescent="0.2">
      <c r="A162" s="193" t="s">
        <v>49</v>
      </c>
      <c r="B162" s="118">
        <v>44949</v>
      </c>
      <c r="C162" s="82">
        <v>9</v>
      </c>
      <c r="D162" s="82">
        <v>41</v>
      </c>
      <c r="E162" s="85">
        <v>40</v>
      </c>
      <c r="L162" s="125" t="s">
        <v>115</v>
      </c>
      <c r="M162" s="126" t="s">
        <v>116</v>
      </c>
      <c r="N162" s="126" t="s">
        <v>117</v>
      </c>
      <c r="O162" s="127" t="s">
        <v>118</v>
      </c>
    </row>
    <row r="163" spans="1:15" x14ac:dyDescent="0.2">
      <c r="A163" s="194"/>
      <c r="B163" s="118">
        <v>44950</v>
      </c>
      <c r="C163" s="25">
        <v>8</v>
      </c>
      <c r="D163" s="25">
        <v>32</v>
      </c>
      <c r="E163" s="83">
        <v>31</v>
      </c>
      <c r="L163" s="69" t="s">
        <v>101</v>
      </c>
      <c r="M163" s="67">
        <v>0</v>
      </c>
      <c r="N163" s="67">
        <v>0</v>
      </c>
      <c r="O163" s="70">
        <f>M163-N163</f>
        <v>0</v>
      </c>
    </row>
    <row r="164" spans="1:15" x14ac:dyDescent="0.2">
      <c r="A164" s="194"/>
      <c r="B164" s="118">
        <v>44951</v>
      </c>
      <c r="C164" s="25">
        <v>8</v>
      </c>
      <c r="D164" s="25">
        <v>32</v>
      </c>
      <c r="E164" s="83">
        <v>32</v>
      </c>
      <c r="L164" s="69" t="s">
        <v>99</v>
      </c>
      <c r="M164" s="67">
        <f>4+4+4+4</f>
        <v>16</v>
      </c>
      <c r="N164" s="67">
        <f>4+4+4+4</f>
        <v>16</v>
      </c>
      <c r="O164" s="70">
        <f t="shared" ref="O164:O172" si="10">M164-N164</f>
        <v>0</v>
      </c>
    </row>
    <row r="165" spans="1:15" x14ac:dyDescent="0.2">
      <c r="A165" s="194"/>
      <c r="B165" s="118">
        <v>44952</v>
      </c>
      <c r="C165" s="201" t="s">
        <v>133</v>
      </c>
      <c r="D165" s="202"/>
      <c r="E165" s="203"/>
      <c r="L165" s="69" t="s">
        <v>100</v>
      </c>
      <c r="M165" s="67">
        <f>9+4</f>
        <v>13</v>
      </c>
      <c r="N165" s="67">
        <f>8+1+4</f>
        <v>13</v>
      </c>
      <c r="O165" s="70">
        <f t="shared" si="10"/>
        <v>0</v>
      </c>
    </row>
    <row r="166" spans="1:15" x14ac:dyDescent="0.2">
      <c r="A166" s="194"/>
      <c r="B166" s="118">
        <v>44953</v>
      </c>
      <c r="C166" s="25">
        <v>9</v>
      </c>
      <c r="D166" s="25">
        <v>36</v>
      </c>
      <c r="E166" s="83">
        <v>40</v>
      </c>
      <c r="L166" s="69" t="s">
        <v>98</v>
      </c>
      <c r="M166" s="67">
        <f t="shared" ref="M166:N171" si="11">4+4+4+4</f>
        <v>16</v>
      </c>
      <c r="N166" s="67">
        <f t="shared" si="11"/>
        <v>16</v>
      </c>
      <c r="O166" s="70">
        <f t="shared" si="10"/>
        <v>0</v>
      </c>
    </row>
    <row r="167" spans="1:15" x14ac:dyDescent="0.2">
      <c r="A167" s="195" t="s">
        <v>119</v>
      </c>
      <c r="B167" s="196"/>
      <c r="C167" s="86">
        <f>AVERAGE(C162:C166)</f>
        <v>8.5</v>
      </c>
      <c r="D167" s="86">
        <f>SUM(D162:D166)</f>
        <v>141</v>
      </c>
      <c r="E167" s="87">
        <f>SUM(E162:E166)</f>
        <v>143</v>
      </c>
      <c r="L167" s="69" t="s">
        <v>120</v>
      </c>
      <c r="M167" s="67">
        <f t="shared" si="11"/>
        <v>16</v>
      </c>
      <c r="N167" s="67">
        <f t="shared" si="11"/>
        <v>16</v>
      </c>
      <c r="O167" s="70">
        <f t="shared" si="10"/>
        <v>0</v>
      </c>
    </row>
    <row r="168" spans="1:15" x14ac:dyDescent="0.2">
      <c r="L168" s="69" t="s">
        <v>121</v>
      </c>
      <c r="M168" s="67">
        <f t="shared" si="11"/>
        <v>16</v>
      </c>
      <c r="N168" s="67">
        <f t="shared" si="11"/>
        <v>16</v>
      </c>
      <c r="O168" s="70">
        <f t="shared" si="10"/>
        <v>0</v>
      </c>
    </row>
    <row r="169" spans="1:15" x14ac:dyDescent="0.2">
      <c r="L169" s="69" t="s">
        <v>122</v>
      </c>
      <c r="M169" s="67">
        <f t="shared" si="11"/>
        <v>16</v>
      </c>
      <c r="N169" s="67">
        <f t="shared" si="11"/>
        <v>16</v>
      </c>
      <c r="O169" s="70">
        <f t="shared" si="10"/>
        <v>0</v>
      </c>
    </row>
    <row r="170" spans="1:15" x14ac:dyDescent="0.2">
      <c r="L170" s="69" t="s">
        <v>123</v>
      </c>
      <c r="M170" s="67">
        <f t="shared" si="11"/>
        <v>16</v>
      </c>
      <c r="N170" s="67">
        <f t="shared" si="11"/>
        <v>16</v>
      </c>
      <c r="O170" s="70">
        <f t="shared" si="10"/>
        <v>0</v>
      </c>
    </row>
    <row r="171" spans="1:15" x14ac:dyDescent="0.2">
      <c r="L171" s="69" t="s">
        <v>124</v>
      </c>
      <c r="M171" s="67">
        <f t="shared" si="11"/>
        <v>16</v>
      </c>
      <c r="N171" s="67">
        <f t="shared" si="11"/>
        <v>16</v>
      </c>
      <c r="O171" s="70">
        <f t="shared" si="10"/>
        <v>0</v>
      </c>
    </row>
    <row r="172" spans="1:15" x14ac:dyDescent="0.2">
      <c r="L172" s="69" t="s">
        <v>125</v>
      </c>
      <c r="M172" s="67">
        <f>4+4+4+4</f>
        <v>16</v>
      </c>
      <c r="N172" s="67">
        <f>4+2+4+8</f>
        <v>18</v>
      </c>
      <c r="O172" s="103">
        <f t="shared" si="10"/>
        <v>-2</v>
      </c>
    </row>
    <row r="173" spans="1:15" ht="24" x14ac:dyDescent="0.2">
      <c r="L173" s="128" t="s">
        <v>119</v>
      </c>
      <c r="M173" s="129">
        <f>SUM(M163:M172)</f>
        <v>141</v>
      </c>
      <c r="N173" s="129">
        <f>SUM(N163:N172)</f>
        <v>143</v>
      </c>
      <c r="O173" s="130">
        <f>SUM(O163:O172)</f>
        <v>-2</v>
      </c>
    </row>
    <row r="176" spans="1:15" ht="20" x14ac:dyDescent="0.2">
      <c r="A176" s="193" t="s">
        <v>52</v>
      </c>
      <c r="B176" s="118">
        <v>44956</v>
      </c>
      <c r="C176" s="82">
        <v>10</v>
      </c>
      <c r="D176" s="82">
        <v>45</v>
      </c>
      <c r="E176" s="85">
        <v>45</v>
      </c>
      <c r="L176" s="125" t="s">
        <v>115</v>
      </c>
      <c r="M176" s="126" t="s">
        <v>116</v>
      </c>
      <c r="N176" s="126" t="s">
        <v>117</v>
      </c>
      <c r="O176" s="127" t="s">
        <v>118</v>
      </c>
    </row>
    <row r="177" spans="1:16" x14ac:dyDescent="0.2">
      <c r="A177" s="194"/>
      <c r="B177" s="118">
        <v>44957</v>
      </c>
      <c r="C177" s="25">
        <v>9</v>
      </c>
      <c r="D177" s="25">
        <v>41</v>
      </c>
      <c r="E177" s="83">
        <v>40</v>
      </c>
      <c r="L177" s="69" t="s">
        <v>101</v>
      </c>
      <c r="M177" s="67">
        <f>4+4+5+5+5</f>
        <v>23</v>
      </c>
      <c r="N177" s="67">
        <f>4+4+5+3+3</f>
        <v>19</v>
      </c>
      <c r="O177" s="102">
        <f>M177-N177</f>
        <v>4</v>
      </c>
    </row>
    <row r="178" spans="1:16" x14ac:dyDescent="0.2">
      <c r="A178" s="194"/>
      <c r="B178" s="118">
        <v>44958</v>
      </c>
      <c r="C178" s="25">
        <v>8</v>
      </c>
      <c r="D178" s="25">
        <v>38</v>
      </c>
      <c r="E178" s="83">
        <v>40</v>
      </c>
      <c r="L178" s="69" t="s">
        <v>99</v>
      </c>
      <c r="M178" s="67">
        <f>4+4+5+5+5</f>
        <v>23</v>
      </c>
      <c r="N178" s="67">
        <f>4+4+5+3+5</f>
        <v>21</v>
      </c>
      <c r="O178" s="141">
        <f t="shared" ref="O178:O186" si="12">M178-N178</f>
        <v>2</v>
      </c>
    </row>
    <row r="179" spans="1:16" x14ac:dyDescent="0.2">
      <c r="A179" s="194"/>
      <c r="B179" s="118">
        <v>44959</v>
      </c>
      <c r="C179" s="25">
        <v>9</v>
      </c>
      <c r="D179" s="25">
        <v>45</v>
      </c>
      <c r="E179" s="83">
        <v>31</v>
      </c>
      <c r="L179" s="69" t="s">
        <v>100</v>
      </c>
      <c r="M179" s="67">
        <f>9+9+3+5+5</f>
        <v>31</v>
      </c>
      <c r="N179" s="67">
        <f>6+6+5+3+5</f>
        <v>25</v>
      </c>
      <c r="O179" s="102">
        <f t="shared" si="12"/>
        <v>6</v>
      </c>
    </row>
    <row r="180" spans="1:16" x14ac:dyDescent="0.2">
      <c r="A180" s="194"/>
      <c r="B180" s="118">
        <v>44960</v>
      </c>
      <c r="C180" s="25">
        <v>9</v>
      </c>
      <c r="D180" s="25">
        <v>45</v>
      </c>
      <c r="E180" s="83">
        <v>42</v>
      </c>
      <c r="L180" s="69" t="s">
        <v>98</v>
      </c>
      <c r="M180" s="67">
        <f>4+4+5+5+5</f>
        <v>23</v>
      </c>
      <c r="N180" s="67">
        <f>4+4+5+4+5</f>
        <v>22</v>
      </c>
      <c r="O180" s="141">
        <f t="shared" si="12"/>
        <v>1</v>
      </c>
    </row>
    <row r="181" spans="1:16" x14ac:dyDescent="0.2">
      <c r="A181" s="195" t="s">
        <v>119</v>
      </c>
      <c r="B181" s="196"/>
      <c r="C181" s="86">
        <f>AVERAGE(C176:C180)</f>
        <v>9</v>
      </c>
      <c r="D181" s="86">
        <f>SUM(D176:D180)</f>
        <v>214</v>
      </c>
      <c r="E181" s="87">
        <f>SUM(E176:E180)</f>
        <v>198</v>
      </c>
      <c r="L181" s="69" t="s">
        <v>120</v>
      </c>
      <c r="M181" s="67">
        <f>4+4+5+5+5</f>
        <v>23</v>
      </c>
      <c r="N181" s="67">
        <f>4+4+5+4+5</f>
        <v>22</v>
      </c>
      <c r="O181" s="141">
        <f t="shared" si="12"/>
        <v>1</v>
      </c>
    </row>
    <row r="182" spans="1:16" x14ac:dyDescent="0.2">
      <c r="L182" s="69" t="s">
        <v>121</v>
      </c>
      <c r="M182" s="67">
        <f>4+4+5+5+5</f>
        <v>23</v>
      </c>
      <c r="N182" s="67">
        <f>4+4+5+4+5</f>
        <v>22</v>
      </c>
      <c r="O182" s="141">
        <f t="shared" si="12"/>
        <v>1</v>
      </c>
    </row>
    <row r="183" spans="1:16" x14ac:dyDescent="0.2">
      <c r="L183" s="69" t="s">
        <v>122</v>
      </c>
      <c r="M183" s="67">
        <f>4</f>
        <v>4</v>
      </c>
      <c r="N183" s="67">
        <f>3</f>
        <v>3</v>
      </c>
      <c r="O183" s="141">
        <f t="shared" si="12"/>
        <v>1</v>
      </c>
    </row>
    <row r="184" spans="1:16" x14ac:dyDescent="0.2">
      <c r="L184" s="69" t="s">
        <v>123</v>
      </c>
      <c r="M184" s="67">
        <f>4+4+5+5+5</f>
        <v>23</v>
      </c>
      <c r="N184" s="67">
        <f>4+4+5+3+5</f>
        <v>21</v>
      </c>
      <c r="O184" s="141">
        <f t="shared" si="12"/>
        <v>2</v>
      </c>
    </row>
    <row r="185" spans="1:16" x14ac:dyDescent="0.2">
      <c r="L185" s="69" t="s">
        <v>124</v>
      </c>
      <c r="M185" s="67">
        <f>4+4+5+5+5</f>
        <v>23</v>
      </c>
      <c r="N185" s="67">
        <f>4+4+5+5+5</f>
        <v>23</v>
      </c>
      <c r="O185" s="70">
        <f t="shared" si="12"/>
        <v>0</v>
      </c>
    </row>
    <row r="186" spans="1:16" x14ac:dyDescent="0.2">
      <c r="L186" s="69" t="s">
        <v>125</v>
      </c>
      <c r="M186" s="67">
        <f>4+4+5+5</f>
        <v>18</v>
      </c>
      <c r="N186" s="67">
        <f>8+6+2+4</f>
        <v>20</v>
      </c>
      <c r="O186" s="103">
        <f t="shared" si="12"/>
        <v>-2</v>
      </c>
    </row>
    <row r="187" spans="1:16" ht="24" x14ac:dyDescent="0.2">
      <c r="L187" s="128" t="s">
        <v>119</v>
      </c>
      <c r="M187" s="129">
        <f>SUM(M177:M186)</f>
        <v>214</v>
      </c>
      <c r="N187" s="129">
        <f>SUM(N177:N186)</f>
        <v>198</v>
      </c>
      <c r="O187" s="130">
        <f>SUM(O177:O186)</f>
        <v>16</v>
      </c>
    </row>
    <row r="190" spans="1:16" ht="20" x14ac:dyDescent="0.25">
      <c r="A190" s="197" t="s">
        <v>55</v>
      </c>
      <c r="B190" s="156">
        <v>45079</v>
      </c>
      <c r="C190" s="157">
        <v>8</v>
      </c>
      <c r="D190" s="157">
        <v>40</v>
      </c>
      <c r="E190" s="158">
        <v>41</v>
      </c>
      <c r="L190" s="165" t="s">
        <v>115</v>
      </c>
      <c r="M190" s="166" t="s">
        <v>116</v>
      </c>
      <c r="N190" s="166" t="s">
        <v>117</v>
      </c>
      <c r="O190" s="166" t="s">
        <v>118</v>
      </c>
      <c r="P190" s="167" t="s">
        <v>9</v>
      </c>
    </row>
    <row r="191" spans="1:16" x14ac:dyDescent="0.2">
      <c r="A191" s="198"/>
      <c r="B191" s="156">
        <v>45109</v>
      </c>
      <c r="C191" s="159">
        <v>8</v>
      </c>
      <c r="D191" s="159">
        <v>39</v>
      </c>
      <c r="E191" s="160">
        <v>44</v>
      </c>
      <c r="L191" s="168" t="s">
        <v>101</v>
      </c>
      <c r="M191" s="169">
        <v>30</v>
      </c>
      <c r="N191" s="169">
        <v>28</v>
      </c>
      <c r="O191" s="170">
        <v>2</v>
      </c>
      <c r="P191" s="171" t="s">
        <v>134</v>
      </c>
    </row>
    <row r="192" spans="1:16" x14ac:dyDescent="0.2">
      <c r="A192" s="198"/>
      <c r="B192" s="156">
        <v>45140</v>
      </c>
      <c r="C192" s="159">
        <v>8</v>
      </c>
      <c r="D192" s="159">
        <v>40</v>
      </c>
      <c r="E192" s="160">
        <v>51</v>
      </c>
      <c r="L192" s="168" t="s">
        <v>99</v>
      </c>
      <c r="M192" s="169">
        <v>14</v>
      </c>
      <c r="N192" s="169">
        <v>14</v>
      </c>
      <c r="O192" s="172">
        <v>0</v>
      </c>
      <c r="P192" s="171" t="s">
        <v>135</v>
      </c>
    </row>
    <row r="193" spans="1:16" x14ac:dyDescent="0.2">
      <c r="A193" s="198"/>
      <c r="B193" s="156">
        <v>45171</v>
      </c>
      <c r="C193" s="159">
        <v>8</v>
      </c>
      <c r="D193" s="159">
        <v>40</v>
      </c>
      <c r="E193" s="160">
        <v>37</v>
      </c>
      <c r="L193" s="168" t="s">
        <v>100</v>
      </c>
      <c r="M193" s="169">
        <v>25</v>
      </c>
      <c r="N193" s="169">
        <v>22</v>
      </c>
      <c r="O193" s="170">
        <v>3</v>
      </c>
      <c r="P193" s="171" t="s">
        <v>136</v>
      </c>
    </row>
    <row r="194" spans="1:16" x14ac:dyDescent="0.2">
      <c r="A194" s="198"/>
      <c r="B194" s="156">
        <v>45201</v>
      </c>
      <c r="C194" s="159">
        <v>9</v>
      </c>
      <c r="D194" s="159">
        <v>45</v>
      </c>
      <c r="E194" s="160">
        <v>43</v>
      </c>
      <c r="L194" s="168" t="s">
        <v>98</v>
      </c>
      <c r="M194" s="169">
        <v>10</v>
      </c>
      <c r="N194" s="169">
        <v>10</v>
      </c>
      <c r="O194" s="172">
        <v>0</v>
      </c>
      <c r="P194" s="171" t="s">
        <v>135</v>
      </c>
    </row>
    <row r="195" spans="1:16" x14ac:dyDescent="0.2">
      <c r="A195" s="199"/>
      <c r="B195" s="156">
        <v>45232</v>
      </c>
      <c r="C195" s="161">
        <v>6</v>
      </c>
      <c r="D195" s="161">
        <v>30</v>
      </c>
      <c r="E195" s="162">
        <v>25</v>
      </c>
      <c r="L195" s="168" t="s">
        <v>120</v>
      </c>
      <c r="M195" s="169">
        <v>30</v>
      </c>
      <c r="N195" s="169">
        <v>30</v>
      </c>
      <c r="O195" s="172">
        <v>0</v>
      </c>
      <c r="P195" s="171" t="s">
        <v>135</v>
      </c>
    </row>
    <row r="196" spans="1:16" x14ac:dyDescent="0.2">
      <c r="A196" s="191" t="s">
        <v>119</v>
      </c>
      <c r="B196" s="192"/>
      <c r="C196" s="163">
        <v>7.8333333329999997</v>
      </c>
      <c r="D196" s="163">
        <v>234</v>
      </c>
      <c r="E196" s="164">
        <v>241</v>
      </c>
      <c r="L196" s="168" t="s">
        <v>121</v>
      </c>
      <c r="M196" s="169">
        <v>30</v>
      </c>
      <c r="N196" s="169">
        <v>29</v>
      </c>
      <c r="O196" s="170">
        <v>1</v>
      </c>
      <c r="P196" s="171" t="s">
        <v>135</v>
      </c>
    </row>
    <row r="197" spans="1:16" x14ac:dyDescent="0.2">
      <c r="L197" s="168" t="s">
        <v>122</v>
      </c>
      <c r="M197" s="169">
        <v>20</v>
      </c>
      <c r="N197" s="169">
        <v>19</v>
      </c>
      <c r="O197" s="170">
        <v>1</v>
      </c>
      <c r="P197" s="171" t="s">
        <v>135</v>
      </c>
    </row>
    <row r="198" spans="1:16" x14ac:dyDescent="0.2">
      <c r="L198" s="168" t="s">
        <v>123</v>
      </c>
      <c r="M198" s="169">
        <v>30</v>
      </c>
      <c r="N198" s="169">
        <v>30</v>
      </c>
      <c r="O198" s="172">
        <v>0</v>
      </c>
      <c r="P198" s="171" t="s">
        <v>135</v>
      </c>
    </row>
    <row r="199" spans="1:16" x14ac:dyDescent="0.2">
      <c r="L199" s="168" t="s">
        <v>125</v>
      </c>
      <c r="M199" s="169">
        <v>15</v>
      </c>
      <c r="N199" s="169">
        <v>18</v>
      </c>
      <c r="O199" s="173">
        <v>-3</v>
      </c>
      <c r="P199" s="171" t="s">
        <v>135</v>
      </c>
    </row>
    <row r="200" spans="1:16" x14ac:dyDescent="0.2">
      <c r="L200" s="168" t="s">
        <v>137</v>
      </c>
      <c r="M200" s="169">
        <v>10</v>
      </c>
      <c r="N200" s="169">
        <v>17</v>
      </c>
      <c r="O200" s="173">
        <v>-7</v>
      </c>
      <c r="P200" s="171" t="s">
        <v>135</v>
      </c>
    </row>
    <row r="201" spans="1:16" x14ac:dyDescent="0.2">
      <c r="L201" s="168" t="s">
        <v>138</v>
      </c>
      <c r="M201" s="169">
        <v>20</v>
      </c>
      <c r="N201" s="169">
        <v>24</v>
      </c>
      <c r="O201" s="173">
        <v>-4</v>
      </c>
      <c r="P201" s="171" t="s">
        <v>135</v>
      </c>
    </row>
    <row r="202" spans="1:16" ht="24" x14ac:dyDescent="0.3">
      <c r="L202" s="174" t="s">
        <v>119</v>
      </c>
      <c r="M202" s="175">
        <v>234</v>
      </c>
      <c r="N202" s="175">
        <v>241</v>
      </c>
      <c r="O202" s="175">
        <v>-7</v>
      </c>
      <c r="P202" s="176" t="s">
        <v>135</v>
      </c>
    </row>
  </sheetData>
  <mergeCells count="26">
    <mergeCell ref="C165:E165"/>
    <mergeCell ref="A98:A102"/>
    <mergeCell ref="A103:B103"/>
    <mergeCell ref="A145:A149"/>
    <mergeCell ref="A150:B150"/>
    <mergeCell ref="A131:A135"/>
    <mergeCell ref="A136:B136"/>
    <mergeCell ref="A113:A117"/>
    <mergeCell ref="A118:B118"/>
    <mergeCell ref="A2:A8"/>
    <mergeCell ref="A11:A17"/>
    <mergeCell ref="A20:A26"/>
    <mergeCell ref="A29:A35"/>
    <mergeCell ref="A38:A42"/>
    <mergeCell ref="A62:A66"/>
    <mergeCell ref="A67:B67"/>
    <mergeCell ref="A162:A166"/>
    <mergeCell ref="A167:B167"/>
    <mergeCell ref="A46:A50"/>
    <mergeCell ref="A51:B51"/>
    <mergeCell ref="A196:B196"/>
    <mergeCell ref="A176:A180"/>
    <mergeCell ref="A181:B181"/>
    <mergeCell ref="A82:A86"/>
    <mergeCell ref="A87:B87"/>
    <mergeCell ref="A190:A19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0EAC3-8CA0-43AA-8A0B-7B1907B72271}">
  <sheetPr codeName="Sheet6"/>
  <dimension ref="A1:K119"/>
  <sheetViews>
    <sheetView workbookViewId="0">
      <pane ySplit="2" topLeftCell="A106" activePane="bottomLeft" state="frozen"/>
      <selection pane="bottomLeft" activeCell="E124" sqref="E124"/>
    </sheetView>
  </sheetViews>
  <sheetFormatPr baseColWidth="10" defaultColWidth="8.83203125" defaultRowHeight="15" customHeight="1" x14ac:dyDescent="0.2"/>
  <cols>
    <col min="2" max="2" width="11.5" bestFit="1" customWidth="1"/>
    <col min="3" max="3" width="16.33203125" style="12" customWidth="1"/>
    <col min="5" max="5" width="9.1640625" style="12"/>
    <col min="6" max="6" width="17.5" customWidth="1"/>
    <col min="7" max="7" width="11.5" bestFit="1" customWidth="1"/>
    <col min="11" max="11" width="27" bestFit="1" customWidth="1"/>
  </cols>
  <sheetData>
    <row r="1" spans="1:11" x14ac:dyDescent="0.2">
      <c r="A1" s="211" t="s">
        <v>111</v>
      </c>
      <c r="B1" s="210" t="s">
        <v>1</v>
      </c>
      <c r="C1" s="212" t="s">
        <v>139</v>
      </c>
      <c r="D1" s="212"/>
      <c r="E1" s="213"/>
      <c r="F1" s="204" t="s">
        <v>140</v>
      </c>
      <c r="G1" s="205"/>
      <c r="H1" s="206"/>
    </row>
    <row r="2" spans="1:11" x14ac:dyDescent="0.2">
      <c r="A2" s="211"/>
      <c r="B2" s="210"/>
      <c r="C2" s="55" t="s">
        <v>112</v>
      </c>
      <c r="D2" s="56" t="s">
        <v>113</v>
      </c>
      <c r="E2" s="57" t="s">
        <v>114</v>
      </c>
      <c r="F2" s="58" t="s">
        <v>112</v>
      </c>
      <c r="G2" s="58" t="s">
        <v>113</v>
      </c>
      <c r="H2" s="59" t="s">
        <v>114</v>
      </c>
      <c r="I2" s="12"/>
      <c r="J2" s="12"/>
      <c r="K2" s="19"/>
    </row>
    <row r="3" spans="1:11" x14ac:dyDescent="0.2">
      <c r="A3" s="207" t="s">
        <v>10</v>
      </c>
      <c r="B3" s="53">
        <v>44865</v>
      </c>
      <c r="C3" s="16">
        <v>2</v>
      </c>
      <c r="D3" s="16">
        <f>(2*10)</f>
        <v>20</v>
      </c>
      <c r="E3" s="16">
        <v>16</v>
      </c>
      <c r="F3" s="16">
        <v>1</v>
      </c>
      <c r="G3" s="16">
        <f>(1*10)</f>
        <v>10</v>
      </c>
      <c r="H3" s="16">
        <v>11</v>
      </c>
      <c r="I3" s="12"/>
      <c r="J3" s="12"/>
      <c r="K3" s="19"/>
    </row>
    <row r="4" spans="1:11" x14ac:dyDescent="0.2">
      <c r="A4" s="208"/>
      <c r="B4" s="15">
        <v>44866</v>
      </c>
      <c r="C4" s="16">
        <v>2</v>
      </c>
      <c r="D4" s="16">
        <f t="shared" ref="D4:D7" si="0">(2*10)</f>
        <v>20</v>
      </c>
      <c r="E4" s="16">
        <v>18</v>
      </c>
      <c r="F4" s="16">
        <v>1</v>
      </c>
      <c r="G4" s="16">
        <f t="shared" ref="G4:G7" si="1">(1*10)</f>
        <v>10</v>
      </c>
      <c r="H4" s="16">
        <v>11</v>
      </c>
      <c r="I4" s="12"/>
      <c r="J4" s="12"/>
      <c r="K4" s="19"/>
    </row>
    <row r="5" spans="1:11" x14ac:dyDescent="0.2">
      <c r="A5" s="208"/>
      <c r="B5" s="15">
        <v>44867</v>
      </c>
      <c r="C5" s="16">
        <v>2</v>
      </c>
      <c r="D5" s="16">
        <f t="shared" si="0"/>
        <v>20</v>
      </c>
      <c r="E5" s="16">
        <v>16</v>
      </c>
      <c r="F5" s="16">
        <v>1</v>
      </c>
      <c r="G5" s="16">
        <f t="shared" si="1"/>
        <v>10</v>
      </c>
      <c r="H5" s="16">
        <v>8</v>
      </c>
      <c r="I5" s="12"/>
      <c r="J5" s="12"/>
      <c r="K5" s="19"/>
    </row>
    <row r="6" spans="1:11" x14ac:dyDescent="0.2">
      <c r="A6" s="208"/>
      <c r="B6" s="15">
        <v>44868</v>
      </c>
      <c r="C6" s="16">
        <v>2</v>
      </c>
      <c r="D6" s="16">
        <f t="shared" si="0"/>
        <v>20</v>
      </c>
      <c r="E6" s="16">
        <v>16</v>
      </c>
      <c r="F6" s="16">
        <v>1</v>
      </c>
      <c r="G6" s="16">
        <f t="shared" si="1"/>
        <v>10</v>
      </c>
      <c r="H6" s="16">
        <v>8</v>
      </c>
      <c r="I6" s="12"/>
      <c r="J6" s="12"/>
      <c r="K6" s="19"/>
    </row>
    <row r="7" spans="1:11" x14ac:dyDescent="0.2">
      <c r="A7" s="208"/>
      <c r="B7" s="15">
        <v>44869</v>
      </c>
      <c r="C7" s="16">
        <v>2</v>
      </c>
      <c r="D7" s="16">
        <f t="shared" si="0"/>
        <v>20</v>
      </c>
      <c r="E7" s="16">
        <v>24</v>
      </c>
      <c r="F7" s="16">
        <v>1</v>
      </c>
      <c r="G7" s="16">
        <f t="shared" si="1"/>
        <v>10</v>
      </c>
      <c r="H7" s="16">
        <v>8</v>
      </c>
      <c r="I7" s="12"/>
      <c r="J7" s="12"/>
      <c r="K7" s="19"/>
    </row>
    <row r="8" spans="1:11" x14ac:dyDescent="0.2">
      <c r="A8" s="209"/>
      <c r="B8" s="15">
        <v>44870</v>
      </c>
      <c r="C8" s="17">
        <v>2</v>
      </c>
      <c r="D8" s="16"/>
      <c r="E8" s="17">
        <v>22</v>
      </c>
      <c r="F8" s="17">
        <v>1</v>
      </c>
      <c r="G8" s="16"/>
      <c r="H8" s="17">
        <v>8</v>
      </c>
      <c r="I8" s="12"/>
      <c r="J8" s="12"/>
      <c r="K8" s="19"/>
    </row>
    <row r="9" spans="1:11" x14ac:dyDescent="0.2">
      <c r="C9" s="50">
        <f>AVERAGE(C2:C8)</f>
        <v>2</v>
      </c>
      <c r="D9" s="48">
        <f>SUM(D2:D8)</f>
        <v>100</v>
      </c>
      <c r="E9" s="49">
        <f>SUM(E2:E8)</f>
        <v>112</v>
      </c>
      <c r="F9" s="50">
        <f>AVERAGE(F2:F8)</f>
        <v>1</v>
      </c>
      <c r="G9" s="48">
        <f>SUM(G2:G8)</f>
        <v>50</v>
      </c>
      <c r="H9" s="49">
        <f>SUM(H2:H8)</f>
        <v>54</v>
      </c>
      <c r="I9" s="20"/>
      <c r="J9" s="20"/>
      <c r="K9" s="18"/>
    </row>
    <row r="10" spans="1:11" x14ac:dyDescent="0.2">
      <c r="E10" s="42"/>
      <c r="F10" s="12"/>
      <c r="H10" s="42"/>
    </row>
    <row r="11" spans="1:11" x14ac:dyDescent="0.2">
      <c r="A11" s="200" t="s">
        <v>14</v>
      </c>
      <c r="B11" s="15">
        <v>44872</v>
      </c>
      <c r="C11" s="16">
        <v>3</v>
      </c>
      <c r="D11" s="16">
        <f>(3*20)</f>
        <v>60</v>
      </c>
      <c r="E11" s="16">
        <v>27</v>
      </c>
      <c r="F11" s="60">
        <v>2</v>
      </c>
      <c r="G11" s="61">
        <f>(2*10)</f>
        <v>20</v>
      </c>
      <c r="H11" s="52">
        <v>14</v>
      </c>
    </row>
    <row r="12" spans="1:11" x14ac:dyDescent="0.2">
      <c r="A12" s="200"/>
      <c r="B12" s="15">
        <v>44873</v>
      </c>
      <c r="C12" s="16">
        <v>4</v>
      </c>
      <c r="D12" s="41">
        <f>(4*20)</f>
        <v>80</v>
      </c>
      <c r="E12" s="16">
        <v>40</v>
      </c>
      <c r="F12" s="16">
        <v>2</v>
      </c>
      <c r="G12" s="61">
        <f>(2*10)</f>
        <v>20</v>
      </c>
      <c r="H12" s="16">
        <v>9</v>
      </c>
    </row>
    <row r="13" spans="1:11" x14ac:dyDescent="0.2">
      <c r="A13" s="200"/>
      <c r="B13" s="15">
        <v>44874</v>
      </c>
      <c r="C13" s="16">
        <v>3</v>
      </c>
      <c r="D13" s="16">
        <f>(3*15)</f>
        <v>45</v>
      </c>
      <c r="E13" s="16">
        <v>42</v>
      </c>
      <c r="F13" s="16">
        <v>2</v>
      </c>
      <c r="G13" s="61">
        <f>(2*10)</f>
        <v>20</v>
      </c>
      <c r="H13" s="16">
        <v>9</v>
      </c>
    </row>
    <row r="14" spans="1:11" x14ac:dyDescent="0.2">
      <c r="A14" s="200"/>
      <c r="B14" s="15">
        <v>44875</v>
      </c>
      <c r="C14" s="16">
        <v>4</v>
      </c>
      <c r="D14" s="16">
        <f>(4*20)</f>
        <v>80</v>
      </c>
      <c r="E14" s="16">
        <v>64</v>
      </c>
      <c r="F14" s="16">
        <v>2</v>
      </c>
      <c r="G14" s="61">
        <f>(2*10)</f>
        <v>20</v>
      </c>
      <c r="H14" s="16">
        <v>24</v>
      </c>
    </row>
    <row r="15" spans="1:11" x14ac:dyDescent="0.2">
      <c r="A15" s="200"/>
      <c r="B15" s="15">
        <v>44876</v>
      </c>
      <c r="C15" s="16">
        <v>5</v>
      </c>
      <c r="D15" s="16">
        <f>(20*4+15*1)</f>
        <v>95</v>
      </c>
      <c r="E15" s="16">
        <v>88</v>
      </c>
      <c r="F15" s="16">
        <v>2</v>
      </c>
      <c r="G15" s="16">
        <f>((1*10)+(1*20))</f>
        <v>30</v>
      </c>
      <c r="H15" s="16">
        <v>30</v>
      </c>
    </row>
    <row r="16" spans="1:11" x14ac:dyDescent="0.2">
      <c r="A16" s="200"/>
      <c r="B16" s="15">
        <v>44877</v>
      </c>
      <c r="C16" s="17">
        <v>5</v>
      </c>
      <c r="D16" s="17"/>
      <c r="E16" s="17">
        <v>50</v>
      </c>
      <c r="F16" s="17">
        <v>2</v>
      </c>
      <c r="G16" s="17"/>
      <c r="H16" s="17">
        <v>30</v>
      </c>
    </row>
    <row r="17" spans="1:8" x14ac:dyDescent="0.2">
      <c r="C17" s="51">
        <f>AVERAGE(C11:C16)</f>
        <v>4</v>
      </c>
      <c r="D17" s="50">
        <f>SUM(D11:D16)</f>
        <v>360</v>
      </c>
      <c r="E17" s="50">
        <f>SUM(E11:E16)</f>
        <v>311</v>
      </c>
      <c r="F17" s="51">
        <f>AVERAGE(F11:F16)</f>
        <v>2</v>
      </c>
      <c r="G17" s="50">
        <f>SUM(G11:G16)</f>
        <v>110</v>
      </c>
      <c r="H17" s="50">
        <f>SUM(H11:H16)</f>
        <v>116</v>
      </c>
    </row>
    <row r="18" spans="1:8" x14ac:dyDescent="0.2">
      <c r="E18" s="42"/>
      <c r="F18" s="12"/>
      <c r="H18" s="42"/>
    </row>
    <row r="19" spans="1:8" x14ac:dyDescent="0.2">
      <c r="A19" s="200" t="s">
        <v>18</v>
      </c>
      <c r="B19" s="15">
        <v>44879</v>
      </c>
      <c r="C19" s="16">
        <v>5</v>
      </c>
      <c r="D19" s="16">
        <f>(5*20)</f>
        <v>100</v>
      </c>
      <c r="E19" s="16">
        <v>60</v>
      </c>
      <c r="F19" s="60">
        <v>2</v>
      </c>
      <c r="G19" s="61">
        <f>(2*20)</f>
        <v>40</v>
      </c>
      <c r="H19" s="52">
        <v>35</v>
      </c>
    </row>
    <row r="20" spans="1:8" x14ac:dyDescent="0.2">
      <c r="A20" s="200"/>
      <c r="B20" s="15">
        <v>44880</v>
      </c>
      <c r="C20" s="16">
        <v>5</v>
      </c>
      <c r="D20" s="16">
        <f>(4*10)+(1*20)</f>
        <v>60</v>
      </c>
      <c r="E20" s="16">
        <v>50</v>
      </c>
      <c r="F20" s="60">
        <v>2</v>
      </c>
      <c r="G20" s="61">
        <f>(2*10)</f>
        <v>20</v>
      </c>
      <c r="H20" s="16">
        <v>19</v>
      </c>
    </row>
    <row r="21" spans="1:8" x14ac:dyDescent="0.2">
      <c r="A21" s="200"/>
      <c r="B21" s="15">
        <v>44881</v>
      </c>
      <c r="C21" s="16">
        <v>5</v>
      </c>
      <c r="D21" s="16">
        <f>(2*10)+(2*20)+(1*15)</f>
        <v>75</v>
      </c>
      <c r="E21" s="16">
        <v>70</v>
      </c>
      <c r="F21" s="60">
        <v>2</v>
      </c>
      <c r="G21" s="16">
        <f>(1*10)+(1*15)</f>
        <v>25</v>
      </c>
      <c r="H21" s="16">
        <v>15</v>
      </c>
    </row>
    <row r="22" spans="1:8" x14ac:dyDescent="0.2">
      <c r="A22" s="200"/>
      <c r="B22" s="15">
        <v>44882</v>
      </c>
      <c r="C22" s="16">
        <v>5</v>
      </c>
      <c r="D22" s="16">
        <f>(1*10)+(4*17)</f>
        <v>78</v>
      </c>
      <c r="E22" s="16">
        <v>73</v>
      </c>
      <c r="F22" s="60">
        <v>2</v>
      </c>
      <c r="G22" s="16">
        <f>(1*10)+(1*20)</f>
        <v>30</v>
      </c>
      <c r="H22" s="16">
        <v>28</v>
      </c>
    </row>
    <row r="23" spans="1:8" x14ac:dyDescent="0.2">
      <c r="A23" s="200"/>
      <c r="B23" s="15">
        <v>44883</v>
      </c>
      <c r="C23" s="16">
        <v>5</v>
      </c>
      <c r="D23" s="16">
        <f>(3*20+2*10)</f>
        <v>80</v>
      </c>
      <c r="E23" s="16">
        <v>71</v>
      </c>
      <c r="F23" s="60">
        <v>2</v>
      </c>
      <c r="G23" s="16">
        <f>(2*20)</f>
        <v>40</v>
      </c>
      <c r="H23" s="16">
        <v>41</v>
      </c>
    </row>
    <row r="24" spans="1:8" x14ac:dyDescent="0.2">
      <c r="A24" s="200"/>
      <c r="B24" s="47">
        <v>44884</v>
      </c>
      <c r="C24" s="39">
        <v>4</v>
      </c>
      <c r="D24" s="39"/>
      <c r="E24" s="39">
        <v>20</v>
      </c>
      <c r="F24" s="60">
        <v>2</v>
      </c>
      <c r="G24" s="39"/>
      <c r="H24" s="39">
        <v>12</v>
      </c>
    </row>
    <row r="25" spans="1:8" x14ac:dyDescent="0.2">
      <c r="C25" s="51">
        <f>AVERAGE(C19:C24)</f>
        <v>4.833333333333333</v>
      </c>
      <c r="D25" s="50">
        <f>SUM(D19:D24)</f>
        <v>393</v>
      </c>
      <c r="E25" s="50">
        <f>SUM(E19:E24)</f>
        <v>344</v>
      </c>
      <c r="F25" s="51">
        <f>AVERAGE(F19:F24)</f>
        <v>2</v>
      </c>
      <c r="G25" s="50">
        <f>SUM(G19:G24)</f>
        <v>155</v>
      </c>
      <c r="H25" s="50">
        <f>SUM(H19:H24)</f>
        <v>150</v>
      </c>
    </row>
    <row r="26" spans="1:8" x14ac:dyDescent="0.2">
      <c r="F26" s="12"/>
      <c r="H26" s="12"/>
    </row>
    <row r="27" spans="1:8" ht="15" customHeight="1" x14ac:dyDescent="0.2">
      <c r="A27" s="200" t="s">
        <v>22</v>
      </c>
      <c r="B27" s="15">
        <v>44886</v>
      </c>
      <c r="C27" s="16">
        <v>3</v>
      </c>
      <c r="D27" s="16">
        <f>(4*20)</f>
        <v>80</v>
      </c>
      <c r="E27" s="16">
        <v>46</v>
      </c>
      <c r="F27" s="16">
        <v>2</v>
      </c>
      <c r="G27" s="16">
        <f>(1*20+1*10)</f>
        <v>30</v>
      </c>
      <c r="H27" s="16">
        <v>17</v>
      </c>
    </row>
    <row r="28" spans="1:8" ht="15" customHeight="1" x14ac:dyDescent="0.2">
      <c r="A28" s="200"/>
      <c r="B28" s="15">
        <v>44887</v>
      </c>
      <c r="C28" s="16">
        <v>3</v>
      </c>
      <c r="D28" s="16">
        <f>(3*20)</f>
        <v>60</v>
      </c>
      <c r="E28" s="16">
        <v>46</v>
      </c>
      <c r="F28" s="16">
        <v>2</v>
      </c>
      <c r="G28" s="16">
        <f>(2*20)</f>
        <v>40</v>
      </c>
      <c r="H28" s="16">
        <v>37</v>
      </c>
    </row>
    <row r="29" spans="1:8" ht="15" customHeight="1" x14ac:dyDescent="0.2">
      <c r="A29" s="200"/>
      <c r="B29" s="15">
        <v>44888</v>
      </c>
      <c r="C29" s="16">
        <v>3</v>
      </c>
      <c r="D29" s="16">
        <f>(3*20)</f>
        <v>60</v>
      </c>
      <c r="E29" s="16">
        <v>43</v>
      </c>
      <c r="F29" s="16">
        <v>2</v>
      </c>
      <c r="G29" s="16">
        <f t="shared" ref="G29:G31" si="2">(2*20)</f>
        <v>40</v>
      </c>
      <c r="H29" s="16">
        <v>30</v>
      </c>
    </row>
    <row r="30" spans="1:8" ht="15" customHeight="1" x14ac:dyDescent="0.2">
      <c r="A30" s="200"/>
      <c r="B30" s="15">
        <v>44889</v>
      </c>
      <c r="C30" s="16">
        <v>3</v>
      </c>
      <c r="D30" s="16">
        <f>(3*20)</f>
        <v>60</v>
      </c>
      <c r="E30" s="16">
        <v>38</v>
      </c>
      <c r="F30" s="16">
        <v>2</v>
      </c>
      <c r="G30" s="16">
        <f t="shared" si="2"/>
        <v>40</v>
      </c>
      <c r="H30" s="16">
        <v>19</v>
      </c>
    </row>
    <row r="31" spans="1:8" ht="15" customHeight="1" x14ac:dyDescent="0.2">
      <c r="A31" s="200"/>
      <c r="B31" s="15">
        <v>44890</v>
      </c>
      <c r="C31" s="16">
        <v>3</v>
      </c>
      <c r="D31" s="16">
        <f>(3*20)</f>
        <v>60</v>
      </c>
      <c r="E31" s="16">
        <v>48</v>
      </c>
      <c r="F31" s="16">
        <v>2</v>
      </c>
      <c r="G31" s="16">
        <f t="shared" si="2"/>
        <v>40</v>
      </c>
      <c r="H31" s="16">
        <v>26</v>
      </c>
    </row>
    <row r="32" spans="1:8" x14ac:dyDescent="0.2">
      <c r="A32" s="200"/>
      <c r="B32" s="15">
        <v>44891</v>
      </c>
      <c r="C32" s="17">
        <v>1</v>
      </c>
      <c r="D32" s="39"/>
      <c r="E32" s="39">
        <v>8</v>
      </c>
      <c r="F32" s="16">
        <v>2</v>
      </c>
      <c r="G32" s="39"/>
      <c r="H32" s="39">
        <v>28</v>
      </c>
    </row>
    <row r="33" spans="1:8" x14ac:dyDescent="0.2">
      <c r="C33" s="51">
        <f>AVERAGE(C27:C32)</f>
        <v>2.6666666666666665</v>
      </c>
      <c r="D33" s="50">
        <f>SUM(D27:D32)</f>
        <v>320</v>
      </c>
      <c r="E33" s="50">
        <f>SUM(E27:E32)</f>
        <v>229</v>
      </c>
      <c r="F33" s="51">
        <f>AVERAGE(F27:F32)</f>
        <v>2</v>
      </c>
      <c r="G33" s="50">
        <f>SUM(G27:G32)</f>
        <v>190</v>
      </c>
      <c r="H33" s="50">
        <f>SUM(H27:H32)</f>
        <v>157</v>
      </c>
    </row>
    <row r="34" spans="1:8" x14ac:dyDescent="0.2"/>
    <row r="35" spans="1:8" ht="15" customHeight="1" x14ac:dyDescent="0.2">
      <c r="A35" s="200" t="s">
        <v>25</v>
      </c>
      <c r="B35" s="15">
        <v>44893</v>
      </c>
      <c r="C35" s="16">
        <v>2</v>
      </c>
      <c r="D35" s="16">
        <f>(1*20)+(1*15)</f>
        <v>35</v>
      </c>
      <c r="E35" s="16">
        <v>33</v>
      </c>
      <c r="F35" s="16">
        <v>2</v>
      </c>
      <c r="G35" s="16">
        <f>(1*20+1*10)</f>
        <v>30</v>
      </c>
      <c r="H35" s="16">
        <v>27</v>
      </c>
    </row>
    <row r="36" spans="1:8" ht="15" customHeight="1" x14ac:dyDescent="0.2">
      <c r="A36" s="200"/>
      <c r="B36" s="15">
        <v>44894</v>
      </c>
      <c r="C36" s="16">
        <v>3</v>
      </c>
      <c r="D36" s="63">
        <f>(2*15)+(1*10)</f>
        <v>40</v>
      </c>
      <c r="E36" s="16">
        <v>38</v>
      </c>
      <c r="F36" s="16">
        <v>2</v>
      </c>
      <c r="G36" s="16">
        <f>(2*15)</f>
        <v>30</v>
      </c>
      <c r="H36" s="16">
        <v>30</v>
      </c>
    </row>
    <row r="37" spans="1:8" ht="15" customHeight="1" x14ac:dyDescent="0.2">
      <c r="A37" s="200"/>
      <c r="B37" s="15">
        <v>44895</v>
      </c>
      <c r="C37" s="16">
        <v>3</v>
      </c>
      <c r="D37" s="63">
        <f>(2*20)+(1*6)</f>
        <v>46</v>
      </c>
      <c r="E37" s="16">
        <v>46</v>
      </c>
      <c r="F37" s="16">
        <v>2</v>
      </c>
      <c r="G37" s="16">
        <f t="shared" ref="G37" si="3">(2*20)</f>
        <v>40</v>
      </c>
      <c r="H37" s="16">
        <v>38</v>
      </c>
    </row>
    <row r="38" spans="1:8" ht="15" customHeight="1" x14ac:dyDescent="0.2">
      <c r="A38" s="200"/>
      <c r="B38" s="15">
        <v>44896</v>
      </c>
      <c r="C38" s="16">
        <v>2</v>
      </c>
      <c r="D38" s="63">
        <f>(2*15)</f>
        <v>30</v>
      </c>
      <c r="E38" s="16">
        <v>30</v>
      </c>
      <c r="F38" s="16">
        <v>2</v>
      </c>
      <c r="G38" s="16" t="s">
        <v>64</v>
      </c>
      <c r="H38" s="16" t="s">
        <v>64</v>
      </c>
    </row>
    <row r="39" spans="1:8" ht="15" customHeight="1" x14ac:dyDescent="0.2">
      <c r="A39" s="200"/>
      <c r="B39" s="15">
        <v>44897</v>
      </c>
      <c r="C39" s="16">
        <v>2</v>
      </c>
      <c r="D39" s="63">
        <f>(2*15)</f>
        <v>30</v>
      </c>
      <c r="E39" s="16">
        <v>26</v>
      </c>
      <c r="F39" s="16">
        <v>2</v>
      </c>
      <c r="G39" s="16" t="s">
        <v>64</v>
      </c>
      <c r="H39" s="16" t="s">
        <v>64</v>
      </c>
    </row>
    <row r="40" spans="1:8" ht="15" customHeight="1" x14ac:dyDescent="0.2">
      <c r="C40" s="51">
        <f>AVERAGE(C34:C39)</f>
        <v>2.4</v>
      </c>
      <c r="D40" s="50">
        <f>SUM(D34:D39)</f>
        <v>181</v>
      </c>
      <c r="E40" s="50">
        <f>SUM(E34:E39)</f>
        <v>173</v>
      </c>
      <c r="F40" s="51">
        <f>AVERAGE(F34:F39)</f>
        <v>2</v>
      </c>
      <c r="G40" s="50">
        <f>SUM(G34:G39)</f>
        <v>100</v>
      </c>
      <c r="H40" s="50">
        <f>SUM(H34:H39)</f>
        <v>95</v>
      </c>
    </row>
    <row r="42" spans="1:8" ht="15" customHeight="1" x14ac:dyDescent="0.2">
      <c r="A42" s="200" t="s">
        <v>28</v>
      </c>
      <c r="B42" s="15">
        <v>44900</v>
      </c>
      <c r="C42" s="60">
        <v>2</v>
      </c>
      <c r="D42" s="61">
        <f>(2*20)</f>
        <v>40</v>
      </c>
      <c r="E42" s="52">
        <v>41</v>
      </c>
      <c r="F42" s="60">
        <v>2</v>
      </c>
      <c r="G42" s="61">
        <f>(2*20)</f>
        <v>40</v>
      </c>
      <c r="H42" s="52">
        <v>37</v>
      </c>
    </row>
    <row r="43" spans="1:8" ht="15" customHeight="1" x14ac:dyDescent="0.2">
      <c r="A43" s="200"/>
      <c r="B43" s="15">
        <v>44901</v>
      </c>
      <c r="C43" s="16">
        <v>2</v>
      </c>
      <c r="D43" s="61">
        <f t="shared" ref="D43:D44" si="4">(2*20)</f>
        <v>40</v>
      </c>
      <c r="E43" s="16">
        <v>40</v>
      </c>
      <c r="F43" s="16">
        <v>2</v>
      </c>
      <c r="G43" s="61">
        <f>(2*15)</f>
        <v>30</v>
      </c>
      <c r="H43" s="16">
        <v>32</v>
      </c>
    </row>
    <row r="44" spans="1:8" ht="15" customHeight="1" x14ac:dyDescent="0.2">
      <c r="A44" s="200"/>
      <c r="B44" s="15">
        <v>44902</v>
      </c>
      <c r="C44" s="16">
        <v>2</v>
      </c>
      <c r="D44" s="61">
        <f t="shared" si="4"/>
        <v>40</v>
      </c>
      <c r="E44" s="16">
        <v>41</v>
      </c>
      <c r="F44" s="16">
        <v>2</v>
      </c>
      <c r="G44" s="61">
        <f t="shared" ref="G44:G46" si="5">(2*15)</f>
        <v>30</v>
      </c>
      <c r="H44" s="16">
        <v>30</v>
      </c>
    </row>
    <row r="45" spans="1:8" ht="15" customHeight="1" x14ac:dyDescent="0.2">
      <c r="A45" s="200"/>
      <c r="B45" s="15">
        <v>44903</v>
      </c>
      <c r="C45" s="16">
        <v>2</v>
      </c>
      <c r="D45" s="61">
        <f>(2*17)</f>
        <v>34</v>
      </c>
      <c r="E45" s="16">
        <v>32</v>
      </c>
      <c r="F45" s="16">
        <v>2</v>
      </c>
      <c r="G45" s="61">
        <f t="shared" si="5"/>
        <v>30</v>
      </c>
      <c r="H45" s="16">
        <v>30</v>
      </c>
    </row>
    <row r="46" spans="1:8" ht="15" customHeight="1" x14ac:dyDescent="0.2">
      <c r="A46" s="200"/>
      <c r="B46" s="15">
        <v>44904</v>
      </c>
      <c r="C46" s="16">
        <v>1</v>
      </c>
      <c r="D46" s="61">
        <f>(1*15)</f>
        <v>15</v>
      </c>
      <c r="E46" s="16">
        <v>15</v>
      </c>
      <c r="F46" s="16">
        <v>2</v>
      </c>
      <c r="G46" s="61">
        <f t="shared" si="5"/>
        <v>30</v>
      </c>
      <c r="H46" s="16">
        <v>31</v>
      </c>
    </row>
    <row r="47" spans="1:8" ht="15" customHeight="1" x14ac:dyDescent="0.2">
      <c r="C47" s="51">
        <f>AVERAGE(C41:C46)</f>
        <v>1.8</v>
      </c>
      <c r="D47" s="50">
        <f>SUM(D41:D46)</f>
        <v>169</v>
      </c>
      <c r="E47" s="50">
        <f>SUM(E41:E46)</f>
        <v>169</v>
      </c>
      <c r="F47" s="51">
        <f>AVERAGE(F41:F46)</f>
        <v>2</v>
      </c>
      <c r="G47" s="50">
        <f>SUM(G41:G46)</f>
        <v>160</v>
      </c>
      <c r="H47" s="50">
        <f>SUM(H41:H46)</f>
        <v>160</v>
      </c>
    </row>
    <row r="49" spans="1:8" ht="15" customHeight="1" x14ac:dyDescent="0.2">
      <c r="A49" s="200" t="s">
        <v>31</v>
      </c>
      <c r="B49" s="15">
        <v>44907</v>
      </c>
      <c r="C49" s="60">
        <v>2</v>
      </c>
      <c r="D49" s="61" t="s">
        <v>64</v>
      </c>
      <c r="E49" s="52" t="s">
        <v>64</v>
      </c>
      <c r="F49" s="60">
        <v>2</v>
      </c>
      <c r="G49" s="61" t="s">
        <v>64</v>
      </c>
      <c r="H49" s="52" t="s">
        <v>64</v>
      </c>
    </row>
    <row r="50" spans="1:8" ht="15" customHeight="1" x14ac:dyDescent="0.2">
      <c r="A50" s="200"/>
      <c r="B50" s="15">
        <v>44908</v>
      </c>
      <c r="C50" s="16">
        <v>2</v>
      </c>
      <c r="D50" s="61">
        <f>(2*20)</f>
        <v>40</v>
      </c>
      <c r="E50" s="16">
        <v>40</v>
      </c>
      <c r="F50" s="16">
        <v>2</v>
      </c>
      <c r="G50" s="61" t="s">
        <v>64</v>
      </c>
      <c r="H50" s="16" t="s">
        <v>64</v>
      </c>
    </row>
    <row r="51" spans="1:8" ht="15" customHeight="1" x14ac:dyDescent="0.2">
      <c r="A51" s="200"/>
      <c r="B51" s="15">
        <v>44909</v>
      </c>
      <c r="C51" s="16">
        <v>2</v>
      </c>
      <c r="D51" s="61">
        <f>(2*20)</f>
        <v>40</v>
      </c>
      <c r="E51" s="16">
        <v>34</v>
      </c>
      <c r="F51" s="16">
        <v>2</v>
      </c>
      <c r="G51" s="61" t="s">
        <v>64</v>
      </c>
      <c r="H51" s="16" t="s">
        <v>64</v>
      </c>
    </row>
    <row r="52" spans="1:8" ht="15" customHeight="1" x14ac:dyDescent="0.2">
      <c r="A52" s="200"/>
      <c r="B52" s="15">
        <v>44910</v>
      </c>
      <c r="C52" s="16">
        <v>2</v>
      </c>
      <c r="D52" s="61">
        <f>(2*7)</f>
        <v>14</v>
      </c>
      <c r="E52" s="16">
        <v>13</v>
      </c>
      <c r="F52" s="16">
        <v>2</v>
      </c>
      <c r="G52" s="63">
        <f>(2*20)</f>
        <v>40</v>
      </c>
      <c r="H52" s="16">
        <v>36</v>
      </c>
    </row>
    <row r="53" spans="1:8" ht="15" customHeight="1" x14ac:dyDescent="0.2">
      <c r="A53" s="200"/>
      <c r="B53" s="15">
        <v>44911</v>
      </c>
      <c r="C53" s="16">
        <v>2</v>
      </c>
      <c r="D53" s="61">
        <f>(1*10)+(1*17)</f>
        <v>27</v>
      </c>
      <c r="E53" s="16">
        <v>28</v>
      </c>
      <c r="F53" s="16">
        <v>2</v>
      </c>
      <c r="G53" s="41">
        <f>(1*10)+(1*18)</f>
        <v>28</v>
      </c>
      <c r="H53" s="16">
        <v>20</v>
      </c>
    </row>
    <row r="54" spans="1:8" ht="15" customHeight="1" x14ac:dyDescent="0.2">
      <c r="C54" s="51">
        <f>AVERAGE(C48:C53)</f>
        <v>2</v>
      </c>
      <c r="D54" s="50">
        <f>SUM(D48:D53)</f>
        <v>121</v>
      </c>
      <c r="E54" s="50">
        <f>SUM(E48:E53)</f>
        <v>115</v>
      </c>
      <c r="F54" s="51">
        <f>AVERAGE(F48:F53)</f>
        <v>2</v>
      </c>
      <c r="G54" s="50">
        <f>SUM(G48:G53)</f>
        <v>68</v>
      </c>
      <c r="H54" s="50">
        <f>SUM(H48:H53)</f>
        <v>56</v>
      </c>
    </row>
    <row r="56" spans="1:8" ht="15" customHeight="1" x14ac:dyDescent="0.2">
      <c r="A56" s="200" t="s">
        <v>34</v>
      </c>
      <c r="B56" s="15">
        <v>44914</v>
      </c>
      <c r="C56" s="60">
        <v>2</v>
      </c>
      <c r="D56" s="61">
        <f>(1*12)+(1*15)</f>
        <v>27</v>
      </c>
      <c r="E56" s="52">
        <v>27</v>
      </c>
      <c r="F56" s="60">
        <v>2</v>
      </c>
      <c r="G56" s="61">
        <f t="shared" ref="G56:G58" si="6">(2*20)</f>
        <v>40</v>
      </c>
      <c r="H56" s="52">
        <v>41</v>
      </c>
    </row>
    <row r="57" spans="1:8" ht="15" customHeight="1" x14ac:dyDescent="0.2">
      <c r="A57" s="200"/>
      <c r="B57" s="15">
        <v>44915</v>
      </c>
      <c r="C57" s="60">
        <v>2</v>
      </c>
      <c r="D57" s="61">
        <f>(1*12)+(1*10)</f>
        <v>22</v>
      </c>
      <c r="E57" s="52">
        <v>23</v>
      </c>
      <c r="F57" s="60">
        <v>2</v>
      </c>
      <c r="G57" s="61">
        <f t="shared" si="6"/>
        <v>40</v>
      </c>
      <c r="H57" s="52">
        <v>40</v>
      </c>
    </row>
    <row r="58" spans="1:8" ht="15" customHeight="1" x14ac:dyDescent="0.2">
      <c r="A58" s="200"/>
      <c r="B58" s="15">
        <v>44916</v>
      </c>
      <c r="C58" s="60">
        <v>2</v>
      </c>
      <c r="D58" s="61">
        <f>(1*12)+(1*10)</f>
        <v>22</v>
      </c>
      <c r="E58" s="52">
        <v>21</v>
      </c>
      <c r="F58" s="60">
        <v>2</v>
      </c>
      <c r="G58" s="61">
        <f t="shared" si="6"/>
        <v>40</v>
      </c>
      <c r="H58" s="52">
        <v>31</v>
      </c>
    </row>
    <row r="59" spans="1:8" ht="15" customHeight="1" x14ac:dyDescent="0.2">
      <c r="A59" s="200"/>
      <c r="B59" s="15">
        <v>44917</v>
      </c>
      <c r="C59" s="60">
        <v>2</v>
      </c>
      <c r="D59" s="61">
        <f>(1*12)+(1*10)</f>
        <v>22</v>
      </c>
      <c r="E59" s="52">
        <v>21</v>
      </c>
      <c r="F59" s="60">
        <v>2</v>
      </c>
      <c r="G59" s="97">
        <f>(2*20)</f>
        <v>40</v>
      </c>
      <c r="H59" s="52">
        <v>54</v>
      </c>
    </row>
    <row r="60" spans="1:8" ht="15" customHeight="1" x14ac:dyDescent="0.2">
      <c r="A60" s="200"/>
      <c r="B60" s="15">
        <v>44918</v>
      </c>
      <c r="C60" s="60">
        <v>2</v>
      </c>
      <c r="D60" s="61">
        <f>(1*12)+(1*10)</f>
        <v>22</v>
      </c>
      <c r="E60" s="52">
        <v>23</v>
      </c>
      <c r="F60" s="60">
        <v>2</v>
      </c>
      <c r="G60" s="97">
        <f>(2*20)</f>
        <v>40</v>
      </c>
      <c r="H60" s="52">
        <v>30</v>
      </c>
    </row>
    <row r="61" spans="1:8" ht="15" customHeight="1" x14ac:dyDescent="0.2">
      <c r="C61" s="51">
        <f>AVERAGE(C55:C60)</f>
        <v>2</v>
      </c>
      <c r="D61" s="96">
        <f>SUM(D55:D60)</f>
        <v>115</v>
      </c>
      <c r="E61" s="50">
        <f>SUM(E55:E60)</f>
        <v>115</v>
      </c>
      <c r="F61" s="51">
        <f>AVERAGE(F55:F60)</f>
        <v>2</v>
      </c>
      <c r="G61" s="98">
        <f>SUM(G55:G60)</f>
        <v>200</v>
      </c>
      <c r="H61" s="99">
        <f>SUM(H55:H60)</f>
        <v>196</v>
      </c>
    </row>
    <row r="63" spans="1:8" ht="15" customHeight="1" x14ac:dyDescent="0.2">
      <c r="A63" s="200" t="s">
        <v>37</v>
      </c>
      <c r="B63" s="15">
        <v>44921</v>
      </c>
      <c r="C63" s="60">
        <v>2</v>
      </c>
      <c r="D63" s="61">
        <f>(2*12)</f>
        <v>24</v>
      </c>
      <c r="E63" s="52">
        <v>25</v>
      </c>
      <c r="F63" s="60">
        <v>2</v>
      </c>
      <c r="G63" s="61">
        <f t="shared" ref="G63:G65" si="7">(2*20)</f>
        <v>40</v>
      </c>
      <c r="H63" s="52">
        <v>35</v>
      </c>
    </row>
    <row r="64" spans="1:8" ht="15" customHeight="1" x14ac:dyDescent="0.2">
      <c r="A64" s="200"/>
      <c r="B64" s="15">
        <v>44922</v>
      </c>
      <c r="C64" s="60">
        <v>2</v>
      </c>
      <c r="D64" s="61">
        <f t="shared" ref="D64:D67" si="8">(2*12)</f>
        <v>24</v>
      </c>
      <c r="E64" s="52">
        <v>24</v>
      </c>
      <c r="F64" s="60">
        <v>2</v>
      </c>
      <c r="G64" s="61">
        <f t="shared" si="7"/>
        <v>40</v>
      </c>
      <c r="H64" s="52">
        <v>45</v>
      </c>
    </row>
    <row r="65" spans="1:8" ht="15" customHeight="1" x14ac:dyDescent="0.2">
      <c r="A65" s="200"/>
      <c r="B65" s="15">
        <v>44923</v>
      </c>
      <c r="C65" s="60">
        <v>2</v>
      </c>
      <c r="D65" s="61">
        <f t="shared" si="8"/>
        <v>24</v>
      </c>
      <c r="E65" s="52">
        <v>24</v>
      </c>
      <c r="F65" s="60">
        <v>2</v>
      </c>
      <c r="G65" s="61">
        <f t="shared" si="7"/>
        <v>40</v>
      </c>
      <c r="H65" s="52">
        <v>40</v>
      </c>
    </row>
    <row r="66" spans="1:8" ht="15" customHeight="1" x14ac:dyDescent="0.2">
      <c r="A66" s="200"/>
      <c r="B66" s="15">
        <v>44924</v>
      </c>
      <c r="C66" s="60">
        <v>2</v>
      </c>
      <c r="D66" s="61">
        <f t="shared" si="8"/>
        <v>24</v>
      </c>
      <c r="E66" s="52">
        <v>20</v>
      </c>
      <c r="F66" s="60">
        <v>2</v>
      </c>
      <c r="G66" s="97">
        <f>(2*20)</f>
        <v>40</v>
      </c>
      <c r="H66" s="52">
        <v>40</v>
      </c>
    </row>
    <row r="67" spans="1:8" ht="15" customHeight="1" x14ac:dyDescent="0.2">
      <c r="A67" s="200"/>
      <c r="B67" s="15">
        <v>44925</v>
      </c>
      <c r="C67" s="60">
        <v>2</v>
      </c>
      <c r="D67" s="97">
        <f t="shared" si="8"/>
        <v>24</v>
      </c>
      <c r="E67" s="109">
        <v>24</v>
      </c>
      <c r="F67" s="108">
        <v>2</v>
      </c>
      <c r="G67" s="97">
        <f>(2*20)</f>
        <v>40</v>
      </c>
      <c r="H67" s="109">
        <v>30</v>
      </c>
    </row>
    <row r="68" spans="1:8" ht="15" customHeight="1" x14ac:dyDescent="0.2">
      <c r="C68" s="135">
        <f>AVERAGE(C62:C67)</f>
        <v>2</v>
      </c>
      <c r="D68" s="50">
        <f>SUM(D62:D67)</f>
        <v>120</v>
      </c>
      <c r="E68" s="50">
        <f>SUM(E62:E67)</f>
        <v>117</v>
      </c>
      <c r="F68" s="51">
        <f>AVERAGE(F62:F67)</f>
        <v>2</v>
      </c>
      <c r="G68" s="107">
        <f>SUM(G62:G67)</f>
        <v>200</v>
      </c>
      <c r="H68" s="99">
        <f>SUM(H62:H67)</f>
        <v>190</v>
      </c>
    </row>
    <row r="69" spans="1:8" ht="15" customHeight="1" x14ac:dyDescent="0.2">
      <c r="C69" s="139"/>
      <c r="D69" s="20"/>
      <c r="E69" s="20"/>
      <c r="F69" s="20"/>
      <c r="G69" s="20"/>
      <c r="H69" s="140"/>
    </row>
    <row r="70" spans="1:8" ht="15" customHeight="1" x14ac:dyDescent="0.2">
      <c r="A70" s="214" t="s">
        <v>141</v>
      </c>
      <c r="B70" s="215"/>
      <c r="C70" s="215"/>
      <c r="D70" s="215"/>
      <c r="E70" s="215"/>
      <c r="F70" s="215"/>
      <c r="G70" s="215"/>
      <c r="H70" s="216"/>
    </row>
    <row r="71" spans="1:8" ht="15" customHeight="1" x14ac:dyDescent="0.2">
      <c r="A71" s="209" t="s">
        <v>40</v>
      </c>
      <c r="B71" s="53">
        <v>44928</v>
      </c>
      <c r="C71" s="136">
        <v>2</v>
      </c>
      <c r="D71" s="137">
        <f>(2*12)</f>
        <v>24</v>
      </c>
      <c r="E71" s="138">
        <v>24</v>
      </c>
      <c r="F71" s="136">
        <v>2</v>
      </c>
      <c r="G71" s="137">
        <f t="shared" ref="G71:G73" si="9">(2*20)</f>
        <v>40</v>
      </c>
      <c r="H71" s="138">
        <v>42</v>
      </c>
    </row>
    <row r="72" spans="1:8" ht="15" customHeight="1" x14ac:dyDescent="0.2">
      <c r="A72" s="200"/>
      <c r="B72" s="15">
        <v>44929</v>
      </c>
      <c r="C72" s="60">
        <v>2</v>
      </c>
      <c r="D72" s="61">
        <f t="shared" ref="D72:D74" si="10">(2*12)</f>
        <v>24</v>
      </c>
      <c r="E72" s="52">
        <v>24</v>
      </c>
      <c r="F72" s="60">
        <v>2</v>
      </c>
      <c r="G72" s="61">
        <f t="shared" si="9"/>
        <v>40</v>
      </c>
      <c r="H72" s="52">
        <v>39</v>
      </c>
    </row>
    <row r="73" spans="1:8" ht="15" customHeight="1" x14ac:dyDescent="0.2">
      <c r="A73" s="200"/>
      <c r="B73" s="15">
        <v>44930</v>
      </c>
      <c r="C73" s="60">
        <v>2</v>
      </c>
      <c r="D73" s="61">
        <f t="shared" si="10"/>
        <v>24</v>
      </c>
      <c r="E73" s="52">
        <v>24</v>
      </c>
      <c r="F73" s="60">
        <v>2</v>
      </c>
      <c r="G73" s="61">
        <f t="shared" si="9"/>
        <v>40</v>
      </c>
      <c r="H73" s="52">
        <v>38</v>
      </c>
    </row>
    <row r="74" spans="1:8" ht="15" customHeight="1" x14ac:dyDescent="0.2">
      <c r="A74" s="200"/>
      <c r="B74" s="15">
        <v>44931</v>
      </c>
      <c r="C74" s="60">
        <v>2</v>
      </c>
      <c r="D74" s="61">
        <f t="shared" si="10"/>
        <v>24</v>
      </c>
      <c r="E74" s="52">
        <v>29</v>
      </c>
      <c r="F74" s="60">
        <v>2</v>
      </c>
      <c r="G74" s="97">
        <f>(2*15)</f>
        <v>30</v>
      </c>
      <c r="H74" s="52">
        <v>30</v>
      </c>
    </row>
    <row r="75" spans="1:8" ht="15" customHeight="1" x14ac:dyDescent="0.2">
      <c r="A75" s="200"/>
      <c r="B75" s="15">
        <v>44932</v>
      </c>
      <c r="C75" s="60">
        <v>2</v>
      </c>
      <c r="D75" s="61">
        <f>(2*12)</f>
        <v>24</v>
      </c>
      <c r="E75" s="52">
        <v>27</v>
      </c>
      <c r="F75" s="60">
        <v>2</v>
      </c>
      <c r="G75" s="97">
        <f>(2*15)</f>
        <v>30</v>
      </c>
      <c r="H75" s="52">
        <v>30</v>
      </c>
    </row>
    <row r="76" spans="1:8" ht="15" customHeight="1" x14ac:dyDescent="0.2">
      <c r="C76" s="51">
        <f>AVERAGE(C70:C75)</f>
        <v>2</v>
      </c>
      <c r="D76" s="96">
        <f>SUM(D70:D75)</f>
        <v>120</v>
      </c>
      <c r="E76" s="50">
        <f>SUM(E70:E75)</f>
        <v>128</v>
      </c>
      <c r="F76" s="51">
        <f>AVERAGE(F70:F75)</f>
        <v>2</v>
      </c>
      <c r="G76" s="50">
        <f>SUM(G70:G75)</f>
        <v>180</v>
      </c>
      <c r="H76" s="99">
        <f>SUM(H70:H75)</f>
        <v>179</v>
      </c>
    </row>
    <row r="78" spans="1:8" ht="15" customHeight="1" x14ac:dyDescent="0.2">
      <c r="A78" s="200" t="s">
        <v>43</v>
      </c>
      <c r="B78" s="15">
        <v>44935</v>
      </c>
      <c r="C78" s="60">
        <v>2</v>
      </c>
      <c r="D78" s="61">
        <f>(2*12)</f>
        <v>24</v>
      </c>
      <c r="E78" s="52">
        <v>22</v>
      </c>
      <c r="F78" s="60">
        <v>2</v>
      </c>
      <c r="G78" s="61">
        <f>(2*15)</f>
        <v>30</v>
      </c>
      <c r="H78" s="52">
        <v>30</v>
      </c>
    </row>
    <row r="79" spans="1:8" ht="15" customHeight="1" x14ac:dyDescent="0.2">
      <c r="A79" s="200"/>
      <c r="B79" s="15">
        <v>44936</v>
      </c>
      <c r="C79" s="60">
        <v>2</v>
      </c>
      <c r="D79" s="61">
        <f>(2*12)</f>
        <v>24</v>
      </c>
      <c r="E79" s="52">
        <v>24</v>
      </c>
      <c r="F79" s="60">
        <v>2</v>
      </c>
      <c r="G79" s="61">
        <f t="shared" ref="G79:G81" si="11">(2*15)</f>
        <v>30</v>
      </c>
      <c r="H79" s="52">
        <v>31</v>
      </c>
    </row>
    <row r="80" spans="1:8" ht="15" customHeight="1" x14ac:dyDescent="0.2">
      <c r="A80" s="200"/>
      <c r="B80" s="15">
        <v>44937</v>
      </c>
      <c r="C80" s="60">
        <v>2</v>
      </c>
      <c r="D80" s="61">
        <f>(1*12)+(1*6)</f>
        <v>18</v>
      </c>
      <c r="E80" s="52">
        <v>18</v>
      </c>
      <c r="F80" s="60">
        <v>2</v>
      </c>
      <c r="G80" s="61">
        <f t="shared" si="11"/>
        <v>30</v>
      </c>
      <c r="H80" s="52">
        <v>30</v>
      </c>
    </row>
    <row r="81" spans="1:8" ht="15" customHeight="1" x14ac:dyDescent="0.2">
      <c r="A81" s="200"/>
      <c r="B81" s="15">
        <v>44938</v>
      </c>
      <c r="C81" s="60">
        <v>2</v>
      </c>
      <c r="D81" s="61">
        <f t="shared" ref="D81:D82" si="12">(1*12)+(1*6)</f>
        <v>18</v>
      </c>
      <c r="E81" s="52">
        <v>18</v>
      </c>
      <c r="F81" s="60">
        <v>2</v>
      </c>
      <c r="G81" s="61">
        <f t="shared" si="11"/>
        <v>30</v>
      </c>
      <c r="H81" s="52">
        <v>30</v>
      </c>
    </row>
    <row r="82" spans="1:8" ht="15" customHeight="1" x14ac:dyDescent="0.2">
      <c r="A82" s="200"/>
      <c r="B82" s="15">
        <v>44939</v>
      </c>
      <c r="C82" s="108">
        <v>2</v>
      </c>
      <c r="D82" s="61">
        <f t="shared" si="12"/>
        <v>18</v>
      </c>
      <c r="E82" s="109">
        <v>20</v>
      </c>
      <c r="F82" s="108">
        <v>3</v>
      </c>
      <c r="G82" s="61">
        <f>(3*15)</f>
        <v>45</v>
      </c>
      <c r="H82" s="109">
        <v>46</v>
      </c>
    </row>
    <row r="83" spans="1:8" ht="15" customHeight="1" x14ac:dyDescent="0.2">
      <c r="C83" s="51">
        <f>AVERAGE(C77:C82)</f>
        <v>2</v>
      </c>
      <c r="D83" s="50">
        <f>SUM(D77:D82)</f>
        <v>102</v>
      </c>
      <c r="E83" s="50">
        <f>SUM(E77:E82)</f>
        <v>102</v>
      </c>
      <c r="F83" s="51">
        <f>AVERAGE(F77:F82)</f>
        <v>2.2000000000000002</v>
      </c>
      <c r="G83" s="107">
        <f>SUM(G77:G82)</f>
        <v>165</v>
      </c>
      <c r="H83" s="99">
        <f>SUM(H77:H82)</f>
        <v>167</v>
      </c>
    </row>
    <row r="85" spans="1:8" ht="15" customHeight="1" x14ac:dyDescent="0.2">
      <c r="A85" s="200" t="s">
        <v>46</v>
      </c>
      <c r="B85" s="15">
        <v>44942</v>
      </c>
      <c r="C85" s="60">
        <v>2</v>
      </c>
      <c r="D85" s="61">
        <f>(1*12)+(1*6)</f>
        <v>18</v>
      </c>
      <c r="E85" s="52">
        <v>18</v>
      </c>
      <c r="F85" s="60">
        <v>1</v>
      </c>
      <c r="G85" s="61">
        <f>(1*15)</f>
        <v>15</v>
      </c>
      <c r="H85" s="52">
        <v>15</v>
      </c>
    </row>
    <row r="86" spans="1:8" ht="15" customHeight="1" x14ac:dyDescent="0.2">
      <c r="A86" s="200"/>
      <c r="B86" s="15">
        <v>44943</v>
      </c>
      <c r="C86" s="60">
        <v>2</v>
      </c>
      <c r="D86" s="61">
        <f>(1*12)+(1*6)</f>
        <v>18</v>
      </c>
      <c r="E86" s="52">
        <v>18</v>
      </c>
      <c r="F86" s="60">
        <v>1</v>
      </c>
      <c r="G86" s="61">
        <f t="shared" ref="G86:G88" si="13">(1*15)</f>
        <v>15</v>
      </c>
      <c r="H86" s="52">
        <v>15</v>
      </c>
    </row>
    <row r="87" spans="1:8" ht="15" customHeight="1" x14ac:dyDescent="0.2">
      <c r="A87" s="200"/>
      <c r="B87" s="15">
        <v>44944</v>
      </c>
      <c r="C87" s="60">
        <v>2</v>
      </c>
      <c r="D87" s="97">
        <f>(1*20)+(1*6)</f>
        <v>26</v>
      </c>
      <c r="E87" s="52">
        <v>28</v>
      </c>
      <c r="F87" s="60">
        <v>1</v>
      </c>
      <c r="G87" s="61">
        <f t="shared" si="13"/>
        <v>15</v>
      </c>
      <c r="H87" s="52">
        <v>15</v>
      </c>
    </row>
    <row r="88" spans="1:8" ht="15" customHeight="1" x14ac:dyDescent="0.2">
      <c r="A88" s="200"/>
      <c r="B88" s="15">
        <v>44945</v>
      </c>
      <c r="C88" s="60">
        <v>2</v>
      </c>
      <c r="D88" s="97">
        <f>(2*20)</f>
        <v>40</v>
      </c>
      <c r="E88" s="52">
        <v>33</v>
      </c>
      <c r="F88" s="60">
        <v>1</v>
      </c>
      <c r="G88" s="61">
        <f t="shared" si="13"/>
        <v>15</v>
      </c>
      <c r="H88" s="52">
        <v>15</v>
      </c>
    </row>
    <row r="89" spans="1:8" ht="15" customHeight="1" x14ac:dyDescent="0.2">
      <c r="A89" s="200"/>
      <c r="B89" s="15">
        <v>44946</v>
      </c>
      <c r="C89" s="108">
        <v>2</v>
      </c>
      <c r="D89" s="97">
        <f>(1*20)+(1*15)</f>
        <v>35</v>
      </c>
      <c r="E89" s="109">
        <v>22</v>
      </c>
      <c r="F89" s="60">
        <v>1</v>
      </c>
      <c r="G89" s="61">
        <f>(1*20)</f>
        <v>20</v>
      </c>
      <c r="H89" s="109">
        <v>20</v>
      </c>
    </row>
    <row r="90" spans="1:8" ht="15" customHeight="1" x14ac:dyDescent="0.2">
      <c r="C90" s="51">
        <f>AVERAGE(C84:C89)</f>
        <v>2</v>
      </c>
      <c r="D90" s="50">
        <f>SUM(D84:D89)</f>
        <v>137</v>
      </c>
      <c r="E90" s="99">
        <f>SUM(E84:E89)</f>
        <v>119</v>
      </c>
      <c r="F90" s="51">
        <f>AVERAGE(F84:F89)</f>
        <v>1</v>
      </c>
      <c r="G90" s="107">
        <f>SUM(G84:G89)</f>
        <v>80</v>
      </c>
      <c r="H90" s="99">
        <f>SUM(H84:H89)</f>
        <v>80</v>
      </c>
    </row>
    <row r="92" spans="1:8" ht="15" customHeight="1" x14ac:dyDescent="0.2">
      <c r="A92" s="200" t="s">
        <v>49</v>
      </c>
      <c r="B92" s="15">
        <v>44949</v>
      </c>
      <c r="C92" s="60">
        <v>1</v>
      </c>
      <c r="D92" s="61">
        <f>(1*20)</f>
        <v>20</v>
      </c>
      <c r="E92" s="52">
        <v>20</v>
      </c>
      <c r="F92" s="60">
        <v>2</v>
      </c>
      <c r="G92" s="61">
        <f>(2*20)</f>
        <v>40</v>
      </c>
      <c r="H92" s="52">
        <v>40</v>
      </c>
    </row>
    <row r="93" spans="1:8" ht="15" customHeight="1" x14ac:dyDescent="0.2">
      <c r="A93" s="200"/>
      <c r="B93" s="15">
        <v>44950</v>
      </c>
      <c r="C93" s="60">
        <v>1</v>
      </c>
      <c r="D93" s="61">
        <f t="shared" ref="D93:D96" si="14">(1*20)</f>
        <v>20</v>
      </c>
      <c r="E93" s="52">
        <v>20</v>
      </c>
      <c r="F93" s="60">
        <v>2</v>
      </c>
      <c r="G93" s="61">
        <f t="shared" ref="G93:G96" si="15">(2*20)</f>
        <v>40</v>
      </c>
      <c r="H93" s="52">
        <v>40</v>
      </c>
    </row>
    <row r="94" spans="1:8" ht="15" customHeight="1" x14ac:dyDescent="0.2">
      <c r="A94" s="200"/>
      <c r="B94" s="15">
        <v>44951</v>
      </c>
      <c r="C94" s="60">
        <v>1</v>
      </c>
      <c r="D94" s="61">
        <f t="shared" si="14"/>
        <v>20</v>
      </c>
      <c r="E94" s="52">
        <v>20</v>
      </c>
      <c r="F94" s="60">
        <v>2</v>
      </c>
      <c r="G94" s="61">
        <f t="shared" si="15"/>
        <v>40</v>
      </c>
      <c r="H94" s="52">
        <v>40</v>
      </c>
    </row>
    <row r="95" spans="1:8" ht="15" customHeight="1" x14ac:dyDescent="0.2">
      <c r="A95" s="200"/>
      <c r="B95" s="15">
        <v>44952</v>
      </c>
      <c r="C95" s="60" t="s">
        <v>64</v>
      </c>
      <c r="D95" s="97" t="s">
        <v>64</v>
      </c>
      <c r="E95" s="52" t="s">
        <v>64</v>
      </c>
      <c r="F95" s="60" t="s">
        <v>64</v>
      </c>
      <c r="G95" s="61" t="s">
        <v>64</v>
      </c>
      <c r="H95" s="52" t="s">
        <v>64</v>
      </c>
    </row>
    <row r="96" spans="1:8" ht="15" customHeight="1" x14ac:dyDescent="0.2">
      <c r="A96" s="200"/>
      <c r="B96" s="15">
        <v>44953</v>
      </c>
      <c r="C96" s="60">
        <v>1</v>
      </c>
      <c r="D96" s="61">
        <f t="shared" si="14"/>
        <v>20</v>
      </c>
      <c r="E96" s="109">
        <v>20</v>
      </c>
      <c r="F96" s="60">
        <v>2</v>
      </c>
      <c r="G96" s="61">
        <f t="shared" si="15"/>
        <v>40</v>
      </c>
      <c r="H96" s="52">
        <v>40</v>
      </c>
    </row>
    <row r="97" spans="1:8" ht="15" customHeight="1" x14ac:dyDescent="0.2">
      <c r="C97" s="51">
        <f>AVERAGE(C91:C96)</f>
        <v>1</v>
      </c>
      <c r="D97" s="50">
        <f>SUM(D91:D96)</f>
        <v>80</v>
      </c>
      <c r="E97" s="99">
        <f>SUM(E91:E96)</f>
        <v>80</v>
      </c>
      <c r="F97" s="51">
        <v>2</v>
      </c>
      <c r="G97" s="107">
        <f>SUM(G91:G96)</f>
        <v>160</v>
      </c>
      <c r="H97" s="107">
        <f>SUM(H91:H96)</f>
        <v>160</v>
      </c>
    </row>
    <row r="99" spans="1:8" ht="15" customHeight="1" x14ac:dyDescent="0.2">
      <c r="A99" s="200" t="s">
        <v>52</v>
      </c>
      <c r="B99" s="15">
        <v>44956</v>
      </c>
      <c r="C99" s="60">
        <v>2</v>
      </c>
      <c r="D99" s="61">
        <f>(2*20)</f>
        <v>40</v>
      </c>
      <c r="E99" s="52">
        <v>40</v>
      </c>
      <c r="F99" s="60">
        <v>2</v>
      </c>
      <c r="G99" s="61">
        <f>(2*20)</f>
        <v>40</v>
      </c>
      <c r="H99" s="52">
        <v>40</v>
      </c>
    </row>
    <row r="100" spans="1:8" ht="15" customHeight="1" x14ac:dyDescent="0.2">
      <c r="A100" s="200"/>
      <c r="B100" s="15">
        <v>44957</v>
      </c>
      <c r="C100" s="60">
        <v>2</v>
      </c>
      <c r="D100" s="61">
        <f>(1*20)+(1*10)</f>
        <v>30</v>
      </c>
      <c r="E100" s="52">
        <v>30</v>
      </c>
      <c r="F100" s="60">
        <v>2</v>
      </c>
      <c r="G100" s="61">
        <f t="shared" ref="G100:G103" si="16">(2*20)</f>
        <v>40</v>
      </c>
      <c r="H100" s="52">
        <v>40</v>
      </c>
    </row>
    <row r="101" spans="1:8" ht="15" customHeight="1" x14ac:dyDescent="0.2">
      <c r="A101" s="200"/>
      <c r="B101" s="15">
        <v>44958</v>
      </c>
      <c r="C101" s="60">
        <v>2</v>
      </c>
      <c r="D101" s="61">
        <f>(1*20)+(1*13)</f>
        <v>33</v>
      </c>
      <c r="E101" s="52">
        <v>33</v>
      </c>
      <c r="F101" s="60">
        <v>2</v>
      </c>
      <c r="G101" s="61">
        <f t="shared" si="16"/>
        <v>40</v>
      </c>
      <c r="H101" s="52">
        <v>40</v>
      </c>
    </row>
    <row r="102" spans="1:8" ht="15" customHeight="1" x14ac:dyDescent="0.2">
      <c r="A102" s="200"/>
      <c r="B102" s="15">
        <v>44959</v>
      </c>
      <c r="C102" s="60">
        <v>2</v>
      </c>
      <c r="D102" s="61">
        <f>(2*20)</f>
        <v>40</v>
      </c>
      <c r="E102" s="52">
        <v>40</v>
      </c>
      <c r="F102" s="60">
        <v>2</v>
      </c>
      <c r="G102" s="61">
        <f t="shared" si="16"/>
        <v>40</v>
      </c>
      <c r="H102" s="52">
        <v>40</v>
      </c>
    </row>
    <row r="103" spans="1:8" ht="15" customHeight="1" x14ac:dyDescent="0.2">
      <c r="A103" s="200"/>
      <c r="B103" s="15">
        <v>44960</v>
      </c>
      <c r="C103" s="60">
        <v>2</v>
      </c>
      <c r="D103" s="61">
        <f>(2*20)</f>
        <v>40</v>
      </c>
      <c r="E103" s="52">
        <v>40</v>
      </c>
      <c r="F103" s="60">
        <v>2</v>
      </c>
      <c r="G103" s="61">
        <f t="shared" si="16"/>
        <v>40</v>
      </c>
      <c r="H103" s="52">
        <v>40</v>
      </c>
    </row>
    <row r="104" spans="1:8" ht="15" customHeight="1" x14ac:dyDescent="0.2">
      <c r="C104" s="51">
        <f>AVERAGE(C98:C103)</f>
        <v>2</v>
      </c>
      <c r="D104" s="50">
        <f>SUM(D98:D103)</f>
        <v>183</v>
      </c>
      <c r="E104" s="99">
        <f>SUM(E98:E103)</f>
        <v>183</v>
      </c>
      <c r="F104" s="51">
        <v>2</v>
      </c>
      <c r="G104" s="107">
        <f>SUM(G98:G103)</f>
        <v>200</v>
      </c>
      <c r="H104" s="107">
        <f>SUM(H98:H103)</f>
        <v>200</v>
      </c>
    </row>
    <row r="106" spans="1:8" ht="15" customHeight="1" x14ac:dyDescent="0.2">
      <c r="A106" s="200" t="s">
        <v>55</v>
      </c>
      <c r="B106" s="15">
        <v>44963</v>
      </c>
      <c r="C106" s="60">
        <v>2</v>
      </c>
      <c r="D106" s="61">
        <f>(2*20)</f>
        <v>40</v>
      </c>
      <c r="E106" s="52">
        <v>40</v>
      </c>
      <c r="F106" s="60">
        <v>2</v>
      </c>
      <c r="G106" s="61">
        <f>(2*20)</f>
        <v>40</v>
      </c>
      <c r="H106" s="52">
        <v>40</v>
      </c>
    </row>
    <row r="107" spans="1:8" ht="15" customHeight="1" x14ac:dyDescent="0.2">
      <c r="A107" s="200"/>
      <c r="B107" s="15">
        <v>44964</v>
      </c>
      <c r="C107" s="60">
        <v>2</v>
      </c>
      <c r="D107" s="61">
        <f>(2*20)</f>
        <v>40</v>
      </c>
      <c r="E107" s="52">
        <v>40</v>
      </c>
      <c r="F107" s="60">
        <v>2</v>
      </c>
      <c r="G107" s="61">
        <f t="shared" ref="G107:G111" si="17">(2*20)</f>
        <v>40</v>
      </c>
      <c r="H107" s="52">
        <v>40</v>
      </c>
    </row>
    <row r="108" spans="1:8" ht="15" customHeight="1" x14ac:dyDescent="0.2">
      <c r="A108" s="200"/>
      <c r="B108" s="15">
        <v>44965</v>
      </c>
      <c r="C108" s="60" t="s">
        <v>64</v>
      </c>
      <c r="D108" s="61" t="s">
        <v>64</v>
      </c>
      <c r="E108" s="52" t="s">
        <v>64</v>
      </c>
      <c r="F108" s="60">
        <v>2</v>
      </c>
      <c r="G108" s="61">
        <f t="shared" si="17"/>
        <v>40</v>
      </c>
      <c r="H108" s="52">
        <v>42</v>
      </c>
    </row>
    <row r="109" spans="1:8" ht="15" customHeight="1" x14ac:dyDescent="0.2">
      <c r="A109" s="200"/>
      <c r="B109" s="15">
        <v>44966</v>
      </c>
      <c r="C109" s="60" t="s">
        <v>64</v>
      </c>
      <c r="D109" s="61" t="s">
        <v>64</v>
      </c>
      <c r="E109" s="52" t="s">
        <v>64</v>
      </c>
      <c r="F109" s="60">
        <v>2</v>
      </c>
      <c r="G109" s="61">
        <f t="shared" si="17"/>
        <v>40</v>
      </c>
      <c r="H109" s="52">
        <v>41</v>
      </c>
    </row>
    <row r="110" spans="1:8" ht="15" customHeight="1" x14ac:dyDescent="0.2">
      <c r="A110" s="200"/>
      <c r="B110" s="15">
        <v>44967</v>
      </c>
      <c r="C110" s="108" t="s">
        <v>64</v>
      </c>
      <c r="D110" s="97" t="s">
        <v>64</v>
      </c>
      <c r="E110" s="109" t="s">
        <v>64</v>
      </c>
      <c r="F110" s="108">
        <v>2</v>
      </c>
      <c r="G110" s="61">
        <f t="shared" si="17"/>
        <v>40</v>
      </c>
      <c r="H110" s="52">
        <v>40</v>
      </c>
    </row>
    <row r="111" spans="1:8" ht="15" customHeight="1" x14ac:dyDescent="0.2">
      <c r="A111" s="200"/>
      <c r="B111" s="34">
        <v>44968</v>
      </c>
      <c r="C111" s="16" t="s">
        <v>64</v>
      </c>
      <c r="D111" s="61" t="s">
        <v>64</v>
      </c>
      <c r="E111" s="16" t="s">
        <v>64</v>
      </c>
      <c r="F111" s="16">
        <v>2</v>
      </c>
      <c r="G111" s="142">
        <f t="shared" si="17"/>
        <v>40</v>
      </c>
      <c r="H111" s="42">
        <v>40</v>
      </c>
    </row>
    <row r="112" spans="1:8" ht="15" customHeight="1" x14ac:dyDescent="0.2">
      <c r="C112" s="143">
        <f>AVERAGE(C105:C110)</f>
        <v>2</v>
      </c>
      <c r="D112" s="96">
        <f>SUM(D105:D110)</f>
        <v>80</v>
      </c>
      <c r="E112" s="144">
        <f>SUM(E105:E110)</f>
        <v>80</v>
      </c>
      <c r="F112" s="143">
        <v>2</v>
      </c>
      <c r="G112" s="107">
        <f>SUM(G105:G110)</f>
        <v>200</v>
      </c>
      <c r="H112" s="107">
        <f>SUM(H105:H110)</f>
        <v>203</v>
      </c>
    </row>
    <row r="114" spans="1:8" ht="15" customHeight="1" x14ac:dyDescent="0.2">
      <c r="A114" s="200" t="s">
        <v>85</v>
      </c>
      <c r="B114" s="15">
        <v>44970</v>
      </c>
      <c r="C114" s="60" t="s">
        <v>64</v>
      </c>
      <c r="D114" s="61" t="s">
        <v>64</v>
      </c>
      <c r="E114" s="52" t="s">
        <v>64</v>
      </c>
      <c r="F114" s="60">
        <v>2</v>
      </c>
      <c r="G114" s="61">
        <f>(2*20)</f>
        <v>40</v>
      </c>
      <c r="H114" s="52">
        <v>35</v>
      </c>
    </row>
    <row r="115" spans="1:8" ht="15" customHeight="1" x14ac:dyDescent="0.2">
      <c r="A115" s="200"/>
      <c r="B115" s="15">
        <v>44971</v>
      </c>
      <c r="C115" s="60" t="s">
        <v>64</v>
      </c>
      <c r="D115" s="61" t="s">
        <v>64</v>
      </c>
      <c r="E115" s="52" t="s">
        <v>64</v>
      </c>
      <c r="F115" s="60">
        <v>2</v>
      </c>
      <c r="G115" s="61">
        <f t="shared" ref="G115:G118" si="18">(2*20)</f>
        <v>40</v>
      </c>
      <c r="H115" s="52">
        <v>29</v>
      </c>
    </row>
    <row r="116" spans="1:8" ht="15" customHeight="1" x14ac:dyDescent="0.2">
      <c r="A116" s="200"/>
      <c r="B116" s="15">
        <v>44972</v>
      </c>
      <c r="C116" s="60">
        <v>2</v>
      </c>
      <c r="D116" s="61">
        <f>(2*20)</f>
        <v>40</v>
      </c>
      <c r="E116" s="52">
        <v>38</v>
      </c>
      <c r="F116" s="60">
        <v>2</v>
      </c>
      <c r="G116" s="61">
        <f t="shared" si="18"/>
        <v>40</v>
      </c>
      <c r="H116" s="52">
        <v>38</v>
      </c>
    </row>
    <row r="117" spans="1:8" ht="15" customHeight="1" x14ac:dyDescent="0.2">
      <c r="A117" s="200"/>
      <c r="B117" s="15">
        <v>44973</v>
      </c>
      <c r="C117" s="60">
        <v>2</v>
      </c>
      <c r="D117" s="61">
        <f>(2*20)</f>
        <v>40</v>
      </c>
      <c r="E117" s="52">
        <v>40</v>
      </c>
      <c r="F117" s="60">
        <v>2</v>
      </c>
      <c r="G117" s="61">
        <f t="shared" si="18"/>
        <v>40</v>
      </c>
      <c r="H117" s="52">
        <v>45</v>
      </c>
    </row>
    <row r="118" spans="1:8" ht="15" customHeight="1" x14ac:dyDescent="0.2">
      <c r="A118" s="200"/>
      <c r="B118" s="15">
        <v>44974</v>
      </c>
      <c r="C118" s="108">
        <v>1</v>
      </c>
      <c r="D118" s="61">
        <f>(1*20)</f>
        <v>20</v>
      </c>
      <c r="E118" s="109">
        <v>20</v>
      </c>
      <c r="F118" s="108">
        <v>2</v>
      </c>
      <c r="G118" s="97">
        <f t="shared" si="18"/>
        <v>40</v>
      </c>
      <c r="H118" s="52">
        <v>21</v>
      </c>
    </row>
    <row r="119" spans="1:8" ht="15" customHeight="1" x14ac:dyDescent="0.2">
      <c r="C119" s="51">
        <f>AVERAGE(C113:C118)</f>
        <v>1.6666666666666667</v>
      </c>
      <c r="D119" s="50">
        <f>SUM(D113:D118)</f>
        <v>100</v>
      </c>
      <c r="E119" s="48">
        <f>SUM(E113:E118)</f>
        <v>98</v>
      </c>
      <c r="F119" s="50">
        <v>2</v>
      </c>
      <c r="G119" s="99">
        <f>SUM(G113:G118)</f>
        <v>200</v>
      </c>
      <c r="H119" s="177">
        <f>SUM(H113:H118)</f>
        <v>168</v>
      </c>
    </row>
  </sheetData>
  <mergeCells count="21">
    <mergeCell ref="A114:A118"/>
    <mergeCell ref="A106:A111"/>
    <mergeCell ref="A63:A67"/>
    <mergeCell ref="A70:H70"/>
    <mergeCell ref="A99:A103"/>
    <mergeCell ref="A56:A60"/>
    <mergeCell ref="A49:A53"/>
    <mergeCell ref="A92:A96"/>
    <mergeCell ref="A85:A89"/>
    <mergeCell ref="A78:A82"/>
    <mergeCell ref="A71:A75"/>
    <mergeCell ref="F1:H1"/>
    <mergeCell ref="A3:A8"/>
    <mergeCell ref="B1:B2"/>
    <mergeCell ref="A1:A2"/>
    <mergeCell ref="C1:E1"/>
    <mergeCell ref="A42:A46"/>
    <mergeCell ref="A11:A16"/>
    <mergeCell ref="A19:A24"/>
    <mergeCell ref="A27:A32"/>
    <mergeCell ref="A35:A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37b0fa3-9fcf-4b7e-9108-de2dbd017565" xsi:nil="true"/>
    <lcf76f155ced4ddcb4097134ff3c332f xmlns="6ad694f4-6f11-4b30-8311-d205a6339bb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DC59995B7FE2D41B9D7C16F31C93EB7" ma:contentTypeVersion="10" ma:contentTypeDescription="Create a new document." ma:contentTypeScope="" ma:versionID="0daa209a3ee45ce6fcec53152af8253e">
  <xsd:schema xmlns:xsd="http://www.w3.org/2001/XMLSchema" xmlns:xs="http://www.w3.org/2001/XMLSchema" xmlns:p="http://schemas.microsoft.com/office/2006/metadata/properties" xmlns:ns2="6ad694f4-6f11-4b30-8311-d205a6339bb4" xmlns:ns3="337b0fa3-9fcf-4b7e-9108-de2dbd017565" targetNamespace="http://schemas.microsoft.com/office/2006/metadata/properties" ma:root="true" ma:fieldsID="f3d89a1eacf7cb1a617163edd2b59513" ns2:_="" ns3:_="">
    <xsd:import namespace="6ad694f4-6f11-4b30-8311-d205a6339bb4"/>
    <xsd:import namespace="337b0fa3-9fcf-4b7e-9108-de2dbd0175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d694f4-6f11-4b30-8311-d205a6339b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1821d63-e346-4869-9fc5-c0b65c849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7b0fa3-9fcf-4b7e-9108-de2dbd01756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bea916e-72f6-4f11-af1d-92d8a432ad8f}" ma:internalName="TaxCatchAll" ma:showField="CatchAllData" ma:web="337b0fa3-9fcf-4b7e-9108-de2dbd0175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8B9351-5618-48B7-8D1F-9A7F6F305558}">
  <ds:schemaRefs>
    <ds:schemaRef ds:uri="http://schemas.microsoft.com/office/2006/metadata/properties"/>
    <ds:schemaRef ds:uri="http://schemas.microsoft.com/office/infopath/2007/PartnerControls"/>
    <ds:schemaRef ds:uri="337b0fa3-9fcf-4b7e-9108-de2dbd017565"/>
    <ds:schemaRef ds:uri="6ad694f4-6f11-4b30-8311-d205a6339bb4"/>
  </ds:schemaRefs>
</ds:datastoreItem>
</file>

<file path=customXml/itemProps2.xml><?xml version="1.0" encoding="utf-8"?>
<ds:datastoreItem xmlns:ds="http://schemas.openxmlformats.org/officeDocument/2006/customXml" ds:itemID="{2B0341AC-B152-4DEC-BA06-3113B370D8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d694f4-6f11-4b30-8311-d205a6339bb4"/>
    <ds:schemaRef ds:uri="337b0fa3-9fcf-4b7e-9108-de2dbd017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E0D735-2FA8-4341-92A9-A23F6F7E40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Production</vt:lpstr>
      <vt:lpstr>Quality</vt:lpstr>
      <vt:lpstr>Resource allocation</vt:lpstr>
      <vt:lpstr>Definition</vt:lpstr>
      <vt:lpstr>Production weekly data</vt:lpstr>
      <vt:lpstr>Quality weekly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Satish Kandikandi</dc:creator>
  <cp:keywords/>
  <dc:description/>
  <cp:lastModifiedBy>Microsoft Office User</cp:lastModifiedBy>
  <cp:revision/>
  <dcterms:created xsi:type="dcterms:W3CDTF">2015-06-05T18:19:34Z</dcterms:created>
  <dcterms:modified xsi:type="dcterms:W3CDTF">2023-03-11T12:43:20Z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0x010100CDC59995B7FE2D41B9D7C16F31C93EB7</vt:lpwstr>
  </property>
  <property fmtid="{D5CDD505-2E9C-101B-9397-08002B2CF9AE}" pid="3" name="MediaServiceImageTags">
    <vt:lpwstr/>
  </property>
</Properties>
</file>