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6_Studienjahr_MasterMed-Jahr_3\CORONA-IPS-2020\"/>
    </mc:Choice>
  </mc:AlternateContent>
  <bookViews>
    <workbookView xWindow="0" yWindow="600" windowWidth="28755" windowHeight="19425" tabRatio="856" activeTab="3"/>
  </bookViews>
  <sheets>
    <sheet name="Saldo" sheetId="13" r:id="rId1"/>
    <sheet name="Erklärungen" sheetId="18" r:id="rId2"/>
    <sheet name="Monatssaldi" sheetId="19" state="hidden" r:id="rId3"/>
    <sheet name="Januar" sheetId="1" r:id="rId4"/>
    <sheet name="Februar" sheetId="2" r:id="rId5"/>
    <sheet name="März" sheetId="3" r:id="rId6"/>
    <sheet name="April" sheetId="4" r:id="rId7"/>
    <sheet name="Mai" sheetId="5" r:id="rId8"/>
    <sheet name="Juni" sheetId="6" r:id="rId9"/>
    <sheet name="Juli" sheetId="7" r:id="rId10"/>
    <sheet name="August" sheetId="8" r:id="rId11"/>
    <sheet name="September" sheetId="9" r:id="rId12"/>
    <sheet name="Oktober" sheetId="10" r:id="rId13"/>
    <sheet name="November" sheetId="11" r:id="rId14"/>
    <sheet name="Dezember" sheetId="12" r:id="rId15"/>
    <sheet name="Ferientabelle 20 Tage" sheetId="14" r:id="rId16"/>
    <sheet name="Ferientabelle 25 Tage" sheetId="15" r:id="rId17"/>
    <sheet name="Ferientabelle 30 Tage" sheetId="16" state="hidden" r:id="rId18"/>
    <sheet name="Kompatibilitätsbericht" sheetId="17" state="hidden" r:id="rId19"/>
  </sheets>
  <definedNames>
    <definedName name="Anstellungsprozent">Saldo!$C$22</definedName>
    <definedName name="MA">Saldo!$A$2</definedName>
    <definedName name="SApr">Saldo!$C$12</definedName>
    <definedName name="SAug">Saldo!$C$16</definedName>
    <definedName name="SDez">Saldo!$C$20</definedName>
    <definedName name="SFeb">Saldo!$C$10</definedName>
    <definedName name="SJan">Saldo!$C$9</definedName>
    <definedName name="SJul">Saldo!$C$15</definedName>
    <definedName name="SJun">Saldo!$C$14</definedName>
    <definedName name="SMai">Saldo!$C$13</definedName>
    <definedName name="SMar">Saldo!$C$11</definedName>
    <definedName name="SNov">Saldo!$C$19</definedName>
    <definedName name="SOkt">Saldo!$C$18</definedName>
    <definedName name="SollApr">Saldo!$B$12</definedName>
    <definedName name="SollAug">Saldo!$B$16</definedName>
    <definedName name="SollDez">Saldo!$B$20</definedName>
    <definedName name="SollFeb">Saldo!$B$10</definedName>
    <definedName name="SollJan">Saldo!$B$9</definedName>
    <definedName name="SollJul">Saldo!$B$15</definedName>
    <definedName name="SollJun">Saldo!$B$14</definedName>
    <definedName name="SollMai">Saldo!$B$13</definedName>
    <definedName name="SollMar">Saldo!$B$11</definedName>
    <definedName name="SollNov">Saldo!$B$19</definedName>
    <definedName name="SollOkt">Saldo!$B$18</definedName>
    <definedName name="SollSep">Saldo!$B$17</definedName>
    <definedName name="SSep">Saldo!$C$17</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H34" i="2" l="1"/>
  <c r="A34" i="2"/>
  <c r="B34" i="2"/>
  <c r="B24" i="2"/>
  <c r="B7" i="2"/>
  <c r="B8" i="2"/>
  <c r="B9" i="2"/>
  <c r="B10" i="2"/>
  <c r="B11" i="2"/>
  <c r="B12" i="2"/>
  <c r="B13" i="2"/>
  <c r="B14" i="2"/>
  <c r="B15" i="2"/>
  <c r="B16" i="2"/>
  <c r="B17" i="2"/>
  <c r="B18" i="2"/>
  <c r="B19" i="2"/>
  <c r="B20" i="2"/>
  <c r="B21" i="2"/>
  <c r="B22" i="2"/>
  <c r="B23" i="2"/>
  <c r="B25" i="2"/>
  <c r="B26" i="2"/>
  <c r="B27" i="2"/>
  <c r="B28" i="2"/>
  <c r="B29" i="2"/>
  <c r="B30" i="2"/>
  <c r="B31" i="2"/>
  <c r="B32" i="2"/>
  <c r="B33" i="2"/>
  <c r="H39" i="12"/>
  <c r="H39" i="11"/>
  <c r="H39" i="10"/>
  <c r="H39" i="9"/>
  <c r="H39" i="8"/>
  <c r="H39" i="7"/>
  <c r="H39" i="6"/>
  <c r="H39" i="5"/>
  <c r="H39" i="4"/>
  <c r="H39" i="3"/>
  <c r="H39" i="2"/>
  <c r="H39" i="1"/>
  <c r="B19" i="19"/>
  <c r="A2" i="19"/>
  <c r="C5" i="13"/>
  <c r="C10" i="13"/>
  <c r="C11" i="13"/>
  <c r="C12" i="13"/>
  <c r="C13" i="13"/>
  <c r="C14" i="13"/>
  <c r="C15" i="13"/>
  <c r="C16" i="13"/>
  <c r="C17" i="13"/>
  <c r="C18" i="13"/>
  <c r="C19" i="13"/>
  <c r="C20" i="13"/>
  <c r="C9" i="13"/>
  <c r="A2" i="16"/>
  <c r="A1" i="16"/>
  <c r="A1" i="15"/>
  <c r="A1" i="14"/>
  <c r="C2" i="12"/>
  <c r="C2" i="11"/>
  <c r="C2" i="10"/>
  <c r="C2" i="9"/>
  <c r="C2" i="8"/>
  <c r="C2" i="7"/>
  <c r="C2" i="6"/>
  <c r="C2" i="5"/>
  <c r="C2" i="4"/>
  <c r="C2" i="3"/>
  <c r="C2" i="2"/>
  <c r="C2" i="1"/>
  <c r="G2" i="1"/>
  <c r="A36" i="12"/>
  <c r="H35" i="9"/>
  <c r="H34" i="3"/>
  <c r="H35" i="3"/>
  <c r="H36" i="3"/>
  <c r="B10" i="4"/>
  <c r="A10" i="4"/>
  <c r="H10" i="4"/>
  <c r="B11" i="4"/>
  <c r="A11" i="4"/>
  <c r="H11" i="4"/>
  <c r="H7" i="4"/>
  <c r="B21" i="13"/>
  <c r="H36" i="12"/>
  <c r="H29" i="3"/>
  <c r="H28" i="3"/>
  <c r="H27" i="3"/>
  <c r="H26" i="3"/>
  <c r="H30" i="3"/>
  <c r="B7" i="4"/>
  <c r="A7" i="4"/>
  <c r="A2" i="15"/>
  <c r="A2" i="14"/>
  <c r="G2" i="2"/>
  <c r="G2" i="3"/>
  <c r="G2" i="4"/>
  <c r="G2" i="5"/>
  <c r="G2" i="6"/>
  <c r="G2" i="7"/>
  <c r="G2" i="8"/>
  <c r="G2" i="9"/>
  <c r="G2" i="10"/>
  <c r="G2" i="11"/>
  <c r="G2" i="12"/>
  <c r="B5" i="16"/>
  <c r="H15" i="6"/>
  <c r="H16" i="6"/>
  <c r="H17" i="6"/>
  <c r="H18" i="6"/>
  <c r="H19" i="6"/>
  <c r="H20" i="6"/>
  <c r="H21" i="6"/>
  <c r="H22" i="6"/>
  <c r="H23" i="6"/>
  <c r="H24" i="6"/>
  <c r="H25" i="6"/>
  <c r="H26" i="6"/>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6" i="1"/>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8" i="12"/>
  <c r="A8" i="12"/>
  <c r="B7" i="12"/>
  <c r="A7" i="12"/>
  <c r="B6" i="12"/>
  <c r="A6" i="12"/>
  <c r="B35" i="11"/>
  <c r="A35" i="11"/>
  <c r="B34" i="11"/>
  <c r="A34" i="11"/>
  <c r="B33" i="11"/>
  <c r="A33" i="11"/>
  <c r="B32" i="11"/>
  <c r="A32"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5" i="11"/>
  <c r="A15" i="11"/>
  <c r="B14" i="11"/>
  <c r="A14" i="11"/>
  <c r="B13" i="11"/>
  <c r="A13" i="11"/>
  <c r="B12" i="11"/>
  <c r="A12" i="11"/>
  <c r="B11" i="11"/>
  <c r="A11" i="11"/>
  <c r="B10" i="11"/>
  <c r="A10" i="11"/>
  <c r="B9" i="11"/>
  <c r="A9" i="11"/>
  <c r="B8" i="11"/>
  <c r="A8" i="11"/>
  <c r="B7" i="11"/>
  <c r="A7" i="11"/>
  <c r="B6" i="11"/>
  <c r="A6" i="11"/>
  <c r="B36" i="10"/>
  <c r="A36" i="10"/>
  <c r="B35" i="10"/>
  <c r="A35" i="10"/>
  <c r="B34" i="10"/>
  <c r="A34" i="10"/>
  <c r="B33" i="10"/>
  <c r="A33" i="10"/>
  <c r="B32" i="10"/>
  <c r="A32" i="10"/>
  <c r="B31" i="10"/>
  <c r="A31" i="10"/>
  <c r="B30" i="10"/>
  <c r="A30" i="10"/>
  <c r="B29" i="10"/>
  <c r="A29" i="10"/>
  <c r="B28" i="10"/>
  <c r="A28" i="10"/>
  <c r="B27" i="10"/>
  <c r="A27" i="10"/>
  <c r="B26" i="10"/>
  <c r="A26" i="10"/>
  <c r="B25" i="10"/>
  <c r="A25" i="10"/>
  <c r="B24" i="10"/>
  <c r="A24" i="10"/>
  <c r="B23" i="10"/>
  <c r="A23" i="10"/>
  <c r="B22" i="10"/>
  <c r="A22" i="10"/>
  <c r="B21" i="10"/>
  <c r="A21" i="10"/>
  <c r="B20" i="10"/>
  <c r="A20" i="10"/>
  <c r="B19" i="10"/>
  <c r="A19" i="10"/>
  <c r="B18" i="10"/>
  <c r="A18" i="10"/>
  <c r="B17" i="10"/>
  <c r="A17" i="10"/>
  <c r="B16" i="10"/>
  <c r="A16" i="10"/>
  <c r="B15" i="10"/>
  <c r="A15" i="10"/>
  <c r="B14" i="10"/>
  <c r="A14" i="10"/>
  <c r="B13" i="10"/>
  <c r="A13" i="10"/>
  <c r="B12" i="10"/>
  <c r="A12" i="10"/>
  <c r="B11" i="10"/>
  <c r="A11" i="10"/>
  <c r="B10" i="10"/>
  <c r="A10" i="10"/>
  <c r="B9" i="10"/>
  <c r="A9" i="10"/>
  <c r="B8" i="10"/>
  <c r="A8" i="10"/>
  <c r="B7" i="10"/>
  <c r="A7" i="10"/>
  <c r="B6" i="10"/>
  <c r="A6" i="10"/>
  <c r="B35" i="9"/>
  <c r="A35" i="9"/>
  <c r="B34" i="9"/>
  <c r="A34" i="9"/>
  <c r="B33" i="9"/>
  <c r="A33" i="9"/>
  <c r="B32" i="9"/>
  <c r="A32" i="9"/>
  <c r="B31" i="9"/>
  <c r="A31" i="9"/>
  <c r="B30" i="9"/>
  <c r="A30" i="9"/>
  <c r="B29" i="9"/>
  <c r="A29" i="9"/>
  <c r="B28" i="9"/>
  <c r="A28" i="9"/>
  <c r="B27" i="9"/>
  <c r="A27" i="9"/>
  <c r="B26" i="9"/>
  <c r="A26" i="9"/>
  <c r="B25" i="9"/>
  <c r="A25" i="9"/>
  <c r="B24" i="9"/>
  <c r="A24" i="9"/>
  <c r="B23" i="9"/>
  <c r="A23" i="9"/>
  <c r="B22" i="9"/>
  <c r="A22" i="9"/>
  <c r="B21" i="9"/>
  <c r="A21" i="9"/>
  <c r="B20" i="9"/>
  <c r="A20" i="9"/>
  <c r="B19" i="9"/>
  <c r="A19" i="9"/>
  <c r="B18" i="9"/>
  <c r="A18" i="9"/>
  <c r="B17" i="9"/>
  <c r="A17" i="9"/>
  <c r="B16" i="9"/>
  <c r="A16" i="9"/>
  <c r="B15" i="9"/>
  <c r="A15" i="9"/>
  <c r="B14" i="9"/>
  <c r="A14" i="9"/>
  <c r="B13" i="9"/>
  <c r="A13" i="9"/>
  <c r="B12" i="9"/>
  <c r="A12" i="9"/>
  <c r="B11" i="9"/>
  <c r="A11" i="9"/>
  <c r="B10" i="9"/>
  <c r="A10" i="9"/>
  <c r="B9" i="9"/>
  <c r="A9" i="9"/>
  <c r="B8" i="9"/>
  <c r="A8" i="9"/>
  <c r="B7" i="9"/>
  <c r="A7" i="9"/>
  <c r="B6" i="9"/>
  <c r="A6" i="9"/>
  <c r="B36" i="8"/>
  <c r="A36" i="8"/>
  <c r="B35" i="8"/>
  <c r="A35" i="8"/>
  <c r="B34" i="8"/>
  <c r="A34" i="8"/>
  <c r="B33" i="8"/>
  <c r="A33" i="8"/>
  <c r="B32" i="8"/>
  <c r="A32" i="8"/>
  <c r="B31" i="8"/>
  <c r="A31" i="8"/>
  <c r="B30" i="8"/>
  <c r="A30" i="8"/>
  <c r="B29" i="8"/>
  <c r="A29" i="8"/>
  <c r="B28" i="8"/>
  <c r="A28" i="8"/>
  <c r="B27" i="8"/>
  <c r="A27" i="8"/>
  <c r="B26" i="8"/>
  <c r="A26" i="8"/>
  <c r="B25" i="8"/>
  <c r="A25" i="8"/>
  <c r="B24" i="8"/>
  <c r="A24" i="8"/>
  <c r="B23" i="8"/>
  <c r="A23" i="8"/>
  <c r="B22" i="8"/>
  <c r="A22" i="8"/>
  <c r="B21" i="8"/>
  <c r="A21" i="8"/>
  <c r="B20" i="8"/>
  <c r="A20" i="8"/>
  <c r="B19" i="8"/>
  <c r="A19" i="8"/>
  <c r="B18" i="8"/>
  <c r="A18" i="8"/>
  <c r="B17" i="8"/>
  <c r="A17" i="8"/>
  <c r="B16" i="8"/>
  <c r="A16" i="8"/>
  <c r="B15" i="8"/>
  <c r="A15" i="8"/>
  <c r="B14" i="8"/>
  <c r="A14" i="8"/>
  <c r="B13" i="8"/>
  <c r="A13" i="8"/>
  <c r="B12" i="8"/>
  <c r="A12" i="8"/>
  <c r="B11" i="8"/>
  <c r="A11" i="8"/>
  <c r="B10" i="8"/>
  <c r="A10" i="8"/>
  <c r="B9" i="8"/>
  <c r="A9" i="8"/>
  <c r="B8" i="8"/>
  <c r="A8" i="8"/>
  <c r="B7" i="8"/>
  <c r="A7" i="8"/>
  <c r="B6" i="8"/>
  <c r="A6" i="8"/>
  <c r="B36" i="7"/>
  <c r="A36" i="7"/>
  <c r="B35" i="7"/>
  <c r="A35" i="7"/>
  <c r="B34" i="7"/>
  <c r="A34" i="7"/>
  <c r="B33" i="7"/>
  <c r="A33" i="7"/>
  <c r="B32" i="7"/>
  <c r="A32" i="7"/>
  <c r="B31" i="7"/>
  <c r="A31" i="7"/>
  <c r="B30" i="7"/>
  <c r="A30" i="7"/>
  <c r="B29" i="7"/>
  <c r="A29" i="7"/>
  <c r="B28" i="7"/>
  <c r="A28" i="7"/>
  <c r="B27" i="7"/>
  <c r="A27" i="7"/>
  <c r="B26" i="7"/>
  <c r="A26" i="7"/>
  <c r="B25" i="7"/>
  <c r="A25" i="7"/>
  <c r="B24" i="7"/>
  <c r="A24" i="7"/>
  <c r="B23" i="7"/>
  <c r="A23" i="7"/>
  <c r="B22" i="7"/>
  <c r="A22" i="7"/>
  <c r="B21" i="7"/>
  <c r="A21" i="7"/>
  <c r="B20" i="7"/>
  <c r="A20" i="7"/>
  <c r="B19" i="7"/>
  <c r="A19" i="7"/>
  <c r="B18" i="7"/>
  <c r="A18" i="7"/>
  <c r="B17" i="7"/>
  <c r="A17" i="7"/>
  <c r="B16" i="7"/>
  <c r="A16" i="7"/>
  <c r="B15" i="7"/>
  <c r="A15" i="7"/>
  <c r="B8" i="7"/>
  <c r="A8" i="7"/>
  <c r="B14" i="7"/>
  <c r="A14" i="7"/>
  <c r="B13" i="7"/>
  <c r="A13" i="7"/>
  <c r="B12" i="7"/>
  <c r="A12" i="7"/>
  <c r="B11" i="7"/>
  <c r="A11" i="7"/>
  <c r="B10" i="7"/>
  <c r="A10" i="7"/>
  <c r="B9" i="7"/>
  <c r="A9" i="7"/>
  <c r="B7" i="7"/>
  <c r="A7" i="7"/>
  <c r="B6" i="7"/>
  <c r="A6" i="7"/>
  <c r="B10" i="6"/>
  <c r="A10" i="6"/>
  <c r="B30" i="6"/>
  <c r="A30" i="6"/>
  <c r="B11" i="6"/>
  <c r="A11" i="6"/>
  <c r="B20" i="6"/>
  <c r="A20" i="6"/>
  <c r="B35" i="6"/>
  <c r="A35" i="6"/>
  <c r="B34" i="6"/>
  <c r="A34" i="6"/>
  <c r="B33" i="6"/>
  <c r="A33" i="6"/>
  <c r="B32" i="6"/>
  <c r="A32" i="6"/>
  <c r="B31" i="6"/>
  <c r="A31" i="6"/>
  <c r="B29" i="6"/>
  <c r="A29" i="6"/>
  <c r="B28" i="6"/>
  <c r="A28" i="6"/>
  <c r="B27" i="6"/>
  <c r="A27" i="6"/>
  <c r="B26" i="6"/>
  <c r="A26" i="6"/>
  <c r="B25" i="6"/>
  <c r="A25" i="6"/>
  <c r="B24" i="6"/>
  <c r="A24" i="6"/>
  <c r="B23" i="6"/>
  <c r="A23" i="6"/>
  <c r="B22" i="6"/>
  <c r="A22" i="6"/>
  <c r="B21" i="6"/>
  <c r="A21" i="6"/>
  <c r="B19" i="6"/>
  <c r="A19" i="6"/>
  <c r="B18" i="6"/>
  <c r="A18" i="6"/>
  <c r="B17" i="6"/>
  <c r="A17" i="6"/>
  <c r="B16" i="6"/>
  <c r="A16" i="6"/>
  <c r="B15" i="6"/>
  <c r="A15" i="6"/>
  <c r="B14" i="6"/>
  <c r="A14" i="6"/>
  <c r="B13" i="6"/>
  <c r="A13" i="6"/>
  <c r="B12" i="6"/>
  <c r="A12" i="6"/>
  <c r="B9" i="6"/>
  <c r="A9" i="6"/>
  <c r="B8" i="6"/>
  <c r="A8" i="6"/>
  <c r="B7" i="6"/>
  <c r="A7" i="6"/>
  <c r="B6" i="6"/>
  <c r="A6" i="6"/>
  <c r="B36" i="5"/>
  <c r="A36" i="5"/>
  <c r="B35" i="5"/>
  <c r="A35" i="5"/>
  <c r="B34" i="5"/>
  <c r="A34" i="5"/>
  <c r="B33" i="5"/>
  <c r="A33" i="5"/>
  <c r="B32" i="5"/>
  <c r="A32" i="5"/>
  <c r="B31" i="5"/>
  <c r="A31" i="5"/>
  <c r="B30" i="5"/>
  <c r="A30" i="5"/>
  <c r="B29" i="5"/>
  <c r="A29" i="5"/>
  <c r="B28" i="5"/>
  <c r="A28" i="5"/>
  <c r="B27" i="5"/>
  <c r="A27" i="5"/>
  <c r="B26" i="5"/>
  <c r="A26" i="5"/>
  <c r="B25" i="5"/>
  <c r="A25" i="5"/>
  <c r="B24" i="5"/>
  <c r="A24" i="5"/>
  <c r="B23" i="5"/>
  <c r="A23" i="5"/>
  <c r="B22" i="5"/>
  <c r="A22" i="5"/>
  <c r="B21" i="5"/>
  <c r="A21" i="5"/>
  <c r="B20" i="5"/>
  <c r="A20" i="5"/>
  <c r="B19" i="5"/>
  <c r="A19" i="5"/>
  <c r="B18" i="5"/>
  <c r="A18" i="5"/>
  <c r="B17" i="5"/>
  <c r="A17" i="5"/>
  <c r="B16" i="5"/>
  <c r="A16" i="5"/>
  <c r="B15" i="5"/>
  <c r="A15" i="5"/>
  <c r="B14" i="5"/>
  <c r="A14" i="5"/>
  <c r="B13" i="5"/>
  <c r="A13" i="5"/>
  <c r="B12" i="5"/>
  <c r="A12" i="5"/>
  <c r="B11" i="5"/>
  <c r="A11" i="5"/>
  <c r="B10" i="5"/>
  <c r="A10" i="5"/>
  <c r="B9" i="5"/>
  <c r="A9" i="5"/>
  <c r="B8" i="5"/>
  <c r="A8" i="5"/>
  <c r="B7" i="5"/>
  <c r="A7" i="5"/>
  <c r="B6" i="5"/>
  <c r="A6" i="5"/>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9" i="4"/>
  <c r="A9" i="4"/>
  <c r="B8" i="4"/>
  <c r="A8" i="4"/>
  <c r="B6" i="4"/>
  <c r="A6" i="4"/>
  <c r="B20" i="3"/>
  <c r="A20"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19" i="3"/>
  <c r="A19" i="3"/>
  <c r="B21" i="3"/>
  <c r="A21" i="3"/>
  <c r="B18" i="3"/>
  <c r="A18" i="3"/>
  <c r="B17" i="3"/>
  <c r="A17" i="3"/>
  <c r="B16" i="3"/>
  <c r="A16" i="3"/>
  <c r="B15" i="3"/>
  <c r="A15" i="3"/>
  <c r="B14" i="3"/>
  <c r="A14" i="3"/>
  <c r="B13" i="3"/>
  <c r="A13" i="3"/>
  <c r="B12" i="3"/>
  <c r="A12" i="3"/>
  <c r="B11" i="3"/>
  <c r="A11" i="3"/>
  <c r="B10" i="3"/>
  <c r="A10" i="3"/>
  <c r="B9" i="3"/>
  <c r="A9" i="3"/>
  <c r="B8" i="3"/>
  <c r="A8" i="3"/>
  <c r="B7" i="3"/>
  <c r="A7" i="3"/>
  <c r="B6" i="3"/>
  <c r="A6" i="3"/>
  <c r="A33" i="2"/>
  <c r="A32" i="2"/>
  <c r="A31" i="2"/>
  <c r="A30" i="2"/>
  <c r="A29" i="2"/>
  <c r="A28" i="2"/>
  <c r="A27" i="2"/>
  <c r="A26" i="2"/>
  <c r="A25" i="2"/>
  <c r="A24" i="2"/>
  <c r="A23" i="2"/>
  <c r="A22" i="2"/>
  <c r="A21" i="2"/>
  <c r="A20" i="2"/>
  <c r="A19" i="2"/>
  <c r="A18" i="2"/>
  <c r="A17" i="2"/>
  <c r="A16" i="2"/>
  <c r="A15" i="2"/>
  <c r="A14" i="2"/>
  <c r="A13" i="2"/>
  <c r="A12" i="2"/>
  <c r="A11" i="2"/>
  <c r="A10" i="2"/>
  <c r="A9" i="2"/>
  <c r="A8" i="2"/>
  <c r="A7" i="2"/>
  <c r="B6" i="2"/>
  <c r="A6" i="2"/>
  <c r="B34" i="1"/>
  <c r="A34" i="1"/>
  <c r="B9" i="1"/>
  <c r="A9" i="1"/>
  <c r="B14" i="1"/>
  <c r="A14" i="1"/>
  <c r="B7" i="1"/>
  <c r="A7" i="1"/>
  <c r="B11" i="1"/>
  <c r="A11" i="1"/>
  <c r="B6" i="1"/>
  <c r="A6" i="1"/>
  <c r="B8" i="1"/>
  <c r="A8" i="1"/>
  <c r="B10" i="1"/>
  <c r="A10" i="1"/>
  <c r="B12" i="1"/>
  <c r="A12" i="1"/>
  <c r="B16" i="1"/>
  <c r="A16" i="1"/>
  <c r="B20" i="1"/>
  <c r="A20" i="1"/>
  <c r="B24" i="1"/>
  <c r="A24" i="1"/>
  <c r="B28" i="1"/>
  <c r="A28" i="1"/>
  <c r="B32" i="1"/>
  <c r="A32" i="1"/>
  <c r="B36" i="1"/>
  <c r="A36" i="1"/>
  <c r="B35" i="1"/>
  <c r="A35" i="1"/>
  <c r="B18" i="1"/>
  <c r="A18" i="1"/>
  <c r="B22" i="1"/>
  <c r="A22" i="1"/>
  <c r="B26" i="1"/>
  <c r="A26" i="1"/>
  <c r="B30" i="1"/>
  <c r="A30" i="1"/>
  <c r="B13" i="1"/>
  <c r="A13" i="1"/>
  <c r="B15" i="1"/>
  <c r="A15" i="1"/>
  <c r="B17" i="1"/>
  <c r="A17" i="1"/>
  <c r="B19" i="1"/>
  <c r="A19" i="1"/>
  <c r="B21" i="1"/>
  <c r="A21" i="1"/>
  <c r="B23" i="1"/>
  <c r="A23" i="1"/>
  <c r="B25" i="1"/>
  <c r="A25" i="1"/>
  <c r="B27" i="1"/>
  <c r="A27" i="1"/>
  <c r="B29" i="1"/>
  <c r="A29" i="1"/>
  <c r="B31" i="1"/>
  <c r="A31" i="1"/>
  <c r="B33" i="1"/>
  <c r="A33" i="1"/>
  <c r="C8" i="16"/>
  <c r="C9" i="16"/>
  <c r="C10" i="16"/>
  <c r="C11" i="16"/>
  <c r="C12" i="16"/>
  <c r="C13" i="16"/>
  <c r="C14" i="16"/>
  <c r="C15" i="16"/>
  <c r="C16" i="16"/>
  <c r="C17" i="16"/>
  <c r="C18" i="16"/>
  <c r="C19" i="16"/>
  <c r="C20" i="16"/>
  <c r="C8" i="14"/>
  <c r="C9" i="14"/>
  <c r="C10" i="14"/>
  <c r="C11" i="14"/>
  <c r="C12" i="14"/>
  <c r="C13" i="14"/>
  <c r="C14" i="14"/>
  <c r="C15" i="14"/>
  <c r="C16" i="14"/>
  <c r="C17" i="14"/>
  <c r="C18" i="14"/>
  <c r="C19" i="14"/>
  <c r="C20" i="14"/>
  <c r="C8" i="15"/>
  <c r="C9" i="15"/>
  <c r="C10" i="15"/>
  <c r="C11" i="15"/>
  <c r="C12" i="15"/>
  <c r="C13" i="15"/>
  <c r="C14" i="15"/>
  <c r="C15" i="15"/>
  <c r="C16" i="15"/>
  <c r="C17" i="15"/>
  <c r="C18" i="15"/>
  <c r="C19" i="15"/>
  <c r="C20" i="15"/>
  <c r="H6" i="4"/>
  <c r="H8" i="4"/>
  <c r="H9" i="4"/>
  <c r="H12" i="4"/>
  <c r="H13" i="4"/>
  <c r="H14" i="4"/>
  <c r="H15" i="4"/>
  <c r="H16" i="4"/>
  <c r="H17" i="4"/>
  <c r="H18" i="4"/>
  <c r="H19" i="4"/>
  <c r="H20" i="4"/>
  <c r="H21" i="4"/>
  <c r="H22" i="4"/>
  <c r="H23" i="4"/>
  <c r="H24" i="4"/>
  <c r="H25" i="4"/>
  <c r="H26" i="4"/>
  <c r="H27" i="4"/>
  <c r="H28" i="4"/>
  <c r="H29" i="4"/>
  <c r="H30" i="4"/>
  <c r="H31" i="4"/>
  <c r="H32" i="4"/>
  <c r="H33" i="4"/>
  <c r="H34" i="4"/>
  <c r="H35" i="4"/>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6" i="6"/>
  <c r="H7" i="6"/>
  <c r="H8" i="6"/>
  <c r="H9" i="6"/>
  <c r="H10" i="6"/>
  <c r="H11" i="6"/>
  <c r="H12" i="6"/>
  <c r="H13" i="6"/>
  <c r="H14" i="6"/>
  <c r="H27" i="6"/>
  <c r="H28" i="6"/>
  <c r="H29" i="6"/>
  <c r="H30" i="6"/>
  <c r="H31" i="6"/>
  <c r="H32" i="6"/>
  <c r="H33" i="6"/>
  <c r="H34" i="6"/>
  <c r="H35" i="6"/>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6" i="3"/>
  <c r="H7" i="3"/>
  <c r="H8" i="3"/>
  <c r="H9" i="3"/>
  <c r="H10" i="3"/>
  <c r="H11" i="3"/>
  <c r="H12" i="3"/>
  <c r="H13" i="3"/>
  <c r="H14" i="3"/>
  <c r="H15" i="3"/>
  <c r="H16" i="3"/>
  <c r="H17" i="3"/>
  <c r="H18" i="3"/>
  <c r="H19" i="3"/>
  <c r="H20" i="3"/>
  <c r="H21" i="3"/>
  <c r="H22" i="3"/>
  <c r="H23" i="3"/>
  <c r="H24" i="3"/>
  <c r="H25" i="3"/>
  <c r="H31" i="3"/>
  <c r="H32" i="3"/>
  <c r="H33" i="3"/>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I5" i="13"/>
  <c r="J5" i="13"/>
  <c r="F8" i="13"/>
  <c r="H8" i="13"/>
  <c r="G8" i="13"/>
  <c r="I8" i="13"/>
  <c r="J8" i="13"/>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8" i="4"/>
  <c r="D12" i="13"/>
  <c r="E12" i="13"/>
  <c r="H38" i="10"/>
  <c r="D18" i="13"/>
  <c r="F18" i="13"/>
  <c r="H38" i="7"/>
  <c r="D15" i="13"/>
  <c r="E15" i="13"/>
  <c r="H38" i="12"/>
  <c r="H40" i="12"/>
  <c r="H38" i="11"/>
  <c r="D19" i="13"/>
  <c r="F19" i="13"/>
  <c r="H38" i="9"/>
  <c r="I40" i="9"/>
  <c r="H38" i="8"/>
  <c r="D16" i="13"/>
  <c r="F16" i="13"/>
  <c r="H38" i="6"/>
  <c r="D14" i="13"/>
  <c r="F14" i="13"/>
  <c r="H38" i="5"/>
  <c r="D13" i="13"/>
  <c r="E13" i="13"/>
  <c r="H38" i="3"/>
  <c r="D11" i="13"/>
  <c r="F11" i="13"/>
  <c r="H38" i="2"/>
  <c r="H40" i="2"/>
  <c r="I9" i="13"/>
  <c r="I10" i="13"/>
  <c r="I11" i="13"/>
  <c r="I12" i="13"/>
  <c r="I13" i="13"/>
  <c r="I14" i="13"/>
  <c r="I15" i="13"/>
  <c r="I16" i="13"/>
  <c r="I17" i="13"/>
  <c r="I18" i="13"/>
  <c r="I19" i="13"/>
  <c r="I20" i="13"/>
  <c r="H38" i="1"/>
  <c r="D20" i="13"/>
  <c r="F20" i="13"/>
  <c r="I40" i="10"/>
  <c r="E18" i="13"/>
  <c r="H40" i="10"/>
  <c r="I40" i="8"/>
  <c r="E16" i="13"/>
  <c r="F15" i="13"/>
  <c r="H40" i="7"/>
  <c r="I40" i="4"/>
  <c r="F12" i="13"/>
  <c r="H40" i="4"/>
  <c r="D10" i="13"/>
  <c r="E10" i="13"/>
  <c r="H40" i="8"/>
  <c r="I40" i="7"/>
  <c r="I40" i="12"/>
  <c r="H40" i="11"/>
  <c r="I40" i="11"/>
  <c r="E19" i="13"/>
  <c r="H40" i="9"/>
  <c r="D17" i="13"/>
  <c r="I40" i="6"/>
  <c r="E14" i="13"/>
  <c r="H40" i="6"/>
  <c r="H40" i="5"/>
  <c r="F13" i="13"/>
  <c r="I40" i="5"/>
  <c r="E11" i="13"/>
  <c r="H40" i="3"/>
  <c r="I40" i="3"/>
  <c r="I40" i="2"/>
  <c r="D9" i="13"/>
  <c r="E9" i="13"/>
  <c r="H40" i="1"/>
  <c r="E20" i="13"/>
  <c r="I40" i="1"/>
  <c r="F10" i="13"/>
  <c r="F9" i="13"/>
  <c r="E17" i="13"/>
  <c r="F17" i="13"/>
  <c r="J9" i="13"/>
  <c r="G9" i="13"/>
  <c r="J10" i="13"/>
  <c r="J11" i="13"/>
  <c r="J12" i="13"/>
  <c r="H9" i="13"/>
  <c r="H10" i="13"/>
  <c r="H11" i="13"/>
  <c r="G11" i="13"/>
  <c r="G10" i="13"/>
  <c r="H12" i="13"/>
  <c r="G12" i="13"/>
  <c r="J13" i="13"/>
  <c r="J14" i="13"/>
  <c r="H13" i="13"/>
  <c r="G13" i="13"/>
  <c r="H14" i="13"/>
  <c r="G14" i="13"/>
  <c r="J15" i="13"/>
  <c r="J16" i="13"/>
  <c r="G15" i="13"/>
  <c r="H15" i="13"/>
  <c r="J17" i="13"/>
  <c r="G16" i="13"/>
  <c r="H16" i="13"/>
  <c r="J18" i="13"/>
  <c r="H17" i="13"/>
  <c r="G17" i="13"/>
  <c r="J19" i="13"/>
  <c r="G18" i="13"/>
  <c r="H18" i="13"/>
  <c r="J20" i="13"/>
  <c r="G19" i="13"/>
  <c r="H19" i="13"/>
  <c r="H20" i="13"/>
  <c r="G20" i="13"/>
</calcChain>
</file>

<file path=xl/comments1.xml><?xml version="1.0" encoding="utf-8"?>
<comments xmlns="http://schemas.openxmlformats.org/spreadsheetml/2006/main">
  <authors>
    <author>Gassler Iris</author>
    <author>cg</author>
  </authors>
  <commentList>
    <comment ref="A2" authorId="0" shapeId="0">
      <text>
        <r>
          <rPr>
            <b/>
            <sz val="9"/>
            <color indexed="81"/>
            <rFont val="Segoe UI"/>
            <family val="2"/>
          </rPr>
          <t>Bitte tragen Sie in diesen Feld den Namen und Vornamen ein. Diese Daten werden auf die Monatsblätter übertragen</t>
        </r>
      </text>
    </comment>
    <comment ref="C8" authorId="1" shapeId="0">
      <text>
        <r>
          <rPr>
            <sz val="8"/>
            <color indexed="81"/>
            <rFont val="Tahoma"/>
            <family val="2"/>
          </rPr>
          <t xml:space="preserve">negativ Saldo aus Vorjahr
hh:mm (wichtig </t>
        </r>
        <r>
          <rPr>
            <b/>
            <sz val="8"/>
            <color indexed="81"/>
            <rFont val="Tahoma"/>
            <family val="2"/>
          </rPr>
          <t>Doppelpunkt eingeben</t>
        </r>
        <r>
          <rPr>
            <sz val="8"/>
            <color indexed="81"/>
            <rFont val="Tahoma"/>
            <family val="2"/>
          </rPr>
          <t>)</t>
        </r>
      </text>
    </comment>
    <comment ref="D8" authorId="1" shapeId="0">
      <text>
        <r>
          <rPr>
            <sz val="8"/>
            <color indexed="81"/>
            <rFont val="Tahoma"/>
            <family val="2"/>
          </rPr>
          <t>positiv Saldo aus Vorjahr</t>
        </r>
        <r>
          <rPr>
            <sz val="8"/>
            <color indexed="81"/>
            <rFont val="Tahoma"/>
            <family val="2"/>
          </rPr>
          <t xml:space="preserve">
hh:mm (wichtig </t>
        </r>
        <r>
          <rPr>
            <b/>
            <sz val="8"/>
            <color indexed="81"/>
            <rFont val="Tahoma"/>
            <family val="2"/>
          </rPr>
          <t>Doppelpunkt eingeben</t>
        </r>
        <r>
          <rPr>
            <sz val="8"/>
            <color indexed="81"/>
            <rFont val="Tahoma"/>
            <family val="2"/>
          </rPr>
          <t>)</t>
        </r>
      </text>
    </comment>
    <comment ref="O8" authorId="1" shapeId="0">
      <text>
        <r>
          <rPr>
            <sz val="8"/>
            <color indexed="81"/>
            <rFont val="Tahoma"/>
            <family val="2"/>
          </rPr>
          <t xml:space="preserve">negativ Saldo aus Vorjahr
hh:mm (wichtig </t>
        </r>
        <r>
          <rPr>
            <b/>
            <sz val="8"/>
            <color indexed="81"/>
            <rFont val="Tahoma"/>
            <family val="2"/>
          </rPr>
          <t>Doppelpunkt eingeben</t>
        </r>
        <r>
          <rPr>
            <sz val="8"/>
            <color indexed="81"/>
            <rFont val="Tahoma"/>
            <family val="2"/>
          </rPr>
          <t>)</t>
        </r>
      </text>
    </comment>
    <comment ref="K15" authorId="0" shapeId="0">
      <text>
        <r>
          <rPr>
            <b/>
            <sz val="9"/>
            <color indexed="81"/>
            <rFont val="Segoe UI"/>
            <family val="2"/>
          </rPr>
          <t xml:space="preserve">Diese Daten werden aus den Monatsblättern errechnet. Bitte nicht manuell überschreiben.
</t>
        </r>
      </text>
    </comment>
    <comment ref="C22" authorId="1" shapeId="0">
      <text>
        <r>
          <rPr>
            <b/>
            <sz val="8"/>
            <color indexed="81"/>
            <rFont val="Tahoma"/>
            <family val="2"/>
          </rPr>
          <t>Bitte Stellenprozent oder Beschäftigungsgrad eingeben</t>
        </r>
        <r>
          <rPr>
            <sz val="8"/>
            <color indexed="81"/>
            <rFont val="Tahoma"/>
            <family val="2"/>
          </rPr>
          <t xml:space="preserve">
</t>
        </r>
      </text>
    </comment>
  </commentList>
</comments>
</file>

<file path=xl/sharedStrings.xml><?xml version="1.0" encoding="utf-8"?>
<sst xmlns="http://schemas.openxmlformats.org/spreadsheetml/2006/main" count="339" uniqueCount="91">
  <si>
    <t>Tag</t>
  </si>
  <si>
    <t>Vo ein</t>
  </si>
  <si>
    <t>Vo aus</t>
  </si>
  <si>
    <t>Na ein</t>
  </si>
  <si>
    <t>Na aus</t>
  </si>
  <si>
    <t>zusätzlich</t>
  </si>
  <si>
    <t>TOTAL</t>
  </si>
  <si>
    <t>Bemerkung</t>
  </si>
  <si>
    <t>Neujahr</t>
  </si>
  <si>
    <t>Berchtoldstag</t>
  </si>
  <si>
    <t>Total</t>
  </si>
  <si>
    <t>IST</t>
  </si>
  <si>
    <t>SOLL</t>
  </si>
  <si>
    <t>Negativ-Saldo</t>
  </si>
  <si>
    <t>Visum:</t>
  </si>
  <si>
    <t>Weihnachten</t>
  </si>
  <si>
    <t>Monat</t>
  </si>
  <si>
    <t xml:space="preserve">Ist </t>
  </si>
  <si>
    <t>Differenz</t>
  </si>
  <si>
    <t>Saldo</t>
  </si>
  <si>
    <t>positiv</t>
  </si>
  <si>
    <t>negativ</t>
  </si>
  <si>
    <t>kumuliert</t>
  </si>
  <si>
    <t>Januar</t>
  </si>
  <si>
    <t>Februar</t>
  </si>
  <si>
    <t>März</t>
  </si>
  <si>
    <t>April</t>
  </si>
  <si>
    <t>Mai</t>
  </si>
  <si>
    <t>Juni</t>
  </si>
  <si>
    <t>Juli</t>
  </si>
  <si>
    <t>August</t>
  </si>
  <si>
    <t>September</t>
  </si>
  <si>
    <t>Oktober</t>
  </si>
  <si>
    <t>November</t>
  </si>
  <si>
    <t>Dezember</t>
  </si>
  <si>
    <t>Übertrag aus Vorjahr</t>
  </si>
  <si>
    <t>Bezug</t>
  </si>
  <si>
    <t>Restsaldo</t>
  </si>
  <si>
    <t>Übertrag auf das nächste Jahr</t>
  </si>
  <si>
    <t>Ostermontag</t>
  </si>
  <si>
    <t>Positiv-Saldo</t>
  </si>
  <si>
    <t>Tage</t>
  </si>
  <si>
    <t>Karfreitag</t>
  </si>
  <si>
    <t>ab 50. Altersjahr</t>
  </si>
  <si>
    <t>Lernende</t>
  </si>
  <si>
    <t>ab 60. Altersjahr</t>
  </si>
  <si>
    <t>Kompatibilitätsbericht für Muster Zeit 2011 100%.xls</t>
  </si>
  <si>
    <t>Ausführen auf 17.08.2010 14:19</t>
  </si>
  <si>
    <t>Die folgenden Features in dieser Arbeitsmappe werden von früheren Excel-Versionen nicht unterstützt. Diese Features gehen beim Speichern dieser Arbeitsmappe in einem früheren Dateiformat möglicherweise verloren oder werden beschädigt.</t>
  </si>
  <si>
    <t>Geringer Genauigkeitsverlust</t>
  </si>
  <si>
    <t>Anzahl</t>
  </si>
  <si>
    <t>Einige Zellen oder Formatvorlagen in dieser Arbeitsmappe enthalten eine Formatierung, die vom ausgewählten Dateiformat nicht unterstützt wird. Diese Formate werden in das ähnlichste verfügbare Format konvertiert.</t>
  </si>
  <si>
    <t>Heiligabend</t>
  </si>
  <si>
    <t xml:space="preserve"> </t>
  </si>
  <si>
    <t>Zeiterfassung</t>
  </si>
  <si>
    <t>Auffahrt</t>
  </si>
  <si>
    <t>Anstellung</t>
  </si>
  <si>
    <t>Silvester</t>
  </si>
  <si>
    <t>Tag der Arbeit</t>
  </si>
  <si>
    <t>Knabensch. 1/2 Tag</t>
  </si>
  <si>
    <r>
      <rPr>
        <b/>
        <sz val="10"/>
        <color rgb="FFFF0000"/>
        <rFont val="Verdana"/>
        <family val="2"/>
        <scheme val="minor"/>
      </rPr>
      <t>Zeiterfassung:</t>
    </r>
    <r>
      <rPr>
        <sz val="10"/>
        <color rgb="FFFF0000"/>
        <rFont val="Verdana"/>
        <family val="2"/>
        <scheme val="minor"/>
      </rPr>
      <t xml:space="preserve">
Bitte erfassen Sie die Zeit in den Monatsrapporten mit einem Doppelpunkt (in Stunden und Minuten) und nicht mit einem Komma.</t>
    </r>
  </si>
  <si>
    <t>Ferienanspruch pro Kalenderjahr</t>
  </si>
  <si>
    <t>Erklärungen</t>
  </si>
  <si>
    <t>Arbeitsblatt &lt;Saldo&gt;</t>
  </si>
  <si>
    <t>Es kann die Situation eintreten, dass zwei Arbeitsblöcke nicht ausreichen. Um das vorhergehende Beispiel zu erweitern könnte dies bedeuten, dass z.B. noch ein Einsatz von 20:00 Uhr bis 23:30 Uhr stattgefunden hat. Leider hat man keinen dritten Block zur Erfassung zur Verfügung. In diesem Fall erfasst man die gearbeiteten Stunden und Minuten in Summe in der Spalte &lt;zusätzlich&gt;.</t>
  </si>
  <si>
    <t>Zeiterfassung in den Monatsblättern</t>
  </si>
  <si>
    <t>Es können auch Situationen eintreten, bei denen die Arbeitszeit über Mitternacht in den neuen Tag dauern. In dieser Situation wird der erste Block bis Mitternacht (24:00 Uhr) und der zweite Block im neuen Tag (ab 00:00 Uhr) erfasst.
Achtung: Wenn man 24:00 Uhr erfasst, wird dies als 00:00 angezeigt. Es rechnet korrekt und ist folgedessen richtig.
Das nachfolgende Bild illustriert einen solchen Fall.</t>
  </si>
  <si>
    <t>Alle Zeitangaben müssen mit einem Doppelpunkt, in Stunden und Minuten erfasst werden.</t>
  </si>
  <si>
    <t>Bitte beschreiben Sie in den monatlichen Zeiterfassungs-Arbeitsmappen nur folgende Spalten:
- Vo ein
- Vo aus
- Na ein
- Na aus
- zusätzlich
Alle Felder, welche Formeln beinhalten dürfen nicht beschrieben werden.</t>
  </si>
  <si>
    <t>Ergänzende Erklärungen zur Zeiterfassung finden Sie in der Arbeitsblatt &lt;Erklärungen&gt;.</t>
  </si>
  <si>
    <t>Anstellungsprozente</t>
  </si>
  <si>
    <t>Bitte hier die Anstellungsprozente eingeben! Alle Sollstunden und Ferientage werden entsprechend angepasst.</t>
  </si>
  <si>
    <t>Eintrittsdatum</t>
  </si>
  <si>
    <t>Austrittsdatum</t>
  </si>
  <si>
    <t>Bitte den Namen und Vornamen, Anstellungsprozente sowie die Ein- und Austrittsdaten erfassen!</t>
  </si>
  <si>
    <t>Zeiterfassung von Krankheitstagen</t>
  </si>
  <si>
    <t>Zeiterfassung von Ferientagen</t>
  </si>
  <si>
    <t>Mi. vor Auff. reduziert</t>
  </si>
  <si>
    <t>Pfingstmontag</t>
  </si>
  <si>
    <t>Soll 100 %</t>
  </si>
  <si>
    <t>Da die Spalte mit den Bemerkungen für Bemerkungen gesperrt ist, musste eine andere Möglichkeit der Verifizierung gesucht werden.
Bitte erfassen Sie einen Tag, an welchem Sie krank waren am Vormittag mit der Start-Zeit 08:00 Uhr und der
Endzeit 16:24 Uhr.</t>
  </si>
  <si>
    <t>In den einzelnen Arbeitsmappen sind pro Monat die Arbeitszeiten zu erfassen. Die Erfassung gestaltet sich in zwei Zeitblöcke nämlich Vormittag und Nachmittag. Pro Block wird die Start und die Endzeit erfasst. Zwei Blöcke werden durch eine Pause getrennt. Folgedessen muss die Pause nicht separat erfasst werden.
Im nachfolgenden Beispiel findet eine Pause zwischen den beiden Blöcken am Vormittag und Nachmittag statt (12.00 Uhr - 13:00 Uhr).</t>
  </si>
  <si>
    <t>Grundsätzlich werden Ferien in der dafür vorgesehenen Arbeitsmappe &lt;Fereintabelle 20 Tage&gt; erfasst. Damit der  Mitarbeiter im Falle eines Ferienbezuges bei der Zeiterfassung nicht ins Minus gelangt, muss dies auch im jeweiligen Monatsrapport erfasst werden. Damit sich der Eintrag von den anderen Einträgen abhebt, wird ein Ferientag im zweiten Block (Nachmittag) beginnend mit 12:00 Uhr bis 20:24 Uhr erfasst.</t>
  </si>
  <si>
    <t>Bitte erfassen Sie den Namen sowie den Vornamen</t>
  </si>
  <si>
    <t>In diesem Arbeitsblatt bitte bis auf den Namen und Vornamen nichts überschreiben bzw. ausfüllen.</t>
  </si>
  <si>
    <t>Gründonnerstag</t>
  </si>
  <si>
    <t>Sollzeiten pro Monat</t>
  </si>
  <si>
    <t>Stunden</t>
  </si>
  <si>
    <t>Sechseläuten 1/2 Tag</t>
  </si>
  <si>
    <t>$</t>
  </si>
  <si>
    <t>ää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</si>
</sst>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 #,##0.00_ ;_ * \-#,##0.00_ ;_ * &quot;-&quot;??_ ;_ @_ "/>
    <numFmt numFmtId="164" formatCode="_ &quot;Fr.&quot;\ * #,##0.00_ ;_ &quot;Fr.&quot;\ * \-#,##0.00_ ;_ &quot;Fr.&quot;\ * &quot;-&quot;??_ ;_ @_ "/>
    <numFmt numFmtId="165" formatCode="_ * #,##0.0_ ;_ * \-#,##0.0_ ;_ * &quot;-&quot;??_ ;_ @_ "/>
    <numFmt numFmtId="166" formatCode="[hh]:mm"/>
    <numFmt numFmtId="167" formatCode="\-[hh]:mm"/>
    <numFmt numFmtId="168" formatCode="h:mm"/>
    <numFmt numFmtId="169" formatCode="[hh]:mm;;;"/>
    <numFmt numFmtId="170" formatCode="mmmm"/>
    <numFmt numFmtId="171" formatCode="dd"/>
    <numFmt numFmtId="172" formatCode="dd/mm/yyyy;@"/>
  </numFmts>
  <fonts count="30" x14ac:knownFonts="1">
    <font>
      <sz val="10"/>
      <name val="Times New Roman"/>
    </font>
    <font>
      <sz val="10"/>
      <name val="Times New Roman"/>
      <family val="1"/>
    </font>
    <font>
      <sz val="8"/>
      <color indexed="81"/>
      <name val="Tahoma"/>
      <family val="2"/>
    </font>
    <font>
      <b/>
      <sz val="8"/>
      <color indexed="81"/>
      <name val="Tahoma"/>
      <family val="2"/>
    </font>
    <font>
      <sz val="10"/>
      <name val="Verdana"/>
      <family val="2"/>
      <scheme val="minor"/>
    </font>
    <font>
      <sz val="9"/>
      <name val="Verdana"/>
      <family val="2"/>
      <scheme val="minor"/>
    </font>
    <font>
      <b/>
      <sz val="10"/>
      <name val="Verdana"/>
      <family val="2"/>
      <scheme val="minor"/>
    </font>
    <font>
      <b/>
      <sz val="16"/>
      <name val="Verdana"/>
      <family val="2"/>
      <scheme val="minor"/>
    </font>
    <font>
      <b/>
      <sz val="20"/>
      <name val="Verdana"/>
      <family val="2"/>
      <scheme val="minor"/>
    </font>
    <font>
      <b/>
      <sz val="12"/>
      <name val="Verdana"/>
      <family val="2"/>
      <scheme val="minor"/>
    </font>
    <font>
      <i/>
      <sz val="9"/>
      <name val="Verdana"/>
      <family val="2"/>
      <scheme val="minor"/>
    </font>
    <font>
      <b/>
      <sz val="9"/>
      <name val="Verdana"/>
      <family val="2"/>
      <scheme val="minor"/>
    </font>
    <font>
      <b/>
      <sz val="10"/>
      <color indexed="8"/>
      <name val="Verdana"/>
      <family val="2"/>
      <scheme val="minor"/>
    </font>
    <font>
      <b/>
      <sz val="14"/>
      <name val="Verdana"/>
      <family val="2"/>
      <scheme val="minor"/>
    </font>
    <font>
      <sz val="14"/>
      <name val="Verdana"/>
      <family val="2"/>
      <scheme val="minor"/>
    </font>
    <font>
      <sz val="9"/>
      <color indexed="10"/>
      <name val="Verdana"/>
      <family val="2"/>
      <scheme val="minor"/>
    </font>
    <font>
      <sz val="10"/>
      <color indexed="10"/>
      <name val="Verdana"/>
      <family val="2"/>
      <scheme val="minor"/>
    </font>
    <font>
      <b/>
      <sz val="13"/>
      <name val="Verdana"/>
      <family val="2"/>
      <scheme val="minor"/>
    </font>
    <font>
      <sz val="12"/>
      <name val="Verdana"/>
      <family val="2"/>
      <scheme val="minor"/>
    </font>
    <font>
      <b/>
      <sz val="11"/>
      <name val="Verdana"/>
      <family val="2"/>
      <scheme val="minor"/>
    </font>
    <font>
      <sz val="8"/>
      <name val="Verdana"/>
      <family val="2"/>
      <scheme val="minor"/>
    </font>
    <font>
      <b/>
      <sz val="10"/>
      <color rgb="FFFF0000"/>
      <name val="Verdana"/>
      <family val="2"/>
      <scheme val="minor"/>
    </font>
    <font>
      <sz val="10"/>
      <color rgb="FFFF0000"/>
      <name val="Verdana"/>
      <family val="2"/>
      <scheme val="minor"/>
    </font>
    <font>
      <b/>
      <sz val="9"/>
      <color indexed="81"/>
      <name val="Segoe UI"/>
      <family val="2"/>
    </font>
    <font>
      <sz val="10"/>
      <name val="Arial"/>
      <family val="2"/>
    </font>
    <font>
      <b/>
      <sz val="12"/>
      <name val="Arial"/>
      <family val="2"/>
    </font>
    <font>
      <b/>
      <sz val="18"/>
      <name val="Arial"/>
      <family val="2"/>
    </font>
    <font>
      <b/>
      <sz val="14"/>
      <color rgb="FFFF0000"/>
      <name val="Verdana"/>
      <family val="2"/>
      <scheme val="minor"/>
    </font>
    <font>
      <b/>
      <sz val="10"/>
      <name val="Arial"/>
      <family val="2"/>
    </font>
    <font>
      <b/>
      <sz val="14"/>
      <name val="Arial"/>
      <family val="2"/>
    </font>
  </fonts>
  <fills count="4">
    <fill>
      <patternFill patternType="none"/>
    </fill>
    <fill>
      <patternFill patternType="gray125"/>
    </fill>
    <fill>
      <patternFill patternType="solid">
        <fgColor indexed="47"/>
        <bgColor indexed="64"/>
      </patternFill>
    </fill>
    <fill>
      <patternFill patternType="solid">
        <fgColor theme="6" tint="0.79998168889431442"/>
        <bgColor indexed="64"/>
      </patternFill>
    </fill>
  </fills>
  <borders count="56">
    <border>
      <left/>
      <right/>
      <top/>
      <bottom/>
      <diagonal/>
    </border>
    <border>
      <left/>
      <right style="thin">
        <color auto="1"/>
      </right>
      <top/>
      <bottom/>
      <diagonal/>
    </border>
    <border>
      <left style="thin">
        <color auto="1"/>
      </left>
      <right style="thin">
        <color auto="1"/>
      </right>
      <top/>
      <bottom/>
      <diagonal/>
    </border>
    <border>
      <left/>
      <right style="medium">
        <color auto="1"/>
      </right>
      <top/>
      <bottom/>
      <diagonal/>
    </border>
    <border>
      <left style="medium">
        <color auto="1"/>
      </left>
      <right style="medium">
        <color auto="1"/>
      </right>
      <top style="medium">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bottom/>
      <diagonal/>
    </border>
    <border>
      <left style="medium">
        <color auto="1"/>
      </left>
      <right/>
      <top style="medium">
        <color auto="1"/>
      </top>
      <bottom style="thin">
        <color auto="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style="medium">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s>
  <cellStyleXfs count="3">
    <xf numFmtId="0" fontId="0" fillId="0" borderId="0"/>
    <xf numFmtId="43" fontId="1" fillId="0" borderId="0" applyFont="0" applyFill="0" applyBorder="0" applyAlignment="0" applyProtection="0"/>
    <xf numFmtId="164" fontId="1" fillId="0" borderId="0" applyFont="0" applyFill="0" applyBorder="0" applyAlignment="0" applyProtection="0"/>
  </cellStyleXfs>
  <cellXfs count="268">
    <xf numFmtId="0" fontId="0" fillId="0" borderId="0" xfId="0"/>
    <xf numFmtId="0" fontId="4" fillId="0" borderId="0" xfId="0" applyFont="1"/>
    <xf numFmtId="0" fontId="5" fillId="0" borderId="0" xfId="0" applyFont="1"/>
    <xf numFmtId="0" fontId="4" fillId="0" borderId="1" xfId="0" applyFont="1" applyFill="1" applyBorder="1" applyAlignment="1">
      <alignment horizontal="center"/>
    </xf>
    <xf numFmtId="0" fontId="6" fillId="0" borderId="0" xfId="0" applyNumberFormat="1" applyFont="1" applyAlignment="1">
      <alignment vertical="top" wrapText="1"/>
    </xf>
    <xf numFmtId="0" fontId="6" fillId="0" borderId="0" xfId="0" applyFont="1" applyAlignment="1">
      <alignment vertical="top" wrapText="1"/>
    </xf>
    <xf numFmtId="0" fontId="6" fillId="0" borderId="0" xfId="0" applyFont="1" applyAlignment="1">
      <alignment horizontal="center" vertical="top" wrapText="1"/>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applyNumberFormat="1" applyFont="1" applyAlignment="1">
      <alignment vertical="top" wrapText="1"/>
    </xf>
    <xf numFmtId="0" fontId="6" fillId="0" borderId="0" xfId="0" applyNumberFormat="1" applyFont="1" applyAlignment="1">
      <alignment horizontal="center" vertical="top" wrapText="1"/>
    </xf>
    <xf numFmtId="0" fontId="4" fillId="0" borderId="31" xfId="0" applyNumberFormat="1" applyFont="1" applyBorder="1" applyAlignment="1">
      <alignment vertical="top" wrapText="1"/>
    </xf>
    <xf numFmtId="0" fontId="4" fillId="0" borderId="32" xfId="0" applyFont="1" applyBorder="1" applyAlignment="1">
      <alignment vertical="top" wrapText="1"/>
    </xf>
    <xf numFmtId="0" fontId="4" fillId="0" borderId="32" xfId="0" applyFont="1" applyBorder="1" applyAlignment="1">
      <alignment horizontal="center" vertical="top" wrapText="1"/>
    </xf>
    <xf numFmtId="0" fontId="4" fillId="0" borderId="33" xfId="0" applyFont="1" applyBorder="1" applyAlignment="1">
      <alignment horizontal="center" vertical="top" wrapText="1"/>
    </xf>
    <xf numFmtId="0" fontId="8" fillId="0" borderId="0" xfId="0" applyFont="1"/>
    <xf numFmtId="0" fontId="4" fillId="0" borderId="9" xfId="0" applyFont="1" applyBorder="1"/>
    <xf numFmtId="0" fontId="4" fillId="0" borderId="10" xfId="0" applyFont="1" applyBorder="1"/>
    <xf numFmtId="0" fontId="9" fillId="0" borderId="22" xfId="0" applyFont="1" applyBorder="1" applyAlignment="1"/>
    <xf numFmtId="0" fontId="9" fillId="0" borderId="23" xfId="0" applyFont="1" applyBorder="1" applyAlignment="1"/>
    <xf numFmtId="0" fontId="6" fillId="0" borderId="20" xfId="0" applyFont="1" applyBorder="1" applyAlignment="1">
      <alignment horizontal="right"/>
    </xf>
    <xf numFmtId="0" fontId="10" fillId="0" borderId="12" xfId="0" applyFont="1" applyBorder="1" applyAlignment="1">
      <alignment horizontal="right"/>
    </xf>
    <xf numFmtId="0" fontId="11" fillId="0" borderId="14" xfId="0" applyFont="1" applyBorder="1" applyAlignment="1">
      <alignment horizontal="center"/>
    </xf>
    <xf numFmtId="0" fontId="4" fillId="0" borderId="12" xfId="0" applyFont="1" applyBorder="1"/>
    <xf numFmtId="0" fontId="4" fillId="0" borderId="13" xfId="0" applyFont="1" applyBorder="1"/>
    <xf numFmtId="0" fontId="4" fillId="0" borderId="14" xfId="0" applyFont="1" applyBorder="1" applyAlignment="1">
      <alignment horizontal="center"/>
    </xf>
    <xf numFmtId="0" fontId="4" fillId="0" borderId="15" xfId="0" applyFont="1" applyBorder="1" applyAlignment="1">
      <alignment horizontal="center"/>
    </xf>
    <xf numFmtId="0" fontId="4" fillId="0" borderId="16" xfId="0" applyFont="1" applyBorder="1"/>
    <xf numFmtId="0" fontId="4" fillId="0" borderId="17" xfId="0" applyFont="1" applyBorder="1"/>
    <xf numFmtId="0" fontId="6" fillId="0" borderId="18" xfId="0" applyFont="1" applyBorder="1"/>
    <xf numFmtId="0" fontId="4" fillId="0" borderId="19" xfId="0" applyFont="1" applyBorder="1"/>
    <xf numFmtId="0" fontId="6" fillId="0" borderId="0" xfId="0" applyFont="1" applyFill="1" applyAlignment="1"/>
    <xf numFmtId="0" fontId="6" fillId="0" borderId="0" xfId="0" applyFont="1" applyAlignment="1"/>
    <xf numFmtId="0" fontId="4" fillId="0" borderId="0" xfId="0" applyFont="1" applyFill="1"/>
    <xf numFmtId="0" fontId="5" fillId="0" borderId="0" xfId="0" applyFont="1" applyFill="1"/>
    <xf numFmtId="0" fontId="4" fillId="0" borderId="2" xfId="0" applyFont="1" applyFill="1" applyBorder="1"/>
    <xf numFmtId="0" fontId="4" fillId="0" borderId="1" xfId="0" applyFont="1" applyFill="1" applyBorder="1"/>
    <xf numFmtId="0" fontId="4" fillId="0" borderId="2" xfId="0" applyFont="1" applyFill="1" applyBorder="1" applyAlignment="1">
      <alignment horizontal="center"/>
    </xf>
    <xf numFmtId="20" fontId="4" fillId="0" borderId="1" xfId="0" applyNumberFormat="1" applyFont="1" applyFill="1" applyBorder="1" applyAlignment="1">
      <alignment horizontal="center"/>
    </xf>
    <xf numFmtId="0" fontId="4" fillId="0" borderId="0" xfId="0" applyFont="1" applyFill="1" applyAlignment="1">
      <alignment horizontal="center"/>
    </xf>
    <xf numFmtId="165" fontId="4" fillId="0" borderId="0" xfId="0" applyNumberFormat="1" applyFont="1" applyFill="1" applyAlignment="1">
      <alignment horizontal="center"/>
    </xf>
    <xf numFmtId="165" fontId="4" fillId="0" borderId="0" xfId="0" applyNumberFormat="1" applyFont="1" applyAlignment="1">
      <alignment horizontal="center"/>
    </xf>
    <xf numFmtId="20" fontId="4" fillId="0" borderId="1" xfId="0" applyNumberFormat="1" applyFont="1" applyBorder="1"/>
    <xf numFmtId="20" fontId="4" fillId="0" borderId="2" xfId="0" applyNumberFormat="1" applyFont="1" applyBorder="1"/>
    <xf numFmtId="0" fontId="4" fillId="0" borderId="0" xfId="0" applyFont="1" applyAlignment="1">
      <alignment horizontal="center"/>
    </xf>
    <xf numFmtId="0" fontId="4" fillId="0" borderId="1" xfId="0" applyFont="1" applyBorder="1"/>
    <xf numFmtId="0" fontId="4" fillId="0" borderId="2" xfId="0" applyFont="1" applyBorder="1"/>
    <xf numFmtId="0" fontId="4" fillId="0" borderId="0" xfId="0" applyFont="1" applyAlignment="1">
      <alignment horizontal="left"/>
    </xf>
    <xf numFmtId="0" fontId="18" fillId="0" borderId="0" xfId="0" applyFont="1" applyAlignment="1">
      <alignment horizontal="center"/>
    </xf>
    <xf numFmtId="20" fontId="4" fillId="0" borderId="0" xfId="0" applyNumberFormat="1" applyFont="1" applyFill="1"/>
    <xf numFmtId="20" fontId="4" fillId="0" borderId="0" xfId="0" applyNumberFormat="1" applyFont="1"/>
    <xf numFmtId="0" fontId="6" fillId="0" borderId="1" xfId="0" applyFont="1" applyFill="1" applyBorder="1" applyAlignment="1">
      <alignment horizontal="center"/>
    </xf>
    <xf numFmtId="0" fontId="4" fillId="0" borderId="6" xfId="0" applyFont="1" applyFill="1" applyBorder="1" applyAlignment="1">
      <alignment horizontal="center"/>
    </xf>
    <xf numFmtId="0" fontId="4" fillId="0" borderId="5" xfId="0" applyFont="1" applyFill="1" applyBorder="1"/>
    <xf numFmtId="0" fontId="4" fillId="0" borderId="6" xfId="0" applyFont="1" applyFill="1" applyBorder="1"/>
    <xf numFmtId="0" fontId="4" fillId="0" borderId="0" xfId="0" applyFont="1" applyFill="1" applyAlignment="1">
      <alignment horizontal="left"/>
    </xf>
    <xf numFmtId="0" fontId="6" fillId="0" borderId="0" xfId="0" applyNumberFormat="1" applyFont="1" applyAlignment="1"/>
    <xf numFmtId="14" fontId="4" fillId="0" borderId="0" xfId="0" applyNumberFormat="1" applyFont="1"/>
    <xf numFmtId="166" fontId="4" fillId="0" borderId="0" xfId="0" applyNumberFormat="1" applyFont="1"/>
    <xf numFmtId="9" fontId="4" fillId="0" borderId="0" xfId="0" applyNumberFormat="1" applyFont="1"/>
    <xf numFmtId="20" fontId="4" fillId="0" borderId="2" xfId="0" applyNumberFormat="1" applyFont="1" applyFill="1" applyBorder="1" applyAlignment="1" applyProtection="1">
      <alignment horizontal="center"/>
      <protection locked="0"/>
    </xf>
    <xf numFmtId="20" fontId="4" fillId="0" borderId="1" xfId="0" applyNumberFormat="1" applyFont="1" applyFill="1" applyBorder="1" applyAlignment="1" applyProtection="1">
      <alignment horizontal="center"/>
      <protection locked="0"/>
    </xf>
    <xf numFmtId="20" fontId="4" fillId="0" borderId="2" xfId="1" applyNumberFormat="1" applyFont="1" applyFill="1" applyBorder="1" applyAlignment="1" applyProtection="1">
      <alignment horizontal="center"/>
      <protection locked="0"/>
    </xf>
    <xf numFmtId="20" fontId="4" fillId="0" borderId="2" xfId="0" applyNumberFormat="1" applyFont="1" applyBorder="1" applyAlignment="1" applyProtection="1">
      <alignment horizontal="center"/>
      <protection locked="0"/>
    </xf>
    <xf numFmtId="168" fontId="4" fillId="0" borderId="2" xfId="2" applyNumberFormat="1" applyFont="1" applyFill="1" applyBorder="1" applyAlignment="1" applyProtection="1">
      <alignment horizontal="center"/>
      <protection locked="0"/>
    </xf>
    <xf numFmtId="20" fontId="4" fillId="0" borderId="1" xfId="0" applyNumberFormat="1" applyFont="1" applyFill="1" applyBorder="1" applyAlignment="1" applyProtection="1">
      <protection locked="0"/>
    </xf>
    <xf numFmtId="0" fontId="4" fillId="0" borderId="1" xfId="0" applyFont="1" applyFill="1" applyBorder="1" applyAlignment="1" applyProtection="1">
      <alignment horizontal="center"/>
      <protection locked="0"/>
    </xf>
    <xf numFmtId="166" fontId="4" fillId="0" borderId="0" xfId="0" quotePrefix="1" applyNumberFormat="1" applyFont="1" applyFill="1"/>
    <xf numFmtId="20" fontId="4" fillId="0" borderId="1" xfId="0" applyNumberFormat="1" applyFont="1" applyFill="1" applyBorder="1" applyAlignment="1" applyProtection="1">
      <alignment horizontal="right"/>
      <protection locked="0"/>
    </xf>
    <xf numFmtId="20" fontId="4" fillId="0" borderId="2" xfId="0" applyNumberFormat="1" applyFont="1" applyBorder="1" applyAlignment="1" applyProtection="1">
      <alignment horizontal="right"/>
      <protection locked="0"/>
    </xf>
    <xf numFmtId="20" fontId="4" fillId="0" borderId="2" xfId="0" applyNumberFormat="1" applyFont="1" applyBorder="1" applyAlignment="1" applyProtection="1">
      <protection locked="0"/>
    </xf>
    <xf numFmtId="20" fontId="4" fillId="0" borderId="2" xfId="0" applyNumberFormat="1" applyFont="1" applyFill="1" applyBorder="1" applyAlignment="1" applyProtection="1">
      <protection locked="0"/>
    </xf>
    <xf numFmtId="0" fontId="4" fillId="0" borderId="3" xfId="0" applyFont="1" applyBorder="1"/>
    <xf numFmtId="0" fontId="10" fillId="0" borderId="14" xfId="0" applyFont="1" applyBorder="1" applyAlignment="1">
      <alignment horizontal="center"/>
    </xf>
    <xf numFmtId="166" fontId="4" fillId="0" borderId="2" xfId="0" applyNumberFormat="1" applyFont="1" applyFill="1" applyBorder="1" applyProtection="1">
      <protection locked="0"/>
    </xf>
    <xf numFmtId="0" fontId="4" fillId="0" borderId="2" xfId="0" applyFont="1" applyFill="1" applyBorder="1" applyProtection="1">
      <protection locked="0"/>
    </xf>
    <xf numFmtId="20" fontId="4" fillId="0" borderId="2" xfId="0" applyNumberFormat="1" applyFont="1" applyFill="1" applyBorder="1" applyAlignment="1" applyProtection="1">
      <alignment horizontal="right"/>
      <protection locked="0"/>
    </xf>
    <xf numFmtId="0" fontId="4" fillId="0" borderId="2" xfId="0" applyFont="1" applyFill="1" applyBorder="1" applyAlignment="1" applyProtection="1">
      <alignment horizontal="right"/>
      <protection locked="0"/>
    </xf>
    <xf numFmtId="20" fontId="4" fillId="0" borderId="2" xfId="0" applyNumberFormat="1" applyFont="1" applyFill="1" applyBorder="1" applyProtection="1">
      <protection locked="0"/>
    </xf>
    <xf numFmtId="0" fontId="6" fillId="0" borderId="52" xfId="0" applyFont="1" applyBorder="1" applyAlignment="1">
      <alignment horizontal="left"/>
    </xf>
    <xf numFmtId="0" fontId="10" fillId="0" borderId="13" xfId="0" applyFont="1" applyBorder="1" applyAlignment="1">
      <alignment horizontal="right"/>
    </xf>
    <xf numFmtId="0" fontId="12" fillId="0" borderId="13" xfId="0" applyFont="1" applyBorder="1"/>
    <xf numFmtId="0" fontId="24" fillId="0" borderId="0" xfId="0" applyFont="1"/>
    <xf numFmtId="0" fontId="25" fillId="0" borderId="0" xfId="0" applyFont="1"/>
    <xf numFmtId="0" fontId="24" fillId="0" borderId="0" xfId="0" applyFont="1" applyAlignment="1">
      <alignment horizontal="left" vertical="top"/>
    </xf>
    <xf numFmtId="0" fontId="26" fillId="0" borderId="0" xfId="0" applyFont="1"/>
    <xf numFmtId="0" fontId="6" fillId="0" borderId="0" xfId="0" applyFont="1" applyProtection="1"/>
    <xf numFmtId="0" fontId="4" fillId="0" borderId="0" xfId="0" applyFont="1" applyProtection="1"/>
    <xf numFmtId="0" fontId="4" fillId="0" borderId="0" xfId="0" applyFont="1" applyAlignment="1" applyProtection="1">
      <alignment horizontal="left"/>
    </xf>
    <xf numFmtId="0" fontId="6" fillId="0" borderId="0" xfId="0" applyFont="1" applyAlignment="1" applyProtection="1"/>
    <xf numFmtId="0" fontId="4" fillId="0" borderId="0" xfId="0" applyFont="1" applyAlignment="1" applyProtection="1"/>
    <xf numFmtId="0" fontId="5" fillId="0" borderId="43" xfId="0" applyFont="1" applyFill="1" applyBorder="1" applyAlignment="1" applyProtection="1">
      <alignment horizontal="center"/>
    </xf>
    <xf numFmtId="0" fontId="5" fillId="0" borderId="28" xfId="0" applyFont="1" applyFill="1" applyBorder="1" applyAlignment="1" applyProtection="1">
      <alignment horizontal="center"/>
    </xf>
    <xf numFmtId="0" fontId="5" fillId="0" borderId="27" xfId="0" applyFont="1" applyFill="1" applyBorder="1" applyProtection="1"/>
    <xf numFmtId="0" fontId="5" fillId="0" borderId="28" xfId="0" applyFont="1" applyFill="1" applyBorder="1" applyProtection="1"/>
    <xf numFmtId="0" fontId="5" fillId="0" borderId="29" xfId="0" applyFont="1" applyFill="1" applyBorder="1" applyAlignment="1" applyProtection="1">
      <alignment horizontal="left"/>
    </xf>
    <xf numFmtId="0" fontId="4" fillId="0" borderId="41" xfId="0" applyFont="1" applyBorder="1" applyProtection="1"/>
    <xf numFmtId="0" fontId="4" fillId="0" borderId="1" xfId="0" applyFont="1" applyBorder="1" applyProtection="1"/>
    <xf numFmtId="171" fontId="4" fillId="0" borderId="41" xfId="0" applyNumberFormat="1" applyFont="1" applyFill="1" applyBorder="1" applyAlignment="1" applyProtection="1">
      <alignment horizontal="left"/>
    </xf>
    <xf numFmtId="171" fontId="4" fillId="0" borderId="1" xfId="0" applyNumberFormat="1" applyFont="1" applyFill="1" applyBorder="1" applyAlignment="1" applyProtection="1">
      <alignment horizontal="center"/>
    </xf>
    <xf numFmtId="0" fontId="4" fillId="0" borderId="41" xfId="0" applyFont="1" applyFill="1" applyBorder="1" applyProtection="1"/>
    <xf numFmtId="0" fontId="4" fillId="0" borderId="1" xfId="0" applyFont="1" applyFill="1" applyBorder="1" applyProtection="1"/>
    <xf numFmtId="0" fontId="4" fillId="0" borderId="41" xfId="0" applyFont="1" applyFill="1" applyBorder="1" applyAlignment="1" applyProtection="1">
      <alignment horizontal="center"/>
    </xf>
    <xf numFmtId="0" fontId="19" fillId="0" borderId="1" xfId="0" applyFont="1" applyFill="1" applyBorder="1" applyAlignment="1" applyProtection="1">
      <alignment horizontal="center"/>
    </xf>
    <xf numFmtId="0" fontId="4" fillId="0" borderId="9" xfId="0" applyFont="1" applyFill="1" applyBorder="1" applyProtection="1"/>
    <xf numFmtId="0" fontId="4" fillId="0" borderId="5" xfId="0" applyFont="1" applyFill="1" applyBorder="1" applyProtection="1"/>
    <xf numFmtId="0" fontId="4" fillId="0" borderId="2" xfId="0" applyFont="1" applyBorder="1" applyAlignment="1" applyProtection="1">
      <alignment horizontal="center"/>
    </xf>
    <xf numFmtId="20" fontId="4" fillId="0" borderId="2" xfId="0" applyNumberFormat="1" applyFont="1" applyFill="1" applyBorder="1" applyAlignment="1" applyProtection="1">
      <alignment horizontal="center"/>
    </xf>
    <xf numFmtId="2" fontId="4" fillId="0" borderId="2" xfId="0" applyNumberFormat="1" applyFont="1" applyFill="1" applyBorder="1" applyAlignment="1" applyProtection="1">
      <alignment horizontal="center"/>
    </xf>
    <xf numFmtId="166" fontId="6" fillId="0" borderId="2" xfId="0" applyNumberFormat="1" applyFont="1" applyBorder="1" applyAlignment="1" applyProtection="1">
      <alignment horizontal="center"/>
    </xf>
    <xf numFmtId="0" fontId="4" fillId="0" borderId="3" xfId="0" applyFont="1" applyBorder="1" applyAlignment="1" applyProtection="1">
      <alignment horizontal="left"/>
    </xf>
    <xf numFmtId="16" fontId="4" fillId="0" borderId="3" xfId="0" applyNumberFormat="1" applyFont="1" applyFill="1" applyBorder="1" applyAlignment="1" applyProtection="1">
      <alignment horizontal="left"/>
    </xf>
    <xf numFmtId="0" fontId="4" fillId="0" borderId="3" xfId="0" applyFont="1" applyFill="1" applyBorder="1" applyAlignment="1" applyProtection="1">
      <alignment horizontal="left"/>
    </xf>
    <xf numFmtId="20" fontId="4" fillId="0" borderId="3" xfId="0" applyNumberFormat="1" applyFont="1" applyFill="1" applyBorder="1" applyAlignment="1" applyProtection="1">
      <alignment horizontal="left"/>
    </xf>
    <xf numFmtId="166" fontId="4" fillId="0" borderId="2" xfId="0" applyNumberFormat="1" applyFont="1" applyBorder="1" applyAlignment="1" applyProtection="1">
      <alignment horizontal="center"/>
    </xf>
    <xf numFmtId="20" fontId="4" fillId="0" borderId="4" xfId="0" applyNumberFormat="1" applyFont="1" applyFill="1" applyBorder="1" applyAlignment="1" applyProtection="1">
      <alignment horizontal="center"/>
    </xf>
    <xf numFmtId="167" fontId="4" fillId="0" borderId="8" xfId="0" applyNumberFormat="1" applyFont="1" applyBorder="1" applyAlignment="1" applyProtection="1">
      <alignment horizontal="center"/>
    </xf>
    <xf numFmtId="166" fontId="4" fillId="0" borderId="7" xfId="0" applyNumberFormat="1" applyFont="1" applyBorder="1" applyAlignment="1" applyProtection="1">
      <alignment horizontal="center"/>
    </xf>
    <xf numFmtId="0" fontId="4" fillId="0" borderId="18" xfId="0" applyFont="1" applyFill="1" applyBorder="1" applyAlignment="1" applyProtection="1">
      <alignment horizontal="right"/>
    </xf>
    <xf numFmtId="0" fontId="4" fillId="0" borderId="18" xfId="0" applyFont="1" applyFill="1" applyBorder="1" applyAlignment="1" applyProtection="1">
      <alignment horizontal="left"/>
    </xf>
    <xf numFmtId="0" fontId="6" fillId="0" borderId="0" xfId="0" applyFont="1" applyFill="1" applyAlignment="1" applyProtection="1"/>
    <xf numFmtId="0" fontId="4" fillId="0" borderId="0" xfId="0" applyFont="1" applyFill="1" applyProtection="1"/>
    <xf numFmtId="0" fontId="5" fillId="0" borderId="26" xfId="0" applyFont="1" applyFill="1" applyBorder="1" applyAlignment="1" applyProtection="1">
      <alignment horizontal="center"/>
    </xf>
    <xf numFmtId="0" fontId="5" fillId="0" borderId="0" xfId="0" applyFont="1" applyFill="1" applyProtection="1"/>
    <xf numFmtId="0" fontId="5" fillId="0" borderId="0" xfId="0" applyFont="1" applyProtection="1"/>
    <xf numFmtId="0" fontId="4" fillId="0" borderId="24" xfId="0" applyFont="1" applyFill="1" applyBorder="1" applyProtection="1"/>
    <xf numFmtId="0" fontId="4" fillId="0" borderId="2" xfId="0" applyFont="1" applyFill="1" applyBorder="1" applyProtection="1"/>
    <xf numFmtId="0" fontId="4" fillId="0" borderId="2" xfId="0" applyFont="1" applyFill="1" applyBorder="1" applyAlignment="1" applyProtection="1">
      <alignment horizontal="center"/>
    </xf>
    <xf numFmtId="171" fontId="4" fillId="0" borderId="24" xfId="0" applyNumberFormat="1" applyFont="1" applyFill="1" applyBorder="1" applyAlignment="1" applyProtection="1">
      <alignment horizontal="center"/>
    </xf>
    <xf numFmtId="20" fontId="4" fillId="0" borderId="1" xfId="0" applyNumberFormat="1" applyFont="1" applyFill="1" applyBorder="1" applyAlignment="1" applyProtection="1">
      <alignment horizontal="center"/>
    </xf>
    <xf numFmtId="20" fontId="4" fillId="0" borderId="1" xfId="0" applyNumberFormat="1" applyFont="1" applyFill="1" applyBorder="1" applyAlignment="1" applyProtection="1">
      <alignment horizontal="right"/>
    </xf>
    <xf numFmtId="20" fontId="4" fillId="0" borderId="0" xfId="0" applyNumberFormat="1" applyFont="1" applyFill="1" applyProtection="1"/>
    <xf numFmtId="0" fontId="4" fillId="0" borderId="1" xfId="0" applyFont="1" applyFill="1" applyBorder="1" applyAlignment="1" applyProtection="1">
      <alignment horizontal="center"/>
    </xf>
    <xf numFmtId="0" fontId="6" fillId="0" borderId="3" xfId="0" applyFont="1" applyFill="1" applyBorder="1" applyAlignment="1" applyProtection="1">
      <alignment horizontal="left"/>
    </xf>
    <xf numFmtId="165" fontId="4" fillId="0" borderId="0" xfId="0" applyNumberFormat="1" applyFont="1" applyFill="1" applyAlignment="1" applyProtection="1">
      <alignment horizontal="center"/>
    </xf>
    <xf numFmtId="20" fontId="4" fillId="0" borderId="1" xfId="0" applyNumberFormat="1" applyFont="1" applyFill="1" applyBorder="1" applyProtection="1"/>
    <xf numFmtId="166" fontId="4" fillId="0" borderId="0" xfId="0" applyNumberFormat="1" applyFont="1" applyAlignment="1" applyProtection="1">
      <alignment horizontal="center"/>
    </xf>
    <xf numFmtId="0" fontId="13" fillId="0" borderId="24" xfId="0" applyFont="1" applyBorder="1" applyAlignment="1" applyProtection="1">
      <alignment horizontal="center"/>
    </xf>
    <xf numFmtId="20" fontId="4" fillId="0" borderId="2" xfId="0" applyNumberFormat="1" applyFont="1" applyBorder="1" applyAlignment="1" applyProtection="1">
      <alignment horizontal="center"/>
    </xf>
    <xf numFmtId="20" fontId="4" fillId="0" borderId="1" xfId="0" applyNumberFormat="1" applyFont="1" applyBorder="1" applyAlignment="1" applyProtection="1">
      <alignment horizontal="center"/>
    </xf>
    <xf numFmtId="20" fontId="6" fillId="0" borderId="1" xfId="0" applyNumberFormat="1" applyFont="1" applyBorder="1" applyAlignment="1" applyProtection="1">
      <alignment horizontal="center"/>
    </xf>
    <xf numFmtId="165" fontId="4" fillId="0" borderId="0" xfId="0" applyNumberFormat="1" applyFont="1" applyAlignment="1" applyProtection="1">
      <alignment horizontal="center"/>
    </xf>
    <xf numFmtId="0" fontId="4" fillId="0" borderId="0" xfId="0" applyFont="1" applyAlignment="1" applyProtection="1">
      <alignment horizontal="center"/>
    </xf>
    <xf numFmtId="0" fontId="4" fillId="0" borderId="24" xfId="0" applyFont="1" applyBorder="1" applyProtection="1"/>
    <xf numFmtId="0" fontId="4" fillId="0" borderId="2" xfId="0" applyFont="1" applyBorder="1" applyProtection="1"/>
    <xf numFmtId="0" fontId="4" fillId="0" borderId="1" xfId="0" applyFont="1" applyBorder="1" applyAlignment="1" applyProtection="1">
      <alignment horizontal="center"/>
    </xf>
    <xf numFmtId="0" fontId="4" fillId="0" borderId="4" xfId="0" applyFont="1" applyBorder="1" applyAlignment="1" applyProtection="1">
      <alignment horizontal="center"/>
    </xf>
    <xf numFmtId="0" fontId="4" fillId="0" borderId="25" xfId="0" applyFont="1" applyBorder="1" applyProtection="1"/>
    <xf numFmtId="0" fontId="4" fillId="0" borderId="6" xfId="0" applyFont="1" applyBorder="1" applyAlignment="1" applyProtection="1">
      <alignment horizontal="center"/>
    </xf>
    <xf numFmtId="0" fontId="4" fillId="0" borderId="5" xfId="0" applyFont="1" applyBorder="1" applyProtection="1"/>
    <xf numFmtId="0" fontId="4" fillId="0" borderId="6" xfId="0" applyFont="1" applyBorder="1" applyProtection="1"/>
    <xf numFmtId="0" fontId="18" fillId="0" borderId="0" xfId="0" applyFont="1" applyAlignment="1" applyProtection="1">
      <alignment horizontal="center"/>
    </xf>
    <xf numFmtId="49" fontId="6" fillId="0" borderId="0" xfId="0" applyNumberFormat="1" applyFont="1" applyAlignment="1" applyProtection="1"/>
    <xf numFmtId="166" fontId="4" fillId="0" borderId="0" xfId="0" applyNumberFormat="1" applyFont="1" applyFill="1" applyAlignment="1" applyProtection="1">
      <alignment horizontal="center"/>
    </xf>
    <xf numFmtId="0" fontId="4" fillId="0" borderId="24" xfId="0" applyFont="1" applyFill="1" applyBorder="1" applyAlignment="1" applyProtection="1">
      <alignment horizontal="center"/>
    </xf>
    <xf numFmtId="2" fontId="4" fillId="0" borderId="2" xfId="0" applyNumberFormat="1" applyFont="1" applyBorder="1" applyAlignment="1" applyProtection="1">
      <alignment horizontal="center"/>
    </xf>
    <xf numFmtId="0" fontId="6" fillId="0" borderId="1" xfId="0" applyFont="1" applyBorder="1" applyAlignment="1" applyProtection="1">
      <alignment horizontal="center"/>
    </xf>
    <xf numFmtId="0" fontId="20" fillId="0" borderId="3" xfId="0" applyFont="1" applyFill="1" applyBorder="1" applyAlignment="1" applyProtection="1">
      <alignment horizontal="left"/>
    </xf>
    <xf numFmtId="0" fontId="4" fillId="0" borderId="0" xfId="0" applyFont="1" applyFill="1" applyAlignment="1" applyProtection="1">
      <alignment horizontal="center"/>
    </xf>
    <xf numFmtId="16" fontId="20" fillId="0" borderId="3" xfId="0" applyNumberFormat="1" applyFont="1" applyFill="1" applyBorder="1" applyAlignment="1" applyProtection="1">
      <alignment horizontal="left"/>
    </xf>
    <xf numFmtId="0" fontId="13" fillId="0" borderId="24" xfId="0" applyFont="1" applyFill="1" applyBorder="1" applyAlignment="1" applyProtection="1">
      <alignment horizontal="center"/>
    </xf>
    <xf numFmtId="20" fontId="6" fillId="0" borderId="1" xfId="0" applyNumberFormat="1" applyFont="1" applyFill="1" applyBorder="1" applyAlignment="1" applyProtection="1">
      <alignment horizontal="center"/>
    </xf>
    <xf numFmtId="166" fontId="6" fillId="0" borderId="2" xfId="0" applyNumberFormat="1" applyFont="1" applyFill="1" applyBorder="1" applyAlignment="1" applyProtection="1">
      <alignment horizontal="center"/>
    </xf>
    <xf numFmtId="20" fontId="4" fillId="0" borderId="1" xfId="0" applyNumberFormat="1" applyFont="1" applyBorder="1" applyProtection="1"/>
    <xf numFmtId="0" fontId="4" fillId="0" borderId="0" xfId="0" applyFont="1" applyFill="1" applyAlignment="1" applyProtection="1"/>
    <xf numFmtId="166" fontId="4" fillId="0" borderId="0" xfId="0" applyNumberFormat="1" applyFont="1" applyFill="1" applyBorder="1" applyAlignment="1" applyProtection="1">
      <alignment horizontal="center"/>
    </xf>
    <xf numFmtId="20" fontId="4" fillId="0" borderId="0" xfId="0" applyNumberFormat="1" applyFont="1" applyProtection="1"/>
    <xf numFmtId="0" fontId="4" fillId="0" borderId="42" xfId="0" applyFont="1" applyBorder="1" applyAlignment="1" applyProtection="1">
      <alignment horizontal="left"/>
    </xf>
    <xf numFmtId="166" fontId="6" fillId="0" borderId="1" xfId="0" applyNumberFormat="1" applyFont="1" applyBorder="1" applyAlignment="1" applyProtection="1">
      <alignment horizontal="center"/>
    </xf>
    <xf numFmtId="166" fontId="4" fillId="0" borderId="1" xfId="0" applyNumberFormat="1" applyFont="1" applyBorder="1" applyAlignment="1" applyProtection="1">
      <alignment horizontal="center"/>
    </xf>
    <xf numFmtId="166" fontId="4" fillId="0" borderId="11" xfId="0" applyNumberFormat="1" applyFont="1" applyBorder="1" applyAlignment="1" applyProtection="1">
      <alignment horizontal="center"/>
    </xf>
    <xf numFmtId="0" fontId="13" fillId="0" borderId="0" xfId="0" applyFont="1" applyFill="1" applyAlignment="1" applyProtection="1"/>
    <xf numFmtId="0" fontId="4" fillId="0" borderId="12" xfId="0" applyFont="1" applyBorder="1" applyProtection="1">
      <protection locked="0"/>
    </xf>
    <xf numFmtId="0" fontId="4" fillId="0" borderId="16" xfId="0" applyFont="1" applyBorder="1" applyProtection="1">
      <protection locked="0"/>
    </xf>
    <xf numFmtId="172" fontId="6" fillId="3" borderId="0" xfId="0" applyNumberFormat="1" applyFont="1" applyFill="1" applyProtection="1">
      <protection locked="0"/>
    </xf>
    <xf numFmtId="0" fontId="13" fillId="0" borderId="0" xfId="0" applyFont="1" applyAlignment="1" applyProtection="1">
      <alignment horizontal="left"/>
    </xf>
    <xf numFmtId="0" fontId="5" fillId="0" borderId="0" xfId="0" applyFont="1" applyAlignment="1" applyProtection="1"/>
    <xf numFmtId="0" fontId="4" fillId="0" borderId="0" xfId="0" applyNumberFormat="1" applyFont="1" applyAlignment="1" applyProtection="1"/>
    <xf numFmtId="166" fontId="4" fillId="0" borderId="0" xfId="0" applyNumberFormat="1" applyFont="1" applyAlignment="1" applyProtection="1"/>
    <xf numFmtId="167" fontId="4" fillId="0" borderId="0" xfId="0" applyNumberFormat="1" applyFont="1" applyAlignment="1" applyProtection="1"/>
    <xf numFmtId="165" fontId="4" fillId="0" borderId="0" xfId="0" applyNumberFormat="1" applyFont="1" applyAlignment="1" applyProtection="1"/>
    <xf numFmtId="0" fontId="11" fillId="0" borderId="0" xfId="0" applyFont="1" applyBorder="1" applyAlignment="1" applyProtection="1"/>
    <xf numFmtId="0" fontId="11" fillId="0" borderId="0" xfId="0" applyNumberFormat="1" applyFont="1" applyBorder="1" applyAlignment="1" applyProtection="1">
      <alignment horizontal="right"/>
    </xf>
    <xf numFmtId="0" fontId="11" fillId="0" borderId="0" xfId="0" applyFont="1" applyBorder="1" applyAlignment="1" applyProtection="1">
      <alignment horizontal="right"/>
    </xf>
    <xf numFmtId="166" fontId="11" fillId="0" borderId="0" xfId="0" applyNumberFormat="1" applyFont="1" applyBorder="1" applyAlignment="1" applyProtection="1">
      <alignment horizontal="right"/>
    </xf>
    <xf numFmtId="167" fontId="11" fillId="0" borderId="0" xfId="0" applyNumberFormat="1" applyFont="1" applyBorder="1" applyAlignment="1" applyProtection="1">
      <alignment horizontal="right"/>
    </xf>
    <xf numFmtId="0" fontId="11" fillId="0" borderId="30" xfId="0" applyFont="1" applyBorder="1" applyAlignment="1" applyProtection="1"/>
    <xf numFmtId="0" fontId="11" fillId="0" borderId="30" xfId="0" applyNumberFormat="1" applyFont="1" applyBorder="1" applyAlignment="1" applyProtection="1">
      <alignment horizontal="right"/>
    </xf>
    <xf numFmtId="0" fontId="11" fillId="0" borderId="30" xfId="0" applyFont="1" applyBorder="1" applyAlignment="1" applyProtection="1">
      <alignment horizontal="right"/>
    </xf>
    <xf numFmtId="166" fontId="11" fillId="0" borderId="30" xfId="0" applyNumberFormat="1" applyFont="1" applyBorder="1" applyAlignment="1" applyProtection="1">
      <alignment horizontal="right"/>
    </xf>
    <xf numFmtId="167" fontId="11" fillId="0" borderId="30" xfId="0" applyNumberFormat="1" applyFont="1" applyBorder="1" applyAlignment="1" applyProtection="1">
      <alignment horizontal="right"/>
    </xf>
    <xf numFmtId="165" fontId="11" fillId="0" borderId="30" xfId="0" applyNumberFormat="1" applyFont="1" applyBorder="1" applyAlignment="1" applyProtection="1">
      <alignment horizontal="right"/>
    </xf>
    <xf numFmtId="20" fontId="5" fillId="0" borderId="0" xfId="0" applyNumberFormat="1" applyFont="1" applyAlignment="1" applyProtection="1"/>
    <xf numFmtId="166" fontId="5" fillId="0" borderId="0" xfId="0" applyNumberFormat="1" applyFont="1" applyAlignment="1" applyProtection="1"/>
    <xf numFmtId="167" fontId="5" fillId="0" borderId="0" xfId="0" applyNumberFormat="1" applyFont="1" applyAlignment="1" applyProtection="1"/>
    <xf numFmtId="165" fontId="5" fillId="0" borderId="0" xfId="0" applyNumberFormat="1" applyFont="1" applyAlignment="1" applyProtection="1"/>
    <xf numFmtId="0" fontId="5" fillId="2" borderId="0" xfId="0" applyFont="1" applyFill="1" applyAlignment="1" applyProtection="1"/>
    <xf numFmtId="166" fontId="15" fillId="2" borderId="0" xfId="0" applyNumberFormat="1" applyFont="1" applyFill="1" applyAlignment="1" applyProtection="1"/>
    <xf numFmtId="166" fontId="5" fillId="2" borderId="0" xfId="0" applyNumberFormat="1" applyFont="1" applyFill="1" applyAlignment="1" applyProtection="1"/>
    <xf numFmtId="168" fontId="5" fillId="0" borderId="0" xfId="0" applyNumberFormat="1" applyFont="1" applyAlignment="1" applyProtection="1"/>
    <xf numFmtId="169" fontId="16" fillId="0" borderId="0" xfId="0" applyNumberFormat="1" applyFont="1" applyAlignment="1" applyProtection="1"/>
    <xf numFmtId="169" fontId="5" fillId="0" borderId="0" xfId="0" applyNumberFormat="1" applyFont="1" applyAlignment="1" applyProtection="1"/>
    <xf numFmtId="169" fontId="15" fillId="0" borderId="0" xfId="0" applyNumberFormat="1" applyFont="1" applyAlignment="1" applyProtection="1"/>
    <xf numFmtId="166" fontId="5" fillId="0" borderId="0" xfId="0" applyNumberFormat="1" applyFont="1" applyBorder="1" applyAlignment="1" applyProtection="1"/>
    <xf numFmtId="166" fontId="5" fillId="0" borderId="0" xfId="0" applyNumberFormat="1" applyFont="1" applyBorder="1" applyAlignment="1" applyProtection="1">
      <alignment horizontal="right"/>
    </xf>
    <xf numFmtId="166" fontId="4" fillId="0" borderId="0" xfId="0" applyNumberFormat="1" applyFont="1" applyFill="1" applyAlignment="1" applyProtection="1">
      <alignment horizontal="right"/>
    </xf>
    <xf numFmtId="166" fontId="5" fillId="0" borderId="0" xfId="0" applyNumberFormat="1" applyFont="1" applyProtection="1"/>
    <xf numFmtId="166" fontId="4" fillId="0" borderId="0" xfId="0" applyNumberFormat="1" applyFont="1" applyBorder="1" applyProtection="1"/>
    <xf numFmtId="0" fontId="11" fillId="0" borderId="0" xfId="0" applyFont="1" applyAlignment="1" applyProtection="1"/>
    <xf numFmtId="0" fontId="22" fillId="0" borderId="0" xfId="0" applyFont="1" applyProtection="1"/>
    <xf numFmtId="0" fontId="27" fillId="0" borderId="0" xfId="0" applyFont="1" applyProtection="1"/>
    <xf numFmtId="0" fontId="6" fillId="3" borderId="0" xfId="0" applyFont="1" applyFill="1" applyProtection="1">
      <protection locked="0"/>
    </xf>
    <xf numFmtId="0" fontId="13" fillId="0" borderId="0" xfId="0" applyFont="1" applyFill="1" applyAlignment="1" applyProtection="1">
      <alignment wrapText="1"/>
      <protection locked="0"/>
    </xf>
    <xf numFmtId="0" fontId="14" fillId="0" borderId="0" xfId="0" applyFont="1" applyFill="1" applyAlignment="1" applyProtection="1">
      <protection locked="0"/>
    </xf>
    <xf numFmtId="0" fontId="28" fillId="0" borderId="0" xfId="0" applyFont="1"/>
    <xf numFmtId="0" fontId="29" fillId="0" borderId="0" xfId="0" applyFont="1"/>
    <xf numFmtId="166" fontId="28" fillId="0" borderId="0" xfId="0" applyNumberFormat="1" applyFont="1"/>
    <xf numFmtId="0" fontId="24" fillId="0" borderId="2" xfId="0" applyFont="1" applyBorder="1"/>
    <xf numFmtId="0" fontId="24" fillId="0" borderId="53" xfId="0" applyFont="1" applyBorder="1"/>
    <xf numFmtId="166" fontId="4" fillId="0" borderId="53" xfId="0" applyNumberFormat="1" applyFont="1" applyBorder="1" applyAlignment="1" applyProtection="1">
      <alignment horizontal="center"/>
    </xf>
    <xf numFmtId="0" fontId="28" fillId="0" borderId="12" xfId="0" applyFont="1" applyBorder="1"/>
    <xf numFmtId="0" fontId="24" fillId="0" borderId="54" xfId="0" applyFont="1" applyBorder="1"/>
    <xf numFmtId="166" fontId="4" fillId="0" borderId="54" xfId="0" applyNumberFormat="1" applyFont="1" applyBorder="1" applyAlignment="1" applyProtection="1">
      <alignment horizontal="center"/>
    </xf>
    <xf numFmtId="0" fontId="24" fillId="0" borderId="55" xfId="0" applyFont="1" applyBorder="1"/>
    <xf numFmtId="166" fontId="4" fillId="0" borderId="55" xfId="0" applyNumberFormat="1" applyFont="1" applyBorder="1" applyAlignment="1" applyProtection="1">
      <alignment horizontal="center"/>
    </xf>
    <xf numFmtId="0" fontId="13" fillId="3" borderId="0" xfId="0" applyFont="1" applyFill="1" applyAlignment="1" applyProtection="1">
      <alignment wrapText="1"/>
      <protection locked="0"/>
    </xf>
    <xf numFmtId="0" fontId="14" fillId="3" borderId="0" xfId="0" applyFont="1" applyFill="1" applyAlignment="1" applyProtection="1">
      <protection locked="0"/>
    </xf>
    <xf numFmtId="0" fontId="6" fillId="3" borderId="0" xfId="0" applyFont="1" applyFill="1" applyAlignment="1" applyProtection="1">
      <alignment vertical="top" wrapText="1"/>
    </xf>
    <xf numFmtId="0" fontId="6" fillId="3" borderId="0" xfId="0" applyFont="1" applyFill="1" applyAlignment="1" applyProtection="1">
      <alignment vertical="top"/>
    </xf>
    <xf numFmtId="0" fontId="22" fillId="3" borderId="44" xfId="0" applyFont="1" applyFill="1" applyBorder="1" applyAlignment="1" applyProtection="1">
      <alignment horizontal="left" vertical="top" wrapText="1"/>
    </xf>
    <xf numFmtId="0" fontId="22" fillId="3" borderId="45" xfId="0" applyFont="1" applyFill="1" applyBorder="1" applyAlignment="1" applyProtection="1">
      <alignment horizontal="left" vertical="top" wrapText="1"/>
    </xf>
    <xf numFmtId="0" fontId="22" fillId="3" borderId="46" xfId="0" applyFont="1" applyFill="1" applyBorder="1" applyAlignment="1" applyProtection="1">
      <alignment horizontal="left" vertical="top" wrapText="1"/>
    </xf>
    <xf numFmtId="0" fontId="22" fillId="3" borderId="47" xfId="0" applyFont="1" applyFill="1" applyBorder="1" applyAlignment="1" applyProtection="1">
      <alignment horizontal="left" vertical="top" wrapText="1"/>
    </xf>
    <xf numFmtId="0" fontId="22" fillId="3" borderId="0" xfId="0" applyFont="1" applyFill="1" applyBorder="1" applyAlignment="1" applyProtection="1">
      <alignment horizontal="left" vertical="top" wrapText="1"/>
    </xf>
    <xf numFmtId="0" fontId="22" fillId="3" borderId="48" xfId="0" applyFont="1" applyFill="1" applyBorder="1" applyAlignment="1" applyProtection="1">
      <alignment horizontal="left" vertical="top" wrapText="1"/>
    </xf>
    <xf numFmtId="0" fontId="22" fillId="3" borderId="49" xfId="0" applyFont="1" applyFill="1" applyBorder="1" applyAlignment="1" applyProtection="1">
      <alignment horizontal="left" vertical="top" wrapText="1"/>
    </xf>
    <xf numFmtId="0" fontId="22" fillId="3" borderId="50" xfId="0" applyFont="1" applyFill="1" applyBorder="1" applyAlignment="1" applyProtection="1">
      <alignment horizontal="left" vertical="top" wrapText="1"/>
    </xf>
    <xf numFmtId="0" fontId="22" fillId="3" borderId="51" xfId="0" applyFont="1" applyFill="1" applyBorder="1" applyAlignment="1" applyProtection="1">
      <alignment horizontal="left" vertical="top" wrapText="1"/>
    </xf>
    <xf numFmtId="0" fontId="24" fillId="0" borderId="0" xfId="0" applyFont="1" applyAlignment="1">
      <alignment horizontal="left" wrapText="1"/>
    </xf>
    <xf numFmtId="0" fontId="24" fillId="0" borderId="0" xfId="0" applyFont="1" applyAlignment="1">
      <alignment horizontal="left"/>
    </xf>
    <xf numFmtId="0" fontId="24" fillId="0" borderId="0" xfId="0" applyFont="1" applyAlignment="1">
      <alignment horizontal="left" vertical="top"/>
    </xf>
    <xf numFmtId="0" fontId="29" fillId="0" borderId="0" xfId="0" applyFont="1" applyAlignment="1">
      <alignment horizontal="center" vertical="center"/>
    </xf>
    <xf numFmtId="0" fontId="17" fillId="0" borderId="0" xfId="0" applyFont="1" applyFill="1" applyBorder="1" applyAlignment="1" applyProtection="1">
      <alignment horizontal="right"/>
    </xf>
    <xf numFmtId="0" fontId="4" fillId="0" borderId="0" xfId="0" applyFont="1" applyBorder="1" applyAlignment="1" applyProtection="1"/>
    <xf numFmtId="0" fontId="18" fillId="0" borderId="34" xfId="0" applyFont="1" applyBorder="1" applyAlignment="1"/>
    <xf numFmtId="0" fontId="18" fillId="0" borderId="35" xfId="0" applyFont="1" applyBorder="1" applyAlignment="1"/>
    <xf numFmtId="0" fontId="18" fillId="0" borderId="36" xfId="0" applyFont="1" applyBorder="1" applyAlignment="1"/>
    <xf numFmtId="0" fontId="18" fillId="0" borderId="20" xfId="0" applyFont="1" applyBorder="1" applyAlignment="1"/>
    <xf numFmtId="0" fontId="18" fillId="0" borderId="30" xfId="0" applyFont="1" applyBorder="1" applyAlignment="1"/>
    <xf numFmtId="0" fontId="18" fillId="0" borderId="21" xfId="0" applyFont="1" applyBorder="1" applyAlignment="1"/>
    <xf numFmtId="0" fontId="4" fillId="0" borderId="10" xfId="0" applyFont="1" applyFill="1" applyBorder="1" applyAlignment="1" applyProtection="1"/>
    <xf numFmtId="0" fontId="4" fillId="0" borderId="10" xfId="0" applyFont="1" applyBorder="1" applyAlignment="1" applyProtection="1"/>
    <xf numFmtId="170" fontId="6" fillId="0" borderId="0" xfId="0" applyNumberFormat="1" applyFont="1" applyFill="1" applyBorder="1" applyAlignment="1" applyProtection="1">
      <alignment horizontal="left"/>
    </xf>
    <xf numFmtId="0" fontId="18" fillId="0" borderId="34" xfId="0" applyFont="1" applyBorder="1" applyAlignment="1" applyProtection="1"/>
    <xf numFmtId="0" fontId="18" fillId="0" borderId="35" xfId="0" applyFont="1" applyBorder="1" applyAlignment="1" applyProtection="1"/>
    <xf numFmtId="0" fontId="18" fillId="0" borderId="36" xfId="0" applyFont="1" applyBorder="1" applyAlignment="1" applyProtection="1"/>
    <xf numFmtId="0" fontId="18" fillId="0" borderId="20" xfId="0" applyFont="1" applyBorder="1" applyAlignment="1" applyProtection="1"/>
    <xf numFmtId="0" fontId="18" fillId="0" borderId="30" xfId="0" applyFont="1" applyBorder="1" applyAlignment="1" applyProtection="1"/>
    <xf numFmtId="0" fontId="18" fillId="0" borderId="21" xfId="0" applyFont="1" applyBorder="1" applyAlignment="1" applyProtection="1"/>
    <xf numFmtId="170" fontId="6" fillId="0" borderId="0" xfId="0" applyNumberFormat="1" applyFont="1" applyAlignment="1" applyProtection="1">
      <alignment horizontal="left"/>
    </xf>
    <xf numFmtId="0" fontId="4" fillId="0" borderId="37" xfId="0" applyFont="1" applyBorder="1" applyAlignment="1" applyProtection="1">
      <alignment horizontal="right"/>
    </xf>
    <xf numFmtId="0" fontId="4" fillId="0" borderId="38" xfId="0" applyFont="1" applyBorder="1" applyAlignment="1" applyProtection="1">
      <alignment horizontal="right"/>
    </xf>
    <xf numFmtId="0" fontId="6" fillId="0" borderId="34" xfId="0" applyFont="1" applyBorder="1" applyAlignment="1">
      <alignment horizontal="center"/>
    </xf>
    <xf numFmtId="0" fontId="6" fillId="0" borderId="40" xfId="0" applyFont="1" applyBorder="1" applyAlignment="1">
      <alignment horizontal="center"/>
    </xf>
    <xf numFmtId="0" fontId="7" fillId="0" borderId="39" xfId="0" applyFont="1" applyBorder="1" applyAlignment="1">
      <alignment horizontal="center" wrapText="1"/>
    </xf>
    <xf numFmtId="0" fontId="7" fillId="0" borderId="35" xfId="0" applyFont="1" applyBorder="1" applyAlignment="1">
      <alignment horizontal="center" wrapText="1"/>
    </xf>
    <xf numFmtId="0" fontId="7" fillId="0" borderId="41" xfId="0" applyFont="1" applyBorder="1" applyAlignment="1">
      <alignment horizontal="center" wrapText="1"/>
    </xf>
    <xf numFmtId="0" fontId="7" fillId="0" borderId="0" xfId="0" applyFont="1" applyBorder="1" applyAlignment="1">
      <alignment horizontal="center" wrapText="1"/>
    </xf>
  </cellXfs>
  <cellStyles count="3">
    <cellStyle name="Komma" xfId="1" builtinId="3"/>
    <cellStyle name="Standard" xfId="0" builtinId="0"/>
    <cellStyle name="Währung" xfId="2" builtinId="4"/>
  </cellStyles>
  <dxfs count="55">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5" tint="0.799981688894314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85725</xdr:colOff>
      <xdr:row>6</xdr:row>
      <xdr:rowOff>114300</xdr:rowOff>
    </xdr:from>
    <xdr:to>
      <xdr:col>10</xdr:col>
      <xdr:colOff>409575</xdr:colOff>
      <xdr:row>20</xdr:row>
      <xdr:rowOff>123825</xdr:rowOff>
    </xdr:to>
    <xdr:sp macro="" textlink="">
      <xdr:nvSpPr>
        <xdr:cNvPr id="2" name="Geschweifte Klammer rechts 1"/>
        <xdr:cNvSpPr/>
      </xdr:nvSpPr>
      <xdr:spPr>
        <a:xfrm>
          <a:off x="7620000" y="1304925"/>
          <a:ext cx="323850" cy="18859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CH" sz="1100"/>
        </a:p>
      </xdr:txBody>
    </xdr:sp>
    <xdr:clientData/>
  </xdr:twoCellAnchor>
  <xdr:twoCellAnchor>
    <xdr:from>
      <xdr:col>0</xdr:col>
      <xdr:colOff>190500</xdr:colOff>
      <xdr:row>3</xdr:row>
      <xdr:rowOff>47625</xdr:rowOff>
    </xdr:from>
    <xdr:to>
      <xdr:col>0</xdr:col>
      <xdr:colOff>1333500</xdr:colOff>
      <xdr:row>36</xdr:row>
      <xdr:rowOff>1</xdr:rowOff>
    </xdr:to>
    <xdr:cxnSp macro="">
      <xdr:nvCxnSpPr>
        <xdr:cNvPr id="4" name="Gerade Verbindung mit Pfeil 3"/>
        <xdr:cNvCxnSpPr/>
      </xdr:nvCxnSpPr>
      <xdr:spPr>
        <a:xfrm flipV="1">
          <a:off x="190500" y="752475"/>
          <a:ext cx="1143000" cy="5076826"/>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23</xdr:row>
      <xdr:rowOff>85725</xdr:rowOff>
    </xdr:from>
    <xdr:to>
      <xdr:col>0</xdr:col>
      <xdr:colOff>1676400</xdr:colOff>
      <xdr:row>35</xdr:row>
      <xdr:rowOff>85728</xdr:rowOff>
    </xdr:to>
    <xdr:cxnSp macro="">
      <xdr:nvCxnSpPr>
        <xdr:cNvPr id="6" name="Gerade Verbindung mit Pfeil 5"/>
        <xdr:cNvCxnSpPr/>
      </xdr:nvCxnSpPr>
      <xdr:spPr>
        <a:xfrm flipV="1">
          <a:off x="381000" y="3829050"/>
          <a:ext cx="1295400" cy="2533653"/>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133350</xdr:rowOff>
    </xdr:from>
    <xdr:to>
      <xdr:col>8</xdr:col>
      <xdr:colOff>218362</xdr:colOff>
      <xdr:row>21</xdr:row>
      <xdr:rowOff>104576</xdr:rowOff>
    </xdr:to>
    <xdr:pic>
      <xdr:nvPicPr>
        <xdr:cNvPr id="3" name="Grafik 2"/>
        <xdr:cNvPicPr>
          <a:picLocks noChangeAspect="1"/>
        </xdr:cNvPicPr>
      </xdr:nvPicPr>
      <xdr:blipFill>
        <a:blip xmlns:r="http://schemas.openxmlformats.org/officeDocument/2006/relationships" r:embed="rId1"/>
        <a:stretch>
          <a:fillRect/>
        </a:stretch>
      </xdr:blipFill>
      <xdr:spPr>
        <a:xfrm>
          <a:off x="0" y="2867025"/>
          <a:ext cx="5704762" cy="1590476"/>
        </a:xfrm>
        <a:prstGeom prst="rect">
          <a:avLst/>
        </a:prstGeom>
      </xdr:spPr>
    </xdr:pic>
    <xdr:clientData/>
  </xdr:twoCellAnchor>
  <xdr:twoCellAnchor editAs="oneCell">
    <xdr:from>
      <xdr:col>0</xdr:col>
      <xdr:colOff>0</xdr:colOff>
      <xdr:row>27</xdr:row>
      <xdr:rowOff>104775</xdr:rowOff>
    </xdr:from>
    <xdr:to>
      <xdr:col>8</xdr:col>
      <xdr:colOff>208838</xdr:colOff>
      <xdr:row>37</xdr:row>
      <xdr:rowOff>114096</xdr:rowOff>
    </xdr:to>
    <xdr:pic>
      <xdr:nvPicPr>
        <xdr:cNvPr id="4" name="Grafik 3"/>
        <xdr:cNvPicPr>
          <a:picLocks noChangeAspect="1"/>
        </xdr:cNvPicPr>
      </xdr:nvPicPr>
      <xdr:blipFill>
        <a:blip xmlns:r="http://schemas.openxmlformats.org/officeDocument/2006/relationships" r:embed="rId2"/>
        <a:stretch>
          <a:fillRect/>
        </a:stretch>
      </xdr:blipFill>
      <xdr:spPr>
        <a:xfrm>
          <a:off x="0" y="5934075"/>
          <a:ext cx="5695238" cy="1628571"/>
        </a:xfrm>
        <a:prstGeom prst="rect">
          <a:avLst/>
        </a:prstGeom>
      </xdr:spPr>
    </xdr:pic>
    <xdr:clientData/>
  </xdr:twoCellAnchor>
  <xdr:twoCellAnchor editAs="oneCell">
    <xdr:from>
      <xdr:col>0</xdr:col>
      <xdr:colOff>0</xdr:colOff>
      <xdr:row>43</xdr:row>
      <xdr:rowOff>114300</xdr:rowOff>
    </xdr:from>
    <xdr:to>
      <xdr:col>8</xdr:col>
      <xdr:colOff>351695</xdr:colOff>
      <xdr:row>53</xdr:row>
      <xdr:rowOff>133145</xdr:rowOff>
    </xdr:to>
    <xdr:pic>
      <xdr:nvPicPr>
        <xdr:cNvPr id="5" name="Grafik 4"/>
        <xdr:cNvPicPr>
          <a:picLocks noChangeAspect="1"/>
        </xdr:cNvPicPr>
      </xdr:nvPicPr>
      <xdr:blipFill>
        <a:blip xmlns:r="http://schemas.openxmlformats.org/officeDocument/2006/relationships" r:embed="rId3"/>
        <a:stretch>
          <a:fillRect/>
        </a:stretch>
      </xdr:blipFill>
      <xdr:spPr>
        <a:xfrm>
          <a:off x="0" y="9001125"/>
          <a:ext cx="5838095" cy="1638095"/>
        </a:xfrm>
        <a:prstGeom prst="rect">
          <a:avLst/>
        </a:prstGeom>
      </xdr:spPr>
    </xdr:pic>
    <xdr:clientData/>
  </xdr:twoCellAnchor>
  <xdr:twoCellAnchor editAs="oneCell">
    <xdr:from>
      <xdr:col>0</xdr:col>
      <xdr:colOff>0</xdr:colOff>
      <xdr:row>64</xdr:row>
      <xdr:rowOff>0</xdr:rowOff>
    </xdr:from>
    <xdr:to>
      <xdr:col>9</xdr:col>
      <xdr:colOff>46848</xdr:colOff>
      <xdr:row>73</xdr:row>
      <xdr:rowOff>56961</xdr:rowOff>
    </xdr:to>
    <xdr:pic>
      <xdr:nvPicPr>
        <xdr:cNvPr id="6" name="Grafik 5"/>
        <xdr:cNvPicPr>
          <a:picLocks noChangeAspect="1"/>
        </xdr:cNvPicPr>
      </xdr:nvPicPr>
      <xdr:blipFill>
        <a:blip xmlns:r="http://schemas.openxmlformats.org/officeDocument/2006/relationships" r:embed="rId4"/>
        <a:stretch>
          <a:fillRect/>
        </a:stretch>
      </xdr:blipFill>
      <xdr:spPr>
        <a:xfrm>
          <a:off x="0" y="14354175"/>
          <a:ext cx="6219048" cy="1514286"/>
        </a:xfrm>
        <a:prstGeom prst="rect">
          <a:avLst/>
        </a:prstGeom>
      </xdr:spPr>
    </xdr:pic>
    <xdr:clientData/>
  </xdr:twoCellAnchor>
  <xdr:twoCellAnchor editAs="oneCell">
    <xdr:from>
      <xdr:col>0</xdr:col>
      <xdr:colOff>0</xdr:colOff>
      <xdr:row>79</xdr:row>
      <xdr:rowOff>0</xdr:rowOff>
    </xdr:from>
    <xdr:to>
      <xdr:col>8</xdr:col>
      <xdr:colOff>618361</xdr:colOff>
      <xdr:row>87</xdr:row>
      <xdr:rowOff>85552</xdr:rowOff>
    </xdr:to>
    <xdr:pic>
      <xdr:nvPicPr>
        <xdr:cNvPr id="7" name="Grafik 6"/>
        <xdr:cNvPicPr>
          <a:picLocks noChangeAspect="1"/>
        </xdr:cNvPicPr>
      </xdr:nvPicPr>
      <xdr:blipFill>
        <a:blip xmlns:r="http://schemas.openxmlformats.org/officeDocument/2006/relationships" r:embed="rId5"/>
        <a:stretch>
          <a:fillRect/>
        </a:stretch>
      </xdr:blipFill>
      <xdr:spPr>
        <a:xfrm>
          <a:off x="0" y="17268825"/>
          <a:ext cx="6114286" cy="1380952"/>
        </a:xfrm>
        <a:prstGeom prst="rect">
          <a:avLst/>
        </a:prstGeom>
      </xdr:spPr>
    </xdr:pic>
    <xdr:clientData/>
  </xdr:twoCellAnchor>
</xdr:wsDr>
</file>

<file path=xl/theme/theme1.xml><?xml version="1.0" encoding="utf-8"?>
<a:theme xmlns:a="http://schemas.openxmlformats.org/drawingml/2006/main" name="KathKirche">
  <a:themeElements>
    <a:clrScheme name="KK ZH">
      <a:dk1>
        <a:sysClr val="windowText" lastClr="000000"/>
      </a:dk1>
      <a:lt1>
        <a:sysClr val="window" lastClr="FFFFFF"/>
      </a:lt1>
      <a:dk2>
        <a:srgbClr val="1F497D"/>
      </a:dk2>
      <a:lt2>
        <a:srgbClr val="EEECE1"/>
      </a:lt2>
      <a:accent1>
        <a:srgbClr val="000000"/>
      </a:accent1>
      <a:accent2>
        <a:srgbClr val="009CDD"/>
      </a:accent2>
      <a:accent3>
        <a:srgbClr val="FFEC00"/>
      </a:accent3>
      <a:accent4>
        <a:srgbClr val="DA8D1B"/>
      </a:accent4>
      <a:accent5>
        <a:srgbClr val="C00076"/>
      </a:accent5>
      <a:accent6>
        <a:srgbClr val="B4C95F"/>
      </a:accent6>
      <a:hlink>
        <a:srgbClr val="0000FF"/>
      </a:hlink>
      <a:folHlink>
        <a:srgbClr val="800080"/>
      </a:folHlink>
    </a:clrScheme>
    <a:fontScheme name="KathKirche">
      <a:majorFont>
        <a:latin typeface="Verdana"/>
        <a:ea typeface=""/>
        <a:cs typeface=""/>
      </a:majorFont>
      <a:minorFont>
        <a:latin typeface="Verdana"/>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8"/>
  <sheetViews>
    <sheetView workbookViewId="0">
      <selection activeCell="A2" sqref="A2:J2"/>
    </sheetView>
  </sheetViews>
  <sheetFormatPr baseColWidth="10" defaultColWidth="10.83203125" defaultRowHeight="12.75" x14ac:dyDescent="0.2"/>
  <cols>
    <col min="1" max="1" width="30.33203125" style="87" customWidth="1"/>
    <col min="2" max="2" width="26.83203125" style="124" hidden="1" customWidth="1"/>
    <col min="3" max="3" width="17.5" style="87" customWidth="1"/>
    <col min="4" max="8" width="10.83203125" style="87"/>
    <col min="9" max="9" width="18.83203125" style="87" customWidth="1"/>
    <col min="10" max="10" width="10.83203125" style="87"/>
    <col min="11" max="11" width="8.1640625" style="87" customWidth="1"/>
    <col min="12" max="14" width="10.83203125" style="87"/>
    <col min="15" max="15" width="19.1640625" style="87" hidden="1" customWidth="1"/>
    <col min="16" max="16384" width="10.83203125" style="87"/>
  </cols>
  <sheetData>
    <row r="1" spans="1:15" ht="18" x14ac:dyDescent="0.25">
      <c r="A1" s="175">
        <v>2020</v>
      </c>
    </row>
    <row r="2" spans="1:15" ht="37.5" customHeight="1" x14ac:dyDescent="0.25">
      <c r="A2" s="225"/>
      <c r="B2" s="225"/>
      <c r="C2" s="226"/>
      <c r="D2" s="226"/>
      <c r="E2" s="226"/>
      <c r="F2" s="226"/>
      <c r="G2" s="226"/>
      <c r="H2" s="226"/>
      <c r="I2" s="226"/>
      <c r="J2" s="226"/>
    </row>
    <row r="3" spans="1:15" s="121" customFormat="1" ht="37.5" customHeight="1" x14ac:dyDescent="0.25">
      <c r="A3" s="210" t="s">
        <v>83</v>
      </c>
      <c r="B3" s="212"/>
      <c r="C3" s="213"/>
      <c r="D3" s="213"/>
      <c r="E3" s="213"/>
      <c r="F3" s="213"/>
      <c r="G3" s="213"/>
      <c r="H3" s="213"/>
      <c r="I3" s="213"/>
      <c r="J3" s="213"/>
    </row>
    <row r="4" spans="1:15" hidden="1" x14ac:dyDescent="0.2">
      <c r="A4" s="90"/>
      <c r="B4" s="176"/>
      <c r="C4" s="177"/>
      <c r="D4" s="90"/>
      <c r="E4" s="178"/>
      <c r="F4" s="179"/>
      <c r="G4" s="90"/>
      <c r="H4" s="90"/>
      <c r="I4" s="90"/>
      <c r="J4" s="180"/>
    </row>
    <row r="5" spans="1:15" hidden="1" x14ac:dyDescent="0.2">
      <c r="A5" s="181" t="s">
        <v>16</v>
      </c>
      <c r="B5" s="181"/>
      <c r="C5" s="182" t="str">
        <f>"Soll zu "&amp;Anstellungsprozent&amp; " %"</f>
        <v>Soll zu 100 %</v>
      </c>
      <c r="D5" s="183" t="s">
        <v>17</v>
      </c>
      <c r="E5" s="184" t="s">
        <v>18</v>
      </c>
      <c r="F5" s="185" t="s">
        <v>18</v>
      </c>
      <c r="G5" s="183" t="s">
        <v>19</v>
      </c>
      <c r="H5" s="183" t="s">
        <v>19</v>
      </c>
      <c r="I5" s="183" t="str">
        <f>C5</f>
        <v>Soll zu 100 %</v>
      </c>
      <c r="J5" s="183" t="str">
        <f>D5</f>
        <v xml:space="preserve">Ist </v>
      </c>
      <c r="O5" s="182" t="s">
        <v>79</v>
      </c>
    </row>
    <row r="6" spans="1:15" hidden="1" x14ac:dyDescent="0.2">
      <c r="A6" s="186"/>
      <c r="B6" s="186"/>
      <c r="C6" s="187"/>
      <c r="D6" s="188"/>
      <c r="E6" s="189" t="s">
        <v>20</v>
      </c>
      <c r="F6" s="190" t="s">
        <v>21</v>
      </c>
      <c r="G6" s="188" t="s">
        <v>20</v>
      </c>
      <c r="H6" s="188" t="s">
        <v>21</v>
      </c>
      <c r="I6" s="188" t="s">
        <v>22</v>
      </c>
      <c r="J6" s="191"/>
      <c r="O6" s="187"/>
    </row>
    <row r="7" spans="1:15" s="124" customFormat="1" ht="11.25" hidden="1" x14ac:dyDescent="0.15">
      <c r="A7" s="176"/>
      <c r="B7" s="176"/>
      <c r="C7" s="192"/>
      <c r="D7" s="176"/>
      <c r="E7" s="193"/>
      <c r="F7" s="194"/>
      <c r="G7" s="192"/>
      <c r="H7" s="176"/>
      <c r="I7" s="176"/>
      <c r="J7" s="195"/>
      <c r="O7" s="192"/>
    </row>
    <row r="8" spans="1:15" s="124" customFormat="1" hidden="1" x14ac:dyDescent="0.2">
      <c r="A8" s="196" t="s">
        <v>35</v>
      </c>
      <c r="B8" s="196"/>
      <c r="C8" s="197">
        <v>0</v>
      </c>
      <c r="D8" s="198">
        <v>0</v>
      </c>
      <c r="E8" s="199"/>
      <c r="F8" s="200">
        <f>IF(C8&gt;D8,C8-D8,0)</f>
        <v>0</v>
      </c>
      <c r="G8" s="201">
        <f>E8</f>
        <v>0</v>
      </c>
      <c r="H8" s="202">
        <f>F8</f>
        <v>0</v>
      </c>
      <c r="I8" s="178">
        <f>I7+C8</f>
        <v>0</v>
      </c>
      <c r="J8" s="193">
        <f>J7+D8</f>
        <v>0</v>
      </c>
      <c r="O8" s="197">
        <v>0</v>
      </c>
    </row>
    <row r="9" spans="1:15" s="124" customFormat="1" ht="11.25" hidden="1" x14ac:dyDescent="0.15">
      <c r="A9" s="176" t="s">
        <v>23</v>
      </c>
      <c r="B9" s="203">
        <v>7</v>
      </c>
      <c r="C9" s="203">
        <f t="shared" ref="C9:C20" si="0">O9/100*Anstellungsprozent</f>
        <v>8.75</v>
      </c>
      <c r="D9" s="203">
        <f>Januar!$H$38</f>
        <v>0</v>
      </c>
      <c r="E9" s="201">
        <f t="shared" ref="E9:E20" si="1">IF(C9&lt;D9,D9-C9,0)</f>
        <v>0</v>
      </c>
      <c r="F9" s="202">
        <f>IF(C9&gt;D9,C9-D9,0)</f>
        <v>8.75</v>
      </c>
      <c r="G9" s="201">
        <f>IF(J9&gt;I9,J9-I9,0)</f>
        <v>0</v>
      </c>
      <c r="H9" s="202">
        <f>IF(I9&gt;J9,I9-J9,0)</f>
        <v>8.75</v>
      </c>
      <c r="I9" s="193">
        <f t="shared" ref="I9:I20" si="2">I8+C9</f>
        <v>8.75</v>
      </c>
      <c r="J9" s="193">
        <f t="shared" ref="J9:J20" si="3">J8+D9</f>
        <v>0</v>
      </c>
      <c r="O9" s="203">
        <v>8.75</v>
      </c>
    </row>
    <row r="10" spans="1:15" s="124" customFormat="1" ht="11.25" hidden="1" x14ac:dyDescent="0.15">
      <c r="A10" s="176" t="s">
        <v>24</v>
      </c>
      <c r="B10" s="203">
        <v>7.3500000000000005</v>
      </c>
      <c r="C10" s="203">
        <f t="shared" si="0"/>
        <v>8.3333333333333339</v>
      </c>
      <c r="D10" s="203">
        <f>Februar!$H$38</f>
        <v>0</v>
      </c>
      <c r="E10" s="201">
        <f t="shared" si="1"/>
        <v>0</v>
      </c>
      <c r="F10" s="202">
        <f t="shared" ref="F10:F20" si="4">IF(C10&gt;D10,C10-D10,0)</f>
        <v>8.3333333333333339</v>
      </c>
      <c r="G10" s="201">
        <f t="shared" ref="G10:G20" si="5">IF(J10&gt;I10,J10-I10,0)</f>
        <v>0</v>
      </c>
      <c r="H10" s="202">
        <f t="shared" ref="H10:H20" si="6">IF(I10&gt;J10,I10-J10,0)</f>
        <v>17.083333333333336</v>
      </c>
      <c r="I10" s="193">
        <f t="shared" si="2"/>
        <v>17.083333333333336</v>
      </c>
      <c r="J10" s="193">
        <f t="shared" si="3"/>
        <v>0</v>
      </c>
      <c r="O10" s="203">
        <v>8.3333333333333339</v>
      </c>
    </row>
    <row r="11" spans="1:15" s="124" customFormat="1" ht="11.25" hidden="1" x14ac:dyDescent="0.15">
      <c r="A11" s="176" t="s">
        <v>25</v>
      </c>
      <c r="B11" s="203">
        <v>7.25</v>
      </c>
      <c r="C11" s="203">
        <f t="shared" si="0"/>
        <v>8.6291666666666664</v>
      </c>
      <c r="D11" s="203">
        <f>März!$H$38</f>
        <v>0</v>
      </c>
      <c r="E11" s="201">
        <f t="shared" si="1"/>
        <v>0</v>
      </c>
      <c r="F11" s="202">
        <f t="shared" si="4"/>
        <v>8.6291666666666664</v>
      </c>
      <c r="G11" s="201">
        <f t="shared" si="5"/>
        <v>0</v>
      </c>
      <c r="H11" s="202">
        <f t="shared" si="6"/>
        <v>25.712500000000002</v>
      </c>
      <c r="I11" s="193">
        <f t="shared" si="2"/>
        <v>25.712500000000002</v>
      </c>
      <c r="J11" s="193">
        <f t="shared" si="3"/>
        <v>0</v>
      </c>
      <c r="O11" s="203">
        <v>8.6291666666666664</v>
      </c>
    </row>
    <row r="12" spans="1:15" s="124" customFormat="1" ht="11.25" hidden="1" x14ac:dyDescent="0.15">
      <c r="A12" s="176" t="s">
        <v>26</v>
      </c>
      <c r="B12" s="203">
        <v>7.1749999999999998</v>
      </c>
      <c r="C12" s="203">
        <f t="shared" si="0"/>
        <v>8.125</v>
      </c>
      <c r="D12" s="203" t="e">
        <f>April!$H$38</f>
        <v>#VALUE!</v>
      </c>
      <c r="E12" s="201" t="e">
        <f t="shared" si="1"/>
        <v>#VALUE!</v>
      </c>
      <c r="F12" s="202" t="e">
        <f t="shared" si="4"/>
        <v>#VALUE!</v>
      </c>
      <c r="G12" s="201" t="e">
        <f t="shared" si="5"/>
        <v>#VALUE!</v>
      </c>
      <c r="H12" s="202" t="e">
        <f t="shared" si="6"/>
        <v>#VALUE!</v>
      </c>
      <c r="I12" s="193">
        <f t="shared" si="2"/>
        <v>33.837500000000006</v>
      </c>
      <c r="J12" s="193" t="e">
        <f t="shared" si="3"/>
        <v>#VALUE!</v>
      </c>
      <c r="O12" s="203">
        <v>8.125</v>
      </c>
    </row>
    <row r="13" spans="1:15" s="124" customFormat="1" ht="11.25" hidden="1" x14ac:dyDescent="0.15">
      <c r="A13" s="176" t="s">
        <v>27</v>
      </c>
      <c r="B13" s="203">
        <v>6.8999999999999995</v>
      </c>
      <c r="C13" s="203">
        <f t="shared" si="0"/>
        <v>8.2125000000000004</v>
      </c>
      <c r="D13" s="203">
        <f>Mai!$H$38</f>
        <v>0</v>
      </c>
      <c r="E13" s="201">
        <f t="shared" si="1"/>
        <v>0</v>
      </c>
      <c r="F13" s="202">
        <f t="shared" si="4"/>
        <v>8.2125000000000004</v>
      </c>
      <c r="G13" s="201" t="e">
        <f t="shared" si="5"/>
        <v>#VALUE!</v>
      </c>
      <c r="H13" s="202" t="e">
        <f t="shared" si="6"/>
        <v>#VALUE!</v>
      </c>
      <c r="I13" s="193">
        <f t="shared" si="2"/>
        <v>42.050000000000004</v>
      </c>
      <c r="J13" s="193" t="e">
        <f t="shared" si="3"/>
        <v>#VALUE!</v>
      </c>
      <c r="O13" s="203">
        <v>8.2125000000000004</v>
      </c>
    </row>
    <row r="14" spans="1:15" s="124" customFormat="1" ht="11.25" hidden="1" x14ac:dyDescent="0.15">
      <c r="A14" s="176" t="s">
        <v>28</v>
      </c>
      <c r="B14" s="204">
        <v>7.6999999999999966</v>
      </c>
      <c r="C14" s="203">
        <f t="shared" si="0"/>
        <v>8.75</v>
      </c>
      <c r="D14" s="203">
        <f>Juni!$H$38</f>
        <v>0</v>
      </c>
      <c r="E14" s="201">
        <f t="shared" si="1"/>
        <v>0</v>
      </c>
      <c r="F14" s="202">
        <f t="shared" si="4"/>
        <v>8.75</v>
      </c>
      <c r="G14" s="201" t="e">
        <f t="shared" si="5"/>
        <v>#VALUE!</v>
      </c>
      <c r="H14" s="202" t="e">
        <f t="shared" si="6"/>
        <v>#VALUE!</v>
      </c>
      <c r="I14" s="193">
        <f t="shared" si="2"/>
        <v>50.800000000000004</v>
      </c>
      <c r="J14" s="193" t="e">
        <f t="shared" si="3"/>
        <v>#VALUE!</v>
      </c>
      <c r="O14" s="203">
        <v>8.75</v>
      </c>
    </row>
    <row r="15" spans="1:15" s="124" customFormat="1" ht="11.25" hidden="1" x14ac:dyDescent="0.15">
      <c r="A15" s="176" t="s">
        <v>29</v>
      </c>
      <c r="B15" s="204">
        <v>7.3500000000000005</v>
      </c>
      <c r="C15" s="203">
        <f t="shared" si="0"/>
        <v>9.1666666666666661</v>
      </c>
      <c r="D15" s="203">
        <f>Juli!$H$38</f>
        <v>0</v>
      </c>
      <c r="E15" s="201">
        <f t="shared" si="1"/>
        <v>0</v>
      </c>
      <c r="F15" s="202">
        <f t="shared" si="4"/>
        <v>9.1666666666666661</v>
      </c>
      <c r="G15" s="201" t="e">
        <f t="shared" si="5"/>
        <v>#VALUE!</v>
      </c>
      <c r="H15" s="202" t="e">
        <f t="shared" si="6"/>
        <v>#VALUE!</v>
      </c>
      <c r="I15" s="193">
        <f t="shared" si="2"/>
        <v>59.966666666666669</v>
      </c>
      <c r="J15" s="193" t="e">
        <f t="shared" si="3"/>
        <v>#VALUE!</v>
      </c>
      <c r="O15" s="203">
        <v>9.1666666666666661</v>
      </c>
    </row>
    <row r="16" spans="1:15" s="124" customFormat="1" ht="11.25" hidden="1" x14ac:dyDescent="0.15">
      <c r="A16" s="176" t="s">
        <v>30</v>
      </c>
      <c r="B16" s="204">
        <v>7.7</v>
      </c>
      <c r="C16" s="203">
        <f t="shared" si="0"/>
        <v>9.1666666666666661</v>
      </c>
      <c r="D16" s="203">
        <f>August!$H$38</f>
        <v>0</v>
      </c>
      <c r="E16" s="201">
        <f t="shared" si="1"/>
        <v>0</v>
      </c>
      <c r="F16" s="202">
        <f t="shared" si="4"/>
        <v>9.1666666666666661</v>
      </c>
      <c r="G16" s="201" t="e">
        <f t="shared" si="5"/>
        <v>#VALUE!</v>
      </c>
      <c r="H16" s="202" t="e">
        <f t="shared" si="6"/>
        <v>#VALUE!</v>
      </c>
      <c r="I16" s="193">
        <f t="shared" si="2"/>
        <v>69.13333333333334</v>
      </c>
      <c r="J16" s="193" t="e">
        <f t="shared" si="3"/>
        <v>#VALUE!</v>
      </c>
      <c r="O16" s="203">
        <v>9.1666666666666661</v>
      </c>
    </row>
    <row r="17" spans="1:15" s="124" customFormat="1" ht="11.25" hidden="1" x14ac:dyDescent="0.15">
      <c r="A17" s="176" t="s">
        <v>31</v>
      </c>
      <c r="B17" s="203">
        <v>7.5249999999999995</v>
      </c>
      <c r="C17" s="203">
        <f t="shared" si="0"/>
        <v>8.125</v>
      </c>
      <c r="D17" s="203">
        <f>September!$H$38</f>
        <v>0</v>
      </c>
      <c r="E17" s="201">
        <f t="shared" si="1"/>
        <v>0</v>
      </c>
      <c r="F17" s="202">
        <f t="shared" si="4"/>
        <v>8.125</v>
      </c>
      <c r="G17" s="201" t="e">
        <f t="shared" si="5"/>
        <v>#VALUE!</v>
      </c>
      <c r="H17" s="202" t="e">
        <f t="shared" si="6"/>
        <v>#VALUE!</v>
      </c>
      <c r="I17" s="193">
        <f t="shared" si="2"/>
        <v>77.25833333333334</v>
      </c>
      <c r="J17" s="193" t="e">
        <f t="shared" si="3"/>
        <v>#VALUE!</v>
      </c>
      <c r="O17" s="203">
        <v>8.125</v>
      </c>
    </row>
    <row r="18" spans="1:15" s="124" customFormat="1" hidden="1" x14ac:dyDescent="0.2">
      <c r="A18" s="176" t="s">
        <v>32</v>
      </c>
      <c r="B18" s="205">
        <v>7.3500000000000005</v>
      </c>
      <c r="C18" s="203">
        <f t="shared" si="0"/>
        <v>9.5833333333333339</v>
      </c>
      <c r="D18" s="203">
        <f>Oktober!$H$38</f>
        <v>0</v>
      </c>
      <c r="E18" s="201">
        <f t="shared" si="1"/>
        <v>0</v>
      </c>
      <c r="F18" s="202">
        <f t="shared" si="4"/>
        <v>9.5833333333333339</v>
      </c>
      <c r="G18" s="201" t="e">
        <f t="shared" si="5"/>
        <v>#VALUE!</v>
      </c>
      <c r="H18" s="202" t="e">
        <f t="shared" si="6"/>
        <v>#VALUE!</v>
      </c>
      <c r="I18" s="193">
        <f t="shared" si="2"/>
        <v>86.841666666666669</v>
      </c>
      <c r="J18" s="193" t="e">
        <f t="shared" si="3"/>
        <v>#VALUE!</v>
      </c>
      <c r="O18" s="203">
        <v>9.5833333333333339</v>
      </c>
    </row>
    <row r="19" spans="1:15" s="124" customFormat="1" ht="11.25" hidden="1" x14ac:dyDescent="0.15">
      <c r="A19" s="176" t="s">
        <v>33</v>
      </c>
      <c r="B19" s="204">
        <v>7.7</v>
      </c>
      <c r="C19" s="203">
        <f t="shared" si="0"/>
        <v>9.1666666666666661</v>
      </c>
      <c r="D19" s="203">
        <f>November!$H$38</f>
        <v>0</v>
      </c>
      <c r="E19" s="201">
        <f t="shared" si="1"/>
        <v>0</v>
      </c>
      <c r="F19" s="202">
        <f t="shared" si="4"/>
        <v>9.1666666666666661</v>
      </c>
      <c r="G19" s="201" t="e">
        <f t="shared" si="5"/>
        <v>#VALUE!</v>
      </c>
      <c r="H19" s="202" t="e">
        <f t="shared" si="6"/>
        <v>#VALUE!</v>
      </c>
      <c r="I19" s="193">
        <f t="shared" si="2"/>
        <v>96.00833333333334</v>
      </c>
      <c r="J19" s="193" t="e">
        <f t="shared" si="3"/>
        <v>#VALUE!</v>
      </c>
      <c r="O19" s="203">
        <v>9.1666666666666661</v>
      </c>
    </row>
    <row r="20" spans="1:15" s="124" customFormat="1" ht="11.25" hidden="1" x14ac:dyDescent="0.15">
      <c r="A20" s="176" t="s">
        <v>34</v>
      </c>
      <c r="B20" s="204">
        <v>7.3500000000000005</v>
      </c>
      <c r="C20" s="203">
        <f t="shared" si="0"/>
        <v>7.5874999999999995</v>
      </c>
      <c r="D20" s="203">
        <f>Dezember!$H$38</f>
        <v>0</v>
      </c>
      <c r="E20" s="201">
        <f t="shared" si="1"/>
        <v>0</v>
      </c>
      <c r="F20" s="202">
        <f t="shared" si="4"/>
        <v>7.5874999999999995</v>
      </c>
      <c r="G20" s="201" t="e">
        <f t="shared" si="5"/>
        <v>#VALUE!</v>
      </c>
      <c r="H20" s="202" t="e">
        <f t="shared" si="6"/>
        <v>#VALUE!</v>
      </c>
      <c r="I20" s="193">
        <f t="shared" si="2"/>
        <v>103.59583333333335</v>
      </c>
      <c r="J20" s="193" t="e">
        <f t="shared" si="3"/>
        <v>#VALUE!</v>
      </c>
      <c r="O20" s="203">
        <v>7.5874999999999995</v>
      </c>
    </row>
    <row r="21" spans="1:15" hidden="1" x14ac:dyDescent="0.2">
      <c r="B21" s="206">
        <f>SUM(B9:B20)</f>
        <v>88.35</v>
      </c>
      <c r="C21" s="207"/>
    </row>
    <row r="22" spans="1:15" ht="20.25" hidden="1" customHeight="1" x14ac:dyDescent="0.2">
      <c r="A22" s="208" t="s">
        <v>70</v>
      </c>
      <c r="B22" s="208"/>
      <c r="C22" s="211">
        <v>100</v>
      </c>
    </row>
    <row r="23" spans="1:15" ht="20.25" hidden="1" customHeight="1" x14ac:dyDescent="0.2">
      <c r="A23" s="208" t="s">
        <v>72</v>
      </c>
      <c r="B23" s="208"/>
      <c r="C23" s="174"/>
    </row>
    <row r="24" spans="1:15" ht="20.25" hidden="1" customHeight="1" x14ac:dyDescent="0.2">
      <c r="A24" s="208" t="s">
        <v>73</v>
      </c>
      <c r="B24" s="208"/>
      <c r="C24" s="174"/>
    </row>
    <row r="25" spans="1:15" hidden="1" x14ac:dyDescent="0.2"/>
    <row r="26" spans="1:15" hidden="1" x14ac:dyDescent="0.2">
      <c r="B26" s="87"/>
      <c r="C26" s="227" t="s">
        <v>71</v>
      </c>
      <c r="D26" s="228"/>
      <c r="E26" s="228"/>
      <c r="F26" s="228"/>
      <c r="G26" s="228"/>
      <c r="H26" s="228"/>
      <c r="I26" s="228"/>
      <c r="J26" s="228"/>
    </row>
    <row r="27" spans="1:15" hidden="1" x14ac:dyDescent="0.2">
      <c r="C27" s="228"/>
      <c r="D27" s="228"/>
      <c r="E27" s="228"/>
      <c r="F27" s="228"/>
      <c r="G27" s="228"/>
      <c r="H27" s="228"/>
      <c r="I27" s="228"/>
      <c r="J27" s="228"/>
    </row>
    <row r="28" spans="1:15" hidden="1" x14ac:dyDescent="0.2">
      <c r="C28" s="203"/>
    </row>
    <row r="29" spans="1:15" ht="13.5" hidden="1" thickBot="1" x14ac:dyDescent="0.25">
      <c r="C29" s="203"/>
    </row>
    <row r="30" spans="1:15" s="209" customFormat="1" ht="13.5" hidden="1" thickTop="1" x14ac:dyDescent="0.2">
      <c r="A30" s="229" t="s">
        <v>60</v>
      </c>
      <c r="B30" s="230"/>
      <c r="C30" s="230"/>
      <c r="D30" s="230"/>
      <c r="E30" s="230"/>
      <c r="F30" s="230"/>
      <c r="G30" s="230"/>
      <c r="H30" s="230"/>
      <c r="I30" s="230"/>
      <c r="J30" s="231"/>
    </row>
    <row r="31" spans="1:15" s="209" customFormat="1" hidden="1" x14ac:dyDescent="0.2">
      <c r="A31" s="232"/>
      <c r="B31" s="233"/>
      <c r="C31" s="233"/>
      <c r="D31" s="233"/>
      <c r="E31" s="233"/>
      <c r="F31" s="233"/>
      <c r="G31" s="233"/>
      <c r="H31" s="233"/>
      <c r="I31" s="233"/>
      <c r="J31" s="234"/>
    </row>
    <row r="32" spans="1:15" s="209" customFormat="1" ht="24" hidden="1" customHeight="1" thickBot="1" x14ac:dyDescent="0.25">
      <c r="A32" s="235"/>
      <c r="B32" s="236"/>
      <c r="C32" s="236"/>
      <c r="D32" s="236"/>
      <c r="E32" s="236"/>
      <c r="F32" s="236"/>
      <c r="G32" s="236"/>
      <c r="H32" s="236"/>
      <c r="I32" s="236"/>
      <c r="J32" s="237"/>
    </row>
    <row r="33" spans="1:3" ht="13.5" hidden="1" thickTop="1" x14ac:dyDescent="0.2">
      <c r="C33" s="203"/>
    </row>
    <row r="34" spans="1:3" hidden="1" x14ac:dyDescent="0.2">
      <c r="A34" s="87" t="s">
        <v>69</v>
      </c>
      <c r="B34" s="109"/>
      <c r="C34" s="203"/>
    </row>
    <row r="35" spans="1:3" hidden="1" x14ac:dyDescent="0.2">
      <c r="C35" s="203"/>
    </row>
    <row r="36" spans="1:3" hidden="1" x14ac:dyDescent="0.2">
      <c r="C36" s="203"/>
    </row>
    <row r="37" spans="1:3" ht="18" hidden="1" x14ac:dyDescent="0.25">
      <c r="A37" s="210" t="s">
        <v>74</v>
      </c>
      <c r="C37" s="203"/>
    </row>
    <row r="38" spans="1:3" hidden="1" x14ac:dyDescent="0.2"/>
  </sheetData>
  <sheetProtection algorithmName="SHA-512" hashValue="49HkDVxUJPvgYMzjvKTufqoSZrCCb+yTkBWIYOjwkJ0iBvY3acyLnByUb0lWyYlOkuqrm9uEJVhbJPLRqlyA+g==" saltValue="pc/bGpybOI1PuUUh84IzVw==" spinCount="100000" sheet="1" objects="1" scenarios="1"/>
  <mergeCells count="3">
    <mergeCell ref="A2:J2"/>
    <mergeCell ref="C26:J27"/>
    <mergeCell ref="A30:J32"/>
  </mergeCells>
  <phoneticPr fontId="0" type="noConversion"/>
  <pageMargins left="0.78740157480314965" right="0.78740157480314965" top="0.98425196850393704" bottom="0.98425196850393704" header="0.51181102362204722" footer="0.51181102362204722"/>
  <pageSetup paperSize="9" orientation="landscape" r:id="rId1"/>
  <headerFooter alignWithMargins="0">
    <oddHeader>&amp;L&amp;G</oddHeader>
  </headerFooter>
  <drawing r:id="rId2"/>
  <legacyDrawing r:id="rId3"/>
  <legacyDrawingHF r:id="rId4"/>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2" workbookViewId="0">
      <selection activeCell="C6" sqref="C6"/>
    </sheetView>
  </sheetViews>
  <sheetFormatPr baseColWidth="10" defaultColWidth="10.83203125" defaultRowHeight="12.75" x14ac:dyDescent="0.2"/>
  <cols>
    <col min="1" max="1" width="5.5" style="87" customWidth="1"/>
    <col min="2" max="2" width="13" style="87" customWidth="1"/>
    <col min="3" max="6" width="8.83203125" style="87" customWidth="1"/>
    <col min="7" max="7" width="11.83203125" style="87" customWidth="1"/>
    <col min="8" max="8" width="11" style="87" customWidth="1"/>
    <col min="9" max="9" width="22.5" style="88" customWidth="1"/>
    <col min="10" max="16384" width="10.83203125" style="87"/>
  </cols>
  <sheetData>
    <row r="1" spans="1:10" ht="15.95" customHeight="1" x14ac:dyDescent="0.2">
      <c r="A1" s="86" t="s">
        <v>54</v>
      </c>
      <c r="B1" s="86"/>
    </row>
    <row r="2" spans="1:10" s="89" customFormat="1" ht="26.1" customHeight="1" x14ac:dyDescent="0.2">
      <c r="A2" s="252" t="s">
        <v>29</v>
      </c>
      <c r="B2" s="252"/>
      <c r="C2" s="89">
        <f>Saldo!A1</f>
        <v>2020</v>
      </c>
      <c r="D2" s="90"/>
      <c r="E2" s="90"/>
      <c r="F2" s="90"/>
      <c r="G2" s="242">
        <f>MA</f>
        <v>0</v>
      </c>
      <c r="H2" s="243"/>
      <c r="I2" s="243"/>
      <c r="J2" s="120"/>
    </row>
    <row r="3" spans="1:10" ht="13.5" thickBot="1" x14ac:dyDescent="0.25">
      <c r="B3" s="250"/>
      <c r="C3" s="251"/>
      <c r="D3" s="251"/>
      <c r="E3" s="251"/>
      <c r="F3" s="251"/>
      <c r="G3" s="251"/>
      <c r="H3" s="251"/>
      <c r="I3" s="251"/>
      <c r="J3" s="121"/>
    </row>
    <row r="4" spans="1:10" s="124" customFormat="1" ht="11.25" x14ac:dyDescent="0.15">
      <c r="A4" s="91"/>
      <c r="B4" s="122" t="s">
        <v>0</v>
      </c>
      <c r="C4" s="93" t="s">
        <v>1</v>
      </c>
      <c r="D4" s="94" t="s">
        <v>2</v>
      </c>
      <c r="E4" s="93" t="s">
        <v>3</v>
      </c>
      <c r="F4" s="94" t="s">
        <v>4</v>
      </c>
      <c r="G4" s="94" t="s">
        <v>5</v>
      </c>
      <c r="H4" s="92" t="s">
        <v>6</v>
      </c>
      <c r="I4" s="95" t="s">
        <v>7</v>
      </c>
      <c r="J4" s="123"/>
    </row>
    <row r="5" spans="1:10" x14ac:dyDescent="0.2">
      <c r="A5" s="100"/>
      <c r="B5" s="125"/>
      <c r="C5" s="126"/>
      <c r="D5" s="101"/>
      <c r="E5" s="126"/>
      <c r="F5" s="101"/>
      <c r="G5" s="101"/>
      <c r="H5" s="127"/>
      <c r="I5" s="112"/>
      <c r="J5" s="121"/>
    </row>
    <row r="6" spans="1:10" x14ac:dyDescent="0.2">
      <c r="A6" s="98" t="str">
        <f>TEXT((WEEKDAY(TEXT(B6,"TT")&amp;"."&amp;$A$2&amp;"."&amp;$C$2)),"TTT")</f>
        <v>Mi</v>
      </c>
      <c r="B6" s="128">
        <f>DATE(Saldo!$A$1,7,1)</f>
        <v>44013</v>
      </c>
      <c r="C6" s="60"/>
      <c r="D6" s="61"/>
      <c r="E6" s="60"/>
      <c r="F6" s="61"/>
      <c r="G6" s="70"/>
      <c r="H6" s="107">
        <f t="shared" ref="H6:H23" si="0">(D6-C6)+(F6-E6)+G6</f>
        <v>0</v>
      </c>
      <c r="I6" s="111"/>
      <c r="J6" s="131"/>
    </row>
    <row r="7" spans="1:10" x14ac:dyDescent="0.2">
      <c r="A7" s="98" t="str">
        <f t="shared" ref="A7:A36" si="1">TEXT((WEEKDAY(TEXT(B7,"TT")&amp;"."&amp;$A$2&amp;"."&amp;$C$2)),"TTT")</f>
        <v>Do</v>
      </c>
      <c r="B7" s="128">
        <f>DATE(Saldo!$A$1,7,2)</f>
        <v>44014</v>
      </c>
      <c r="C7" s="60"/>
      <c r="D7" s="61"/>
      <c r="E7" s="60"/>
      <c r="F7" s="61"/>
      <c r="G7" s="70"/>
      <c r="H7" s="107">
        <f t="shared" si="0"/>
        <v>0</v>
      </c>
      <c r="I7" s="112"/>
      <c r="J7" s="131"/>
    </row>
    <row r="8" spans="1:10" x14ac:dyDescent="0.2">
      <c r="A8" s="98" t="str">
        <f t="shared" si="1"/>
        <v>Fr</v>
      </c>
      <c r="B8" s="128">
        <f>DATE(Saldo!$A$1,7,3)</f>
        <v>44015</v>
      </c>
      <c r="C8" s="60"/>
      <c r="D8" s="61"/>
      <c r="E8" s="60"/>
      <c r="F8" s="61"/>
      <c r="G8" s="70"/>
      <c r="H8" s="107">
        <f t="shared" si="0"/>
        <v>0</v>
      </c>
      <c r="I8" s="112"/>
      <c r="J8" s="131"/>
    </row>
    <row r="9" spans="1:10" x14ac:dyDescent="0.2">
      <c r="A9" s="98" t="str">
        <f t="shared" si="1"/>
        <v>Sa</v>
      </c>
      <c r="B9" s="128">
        <f>DATE(Saldo!$A$1,7,4)</f>
        <v>44016</v>
      </c>
      <c r="C9" s="60"/>
      <c r="D9" s="61"/>
      <c r="E9" s="60"/>
      <c r="F9" s="61"/>
      <c r="G9" s="69"/>
      <c r="H9" s="107">
        <f t="shared" si="0"/>
        <v>0</v>
      </c>
      <c r="I9" s="112"/>
      <c r="J9" s="121"/>
    </row>
    <row r="10" spans="1:10" x14ac:dyDescent="0.2">
      <c r="A10" s="98" t="str">
        <f t="shared" si="1"/>
        <v>So</v>
      </c>
      <c r="B10" s="128">
        <f>DATE(Saldo!$A$1,7,5)</f>
        <v>44017</v>
      </c>
      <c r="C10" s="60"/>
      <c r="D10" s="61"/>
      <c r="E10" s="60"/>
      <c r="F10" s="61"/>
      <c r="G10" s="69"/>
      <c r="H10" s="107">
        <f t="shared" si="0"/>
        <v>0</v>
      </c>
      <c r="I10" s="112"/>
      <c r="J10" s="121"/>
    </row>
    <row r="11" spans="1:10" x14ac:dyDescent="0.2">
      <c r="A11" s="98" t="str">
        <f t="shared" si="1"/>
        <v>Mo</v>
      </c>
      <c r="B11" s="128">
        <f>DATE(Saldo!$A$1,7,6)</f>
        <v>44018</v>
      </c>
      <c r="C11" s="60"/>
      <c r="D11" s="61"/>
      <c r="E11" s="60"/>
      <c r="F11" s="61"/>
      <c r="G11" s="69"/>
      <c r="H11" s="107">
        <f t="shared" si="0"/>
        <v>0</v>
      </c>
      <c r="I11" s="112"/>
      <c r="J11" s="131"/>
    </row>
    <row r="12" spans="1:10" x14ac:dyDescent="0.2">
      <c r="A12" s="98" t="str">
        <f t="shared" si="1"/>
        <v>Di</v>
      </c>
      <c r="B12" s="128">
        <f>DATE(Saldo!$A$1,7,7)</f>
        <v>44019</v>
      </c>
      <c r="C12" s="60"/>
      <c r="D12" s="61"/>
      <c r="E12" s="60"/>
      <c r="F12" s="61"/>
      <c r="G12" s="69"/>
      <c r="H12" s="107">
        <f t="shared" si="0"/>
        <v>0</v>
      </c>
      <c r="I12" s="112"/>
      <c r="J12" s="131"/>
    </row>
    <row r="13" spans="1:10" x14ac:dyDescent="0.2">
      <c r="A13" s="98" t="str">
        <f t="shared" si="1"/>
        <v>Mi</v>
      </c>
      <c r="B13" s="128">
        <f>DATE(Saldo!$A$1,7,8)</f>
        <v>44020</v>
      </c>
      <c r="C13" s="60"/>
      <c r="D13" s="61"/>
      <c r="E13" s="60"/>
      <c r="F13" s="61"/>
      <c r="G13" s="69"/>
      <c r="H13" s="107">
        <f t="shared" si="0"/>
        <v>0</v>
      </c>
      <c r="I13" s="112"/>
      <c r="J13" s="131"/>
    </row>
    <row r="14" spans="1:10" x14ac:dyDescent="0.2">
      <c r="A14" s="98" t="str">
        <f t="shared" si="1"/>
        <v>Do</v>
      </c>
      <c r="B14" s="128">
        <f>DATE(Saldo!$A$1,7,9)</f>
        <v>44021</v>
      </c>
      <c r="C14" s="60"/>
      <c r="D14" s="61"/>
      <c r="E14" s="60"/>
      <c r="F14" s="61"/>
      <c r="G14" s="68"/>
      <c r="H14" s="107">
        <f t="shared" si="0"/>
        <v>0</v>
      </c>
      <c r="I14" s="112"/>
      <c r="J14" s="131"/>
    </row>
    <row r="15" spans="1:10" x14ac:dyDescent="0.2">
      <c r="A15" s="98" t="str">
        <f t="shared" si="1"/>
        <v>Fr</v>
      </c>
      <c r="B15" s="128">
        <f>DATE(Saldo!$A$1,7,10)</f>
        <v>44022</v>
      </c>
      <c r="C15" s="60"/>
      <c r="D15" s="61"/>
      <c r="E15" s="60"/>
      <c r="F15" s="61"/>
      <c r="G15" s="68"/>
      <c r="H15" s="107">
        <f t="shared" si="0"/>
        <v>0</v>
      </c>
      <c r="I15" s="112"/>
      <c r="J15" s="131"/>
    </row>
    <row r="16" spans="1:10" x14ac:dyDescent="0.2">
      <c r="A16" s="98" t="str">
        <f t="shared" si="1"/>
        <v>Sa</v>
      </c>
      <c r="B16" s="128">
        <f>DATE(Saldo!$A$1,7,11)</f>
        <v>44023</v>
      </c>
      <c r="C16" s="60"/>
      <c r="D16" s="61"/>
      <c r="E16" s="60"/>
      <c r="F16" s="61"/>
      <c r="G16" s="69"/>
      <c r="H16" s="107">
        <f t="shared" si="0"/>
        <v>0</v>
      </c>
      <c r="I16" s="112"/>
      <c r="J16" s="121"/>
    </row>
    <row r="17" spans="1:10" x14ac:dyDescent="0.2">
      <c r="A17" s="98" t="str">
        <f t="shared" si="1"/>
        <v>So</v>
      </c>
      <c r="B17" s="128">
        <f>DATE(Saldo!$A$1,7,12)</f>
        <v>44024</v>
      </c>
      <c r="C17" s="60"/>
      <c r="D17" s="61"/>
      <c r="E17" s="60"/>
      <c r="F17" s="61"/>
      <c r="G17" s="69"/>
      <c r="H17" s="107">
        <f t="shared" si="0"/>
        <v>0</v>
      </c>
      <c r="I17" s="112"/>
      <c r="J17" s="121"/>
    </row>
    <row r="18" spans="1:10" x14ac:dyDescent="0.2">
      <c r="A18" s="98" t="str">
        <f t="shared" si="1"/>
        <v>Mo</v>
      </c>
      <c r="B18" s="128">
        <f>DATE(Saldo!$A$1,7,13)</f>
        <v>44025</v>
      </c>
      <c r="C18" s="60"/>
      <c r="D18" s="61"/>
      <c r="E18" s="60"/>
      <c r="F18" s="61"/>
      <c r="G18" s="69"/>
      <c r="H18" s="107">
        <f t="shared" si="0"/>
        <v>0</v>
      </c>
      <c r="I18" s="112"/>
      <c r="J18" s="131"/>
    </row>
    <row r="19" spans="1:10" x14ac:dyDescent="0.2">
      <c r="A19" s="98" t="str">
        <f t="shared" si="1"/>
        <v>Di</v>
      </c>
      <c r="B19" s="128">
        <f>DATE(Saldo!$A$1,7,14)</f>
        <v>44026</v>
      </c>
      <c r="C19" s="60"/>
      <c r="D19" s="61"/>
      <c r="E19" s="60"/>
      <c r="F19" s="61"/>
      <c r="G19" s="69"/>
      <c r="H19" s="107">
        <f>(D19-C19)+(F19-E19)+G19</f>
        <v>0</v>
      </c>
      <c r="I19" s="112"/>
      <c r="J19" s="131"/>
    </row>
    <row r="20" spans="1:10" x14ac:dyDescent="0.2">
      <c r="A20" s="98" t="str">
        <f t="shared" si="1"/>
        <v>Mi</v>
      </c>
      <c r="B20" s="128">
        <f>DATE(Saldo!$A$1,7,15)</f>
        <v>44027</v>
      </c>
      <c r="C20" s="60"/>
      <c r="D20" s="61"/>
      <c r="E20" s="60"/>
      <c r="F20" s="61"/>
      <c r="G20" s="69"/>
      <c r="H20" s="107">
        <f t="shared" si="0"/>
        <v>0</v>
      </c>
      <c r="I20" s="112"/>
      <c r="J20" s="131"/>
    </row>
    <row r="21" spans="1:10" x14ac:dyDescent="0.2">
      <c r="A21" s="98" t="str">
        <f t="shared" si="1"/>
        <v>Do</v>
      </c>
      <c r="B21" s="128">
        <f>DATE(Saldo!$A$1,7,16)</f>
        <v>44028</v>
      </c>
      <c r="C21" s="60"/>
      <c r="D21" s="61"/>
      <c r="E21" s="60"/>
      <c r="F21" s="61"/>
      <c r="G21" s="68"/>
      <c r="H21" s="107">
        <f t="shared" si="0"/>
        <v>0</v>
      </c>
      <c r="I21" s="112"/>
      <c r="J21" s="131"/>
    </row>
    <row r="22" spans="1:10" x14ac:dyDescent="0.2">
      <c r="A22" s="98" t="str">
        <f t="shared" si="1"/>
        <v>Fr</v>
      </c>
      <c r="B22" s="128">
        <f>DATE(Saldo!$A$1,7,17)</f>
        <v>44029</v>
      </c>
      <c r="C22" s="60"/>
      <c r="D22" s="61"/>
      <c r="E22" s="60"/>
      <c r="F22" s="61"/>
      <c r="G22" s="68"/>
      <c r="H22" s="107">
        <f t="shared" si="0"/>
        <v>0</v>
      </c>
      <c r="I22" s="133"/>
      <c r="J22" s="131"/>
    </row>
    <row r="23" spans="1:10" x14ac:dyDescent="0.2">
      <c r="A23" s="98" t="str">
        <f t="shared" si="1"/>
        <v>Sa</v>
      </c>
      <c r="B23" s="128">
        <f>DATE(Saldo!$A$1,7,18)</f>
        <v>44030</v>
      </c>
      <c r="C23" s="60"/>
      <c r="D23" s="61"/>
      <c r="E23" s="60"/>
      <c r="F23" s="61"/>
      <c r="G23" s="69"/>
      <c r="H23" s="107">
        <f t="shared" si="0"/>
        <v>0</v>
      </c>
      <c r="I23" s="112"/>
      <c r="J23" s="121"/>
    </row>
    <row r="24" spans="1:10" x14ac:dyDescent="0.2">
      <c r="A24" s="98" t="str">
        <f t="shared" si="1"/>
        <v>So</v>
      </c>
      <c r="B24" s="128">
        <f>DATE(Saldo!$A$1,7,19)</f>
        <v>44031</v>
      </c>
      <c r="C24" s="60"/>
      <c r="D24" s="61"/>
      <c r="E24" s="60"/>
      <c r="F24" s="61"/>
      <c r="G24" s="69"/>
      <c r="H24" s="107">
        <f t="shared" ref="H24:H36" si="2">(D24-C24)+(F24-E24)+G24</f>
        <v>0</v>
      </c>
      <c r="I24" s="112"/>
      <c r="J24" s="158"/>
    </row>
    <row r="25" spans="1:10" x14ac:dyDescent="0.2">
      <c r="A25" s="98" t="str">
        <f t="shared" si="1"/>
        <v>Mo</v>
      </c>
      <c r="B25" s="128">
        <f>DATE(Saldo!$A$1,7,20)</f>
        <v>44032</v>
      </c>
      <c r="C25" s="60"/>
      <c r="D25" s="61"/>
      <c r="E25" s="60"/>
      <c r="F25" s="61"/>
      <c r="G25" s="69"/>
      <c r="H25" s="107">
        <f t="shared" si="2"/>
        <v>0</v>
      </c>
      <c r="I25" s="112"/>
      <c r="J25" s="131"/>
    </row>
    <row r="26" spans="1:10" x14ac:dyDescent="0.2">
      <c r="A26" s="98" t="str">
        <f t="shared" si="1"/>
        <v>Di</v>
      </c>
      <c r="B26" s="128">
        <f>DATE(Saldo!$A$1,7,21)</f>
        <v>44033</v>
      </c>
      <c r="C26" s="60"/>
      <c r="D26" s="61"/>
      <c r="E26" s="60"/>
      <c r="F26" s="61"/>
      <c r="G26" s="69"/>
      <c r="H26" s="107">
        <f>(D26-C26)+(F26-E26)+G26</f>
        <v>0</v>
      </c>
      <c r="I26" s="112"/>
      <c r="J26" s="131"/>
    </row>
    <row r="27" spans="1:10" x14ac:dyDescent="0.2">
      <c r="A27" s="98" t="str">
        <f t="shared" si="1"/>
        <v>Mi</v>
      </c>
      <c r="B27" s="128">
        <f>DATE(Saldo!$A$1,7,22)</f>
        <v>44034</v>
      </c>
      <c r="C27" s="60"/>
      <c r="D27" s="61"/>
      <c r="E27" s="60"/>
      <c r="F27" s="61"/>
      <c r="G27" s="69"/>
      <c r="H27" s="107">
        <f t="shared" si="2"/>
        <v>0</v>
      </c>
      <c r="I27" s="112"/>
      <c r="J27" s="131"/>
    </row>
    <row r="28" spans="1:10" x14ac:dyDescent="0.2">
      <c r="A28" s="98" t="str">
        <f t="shared" si="1"/>
        <v>Do</v>
      </c>
      <c r="B28" s="128">
        <f>DATE(Saldo!$A$1,7,23)</f>
        <v>44035</v>
      </c>
      <c r="C28" s="60"/>
      <c r="D28" s="61"/>
      <c r="E28" s="60"/>
      <c r="F28" s="61"/>
      <c r="G28" s="68"/>
      <c r="H28" s="107">
        <f t="shared" si="2"/>
        <v>0</v>
      </c>
      <c r="I28" s="112"/>
      <c r="J28" s="131"/>
    </row>
    <row r="29" spans="1:10" x14ac:dyDescent="0.2">
      <c r="A29" s="98" t="str">
        <f t="shared" si="1"/>
        <v>Fr</v>
      </c>
      <c r="B29" s="128">
        <f>DATE(Saldo!$A$1,7,24)</f>
        <v>44036</v>
      </c>
      <c r="C29" s="60"/>
      <c r="D29" s="61"/>
      <c r="E29" s="60"/>
      <c r="F29" s="61"/>
      <c r="G29" s="68"/>
      <c r="H29" s="107">
        <f t="shared" si="2"/>
        <v>0</v>
      </c>
      <c r="I29" s="112"/>
      <c r="J29" s="131"/>
    </row>
    <row r="30" spans="1:10" x14ac:dyDescent="0.2">
      <c r="A30" s="98" t="str">
        <f t="shared" si="1"/>
        <v>Sa</v>
      </c>
      <c r="B30" s="128">
        <f>DATE(Saldo!$A$1,7,25)</f>
        <v>44037</v>
      </c>
      <c r="C30" s="60"/>
      <c r="D30" s="61"/>
      <c r="E30" s="60"/>
      <c r="F30" s="61"/>
      <c r="G30" s="69"/>
      <c r="H30" s="107">
        <f t="shared" si="2"/>
        <v>0</v>
      </c>
      <c r="I30" s="112"/>
      <c r="J30" s="134"/>
    </row>
    <row r="31" spans="1:10" x14ac:dyDescent="0.2">
      <c r="A31" s="98" t="str">
        <f t="shared" si="1"/>
        <v>So</v>
      </c>
      <c r="B31" s="128">
        <f>DATE(Saldo!$A$1,7,26)</f>
        <v>44038</v>
      </c>
      <c r="C31" s="60"/>
      <c r="D31" s="61"/>
      <c r="E31" s="60"/>
      <c r="F31" s="61"/>
      <c r="G31" s="69"/>
      <c r="H31" s="107">
        <f t="shared" si="2"/>
        <v>0</v>
      </c>
      <c r="I31" s="112"/>
      <c r="J31" s="134"/>
    </row>
    <row r="32" spans="1:10" x14ac:dyDescent="0.2">
      <c r="A32" s="98" t="str">
        <f t="shared" si="1"/>
        <v>Mo</v>
      </c>
      <c r="B32" s="128">
        <f>DATE(Saldo!$A$1,7,27)</f>
        <v>44039</v>
      </c>
      <c r="C32" s="60"/>
      <c r="D32" s="61"/>
      <c r="E32" s="60"/>
      <c r="F32" s="61"/>
      <c r="G32" s="69"/>
      <c r="H32" s="107">
        <f t="shared" si="2"/>
        <v>0</v>
      </c>
      <c r="I32" s="112"/>
      <c r="J32" s="131"/>
    </row>
    <row r="33" spans="1:10" x14ac:dyDescent="0.2">
      <c r="A33" s="98" t="str">
        <f t="shared" si="1"/>
        <v>Di</v>
      </c>
      <c r="B33" s="128">
        <f>DATE(Saldo!$A$1,7,28)</f>
        <v>44040</v>
      </c>
      <c r="C33" s="60"/>
      <c r="D33" s="61"/>
      <c r="E33" s="60"/>
      <c r="F33" s="61"/>
      <c r="G33" s="69"/>
      <c r="H33" s="107">
        <f>(D33-C33)+(F33-E33)+G33</f>
        <v>0</v>
      </c>
      <c r="I33" s="112"/>
      <c r="J33" s="131"/>
    </row>
    <row r="34" spans="1:10" x14ac:dyDescent="0.2">
      <c r="A34" s="98" t="str">
        <f t="shared" si="1"/>
        <v>Mi</v>
      </c>
      <c r="B34" s="128">
        <f>DATE(Saldo!$A$1,7,29)</f>
        <v>44041</v>
      </c>
      <c r="C34" s="60"/>
      <c r="D34" s="61"/>
      <c r="E34" s="60"/>
      <c r="F34" s="61"/>
      <c r="G34" s="69"/>
      <c r="H34" s="107">
        <f t="shared" si="2"/>
        <v>0</v>
      </c>
      <c r="I34" s="112"/>
      <c r="J34" s="131"/>
    </row>
    <row r="35" spans="1:10" x14ac:dyDescent="0.2">
      <c r="A35" s="98" t="str">
        <f t="shared" si="1"/>
        <v>Do</v>
      </c>
      <c r="B35" s="128">
        <f>DATE(Saldo!$A$1,7,30)</f>
        <v>44042</v>
      </c>
      <c r="C35" s="60"/>
      <c r="D35" s="61"/>
      <c r="E35" s="60"/>
      <c r="F35" s="61"/>
      <c r="G35" s="68"/>
      <c r="H35" s="107">
        <f t="shared" si="2"/>
        <v>0</v>
      </c>
      <c r="I35" s="112"/>
      <c r="J35" s="131"/>
    </row>
    <row r="36" spans="1:10" x14ac:dyDescent="0.2">
      <c r="A36" s="98" t="str">
        <f t="shared" si="1"/>
        <v>Fr</v>
      </c>
      <c r="B36" s="128">
        <f>DATE(Saldo!$A$1,7,31)</f>
        <v>44043</v>
      </c>
      <c r="C36" s="60"/>
      <c r="D36" s="61"/>
      <c r="E36" s="60"/>
      <c r="F36" s="61"/>
      <c r="G36" s="68"/>
      <c r="H36" s="107">
        <f t="shared" si="2"/>
        <v>0</v>
      </c>
      <c r="I36" s="112"/>
      <c r="J36" s="131"/>
    </row>
    <row r="37" spans="1:10" x14ac:dyDescent="0.2">
      <c r="A37" s="100"/>
      <c r="B37" s="125"/>
      <c r="C37" s="107"/>
      <c r="D37" s="129"/>
      <c r="E37" s="107"/>
      <c r="F37" s="129"/>
      <c r="G37" s="135"/>
      <c r="H37" s="107"/>
      <c r="I37" s="112"/>
      <c r="J37" s="153"/>
    </row>
    <row r="38" spans="1:10" s="142" customFormat="1" ht="18.75" thickBot="1" x14ac:dyDescent="0.3">
      <c r="A38" s="102"/>
      <c r="B38" s="160" t="s">
        <v>10</v>
      </c>
      <c r="C38" s="107"/>
      <c r="D38" s="129"/>
      <c r="E38" s="107"/>
      <c r="F38" s="129"/>
      <c r="G38" s="161" t="s">
        <v>11</v>
      </c>
      <c r="H38" s="162">
        <f>SUM(H6:H37)</f>
        <v>0</v>
      </c>
      <c r="I38" s="112"/>
      <c r="J38" s="134"/>
    </row>
    <row r="39" spans="1:10" ht="13.5" thickBot="1" x14ac:dyDescent="0.25">
      <c r="A39" s="100"/>
      <c r="B39" s="143"/>
      <c r="C39" s="106"/>
      <c r="D39" s="97"/>
      <c r="E39" s="144"/>
      <c r="F39" s="97"/>
      <c r="G39" s="145" t="s">
        <v>12</v>
      </c>
      <c r="H39" s="114">
        <f>Monatssaldi!B12</f>
        <v>9.5833333333333339</v>
      </c>
      <c r="I39" s="146" t="s">
        <v>13</v>
      </c>
      <c r="J39" s="141"/>
    </row>
    <row r="40" spans="1:10" ht="13.5" thickBot="1" x14ac:dyDescent="0.25">
      <c r="A40" s="104"/>
      <c r="B40" s="147"/>
      <c r="C40" s="148"/>
      <c r="D40" s="149"/>
      <c r="E40" s="150"/>
      <c r="F40" s="260" t="s">
        <v>40</v>
      </c>
      <c r="G40" s="261"/>
      <c r="H40" s="117" t="str">
        <f>IF(H38&gt;$H$39,H38-$H$39,"")</f>
        <v/>
      </c>
      <c r="I40" s="116">
        <f>IF(H38&lt;$H$39,$H$39-H38,"")</f>
        <v>9.5833333333333339</v>
      </c>
      <c r="J40" s="141"/>
    </row>
    <row r="41" spans="1:10" ht="12.75" customHeight="1" x14ac:dyDescent="0.2">
      <c r="B41" s="253" t="s">
        <v>14</v>
      </c>
      <c r="C41" s="254"/>
      <c r="D41" s="254"/>
      <c r="E41" s="254"/>
      <c r="F41" s="254"/>
      <c r="G41" s="254"/>
      <c r="H41" s="254"/>
      <c r="I41" s="255"/>
      <c r="J41" s="141"/>
    </row>
    <row r="42" spans="1:10" x14ac:dyDescent="0.2">
      <c r="B42" s="256"/>
      <c r="C42" s="257"/>
      <c r="D42" s="257"/>
      <c r="E42" s="257"/>
      <c r="F42" s="257"/>
      <c r="G42" s="257"/>
      <c r="H42" s="257"/>
      <c r="I42" s="258"/>
      <c r="J42" s="141"/>
    </row>
    <row r="43" spans="1:10" x14ac:dyDescent="0.2">
      <c r="A43" s="121"/>
      <c r="C43" s="142"/>
      <c r="J43" s="141"/>
    </row>
    <row r="44" spans="1:10" x14ac:dyDescent="0.2">
      <c r="A44" s="121"/>
      <c r="C44" s="142"/>
      <c r="J44" s="141"/>
    </row>
    <row r="45" spans="1:10" x14ac:dyDescent="0.2">
      <c r="A45" s="121"/>
      <c r="C45" s="142"/>
      <c r="J45" s="141"/>
    </row>
    <row r="46" spans="1:10" x14ac:dyDescent="0.2">
      <c r="A46" s="121"/>
      <c r="C46" s="142"/>
      <c r="J46" s="141"/>
    </row>
    <row r="47" spans="1:10" x14ac:dyDescent="0.2">
      <c r="A47" s="121"/>
      <c r="C47" s="142"/>
      <c r="J47" s="141"/>
    </row>
    <row r="48" spans="1:10" x14ac:dyDescent="0.2">
      <c r="A48" s="121"/>
      <c r="C48" s="142"/>
      <c r="J48" s="141"/>
    </row>
    <row r="49" spans="1:10" x14ac:dyDescent="0.2">
      <c r="A49" s="121"/>
      <c r="C49" s="142"/>
      <c r="J49" s="141"/>
    </row>
    <row r="50" spans="1:10" x14ac:dyDescent="0.2">
      <c r="C50" s="142"/>
      <c r="J50" s="141"/>
    </row>
    <row r="51" spans="1:10" x14ac:dyDescent="0.2">
      <c r="C51" s="142"/>
      <c r="J51" s="141"/>
    </row>
    <row r="52" spans="1:10" x14ac:dyDescent="0.2">
      <c r="C52" s="142"/>
      <c r="J52" s="141"/>
    </row>
    <row r="53" spans="1:10" x14ac:dyDescent="0.2">
      <c r="C53" s="142"/>
      <c r="J53" s="141"/>
    </row>
    <row r="54" spans="1:10" x14ac:dyDescent="0.2">
      <c r="C54" s="142"/>
      <c r="J54" s="141"/>
    </row>
    <row r="55" spans="1:10" x14ac:dyDescent="0.2">
      <c r="C55" s="142"/>
      <c r="J55" s="141"/>
    </row>
    <row r="56" spans="1:10" x14ac:dyDescent="0.2">
      <c r="C56" s="142"/>
      <c r="J56" s="141"/>
    </row>
    <row r="57" spans="1:10" x14ac:dyDescent="0.2">
      <c r="J57" s="142"/>
    </row>
    <row r="58" spans="1:10" ht="15" x14ac:dyDescent="0.2">
      <c r="C58" s="151"/>
      <c r="D58" s="142"/>
      <c r="E58" s="142"/>
      <c r="F58" s="142"/>
      <c r="G58" s="142"/>
      <c r="H58" s="142"/>
      <c r="J58" s="141"/>
    </row>
  </sheetData>
  <sheetProtection algorithmName="SHA-512" hashValue="lKC622dA/WMt6li6sayrbPjm6RM7UlFFFIob69qtJqp3tOLJS2ZBpyHmyp/OgRf4kCjC/pYDx2ada+wyBt5gjw==" saltValue="T0IsvE3XO8CUJulFT6cnfw==" spinCount="100000" sheet="1" objects="1" scenarios="1" selectLockedCells="1"/>
  <mergeCells count="5">
    <mergeCell ref="B41:I42"/>
    <mergeCell ref="G2:I2"/>
    <mergeCell ref="B3:I3"/>
    <mergeCell ref="F40:G40"/>
    <mergeCell ref="A2:B2"/>
  </mergeCells>
  <phoneticPr fontId="0" type="noConversion"/>
  <conditionalFormatting sqref="A6:I36">
    <cfRule type="expression" dxfId="23" priority="1">
      <formula>AND($I6 &lt;&gt; "",$A6 &lt;&gt; "So",$A6&lt;&gt;"Sa")</formula>
    </cfRule>
    <cfRule type="expression" dxfId="22" priority="2">
      <formula>$I6&lt;&gt; ""</formula>
    </cfRule>
    <cfRule type="expression" dxfId="21" priority="3">
      <formula>$A6 ="So"</formula>
    </cfRule>
    <cfRule type="expression" dxfId="20" priority="4">
      <formula>$A6 = "Sa"</formula>
    </cfRule>
  </conditionalFormatting>
  <pageMargins left="0.78740157480314965" right="0.39370078740157483" top="0.98425196850393704" bottom="0.98425196850393704" header="0.51181102362204722" footer="0.51181102362204722"/>
  <pageSetup paperSize="9" orientation="portrait" horizontalDpi="1200" verticalDpi="1200"/>
  <headerFooter alignWithMargins="0">
    <oddHeader>&amp;L&amp;G</oddHeader>
  </headerFooter>
  <legacyDrawingHF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4" workbookViewId="0">
      <selection activeCell="C6" sqref="C6"/>
    </sheetView>
  </sheetViews>
  <sheetFormatPr baseColWidth="10" defaultColWidth="10.83203125" defaultRowHeight="12.75" x14ac:dyDescent="0.2"/>
  <cols>
    <col min="1" max="1" width="5.5" style="87" customWidth="1"/>
    <col min="2" max="2" width="12" style="87" customWidth="1"/>
    <col min="3" max="6" width="8.83203125" style="87" customWidth="1"/>
    <col min="7" max="7" width="11.83203125" style="87" customWidth="1"/>
    <col min="8" max="8" width="11" style="87" customWidth="1"/>
    <col min="9" max="9" width="22.5" style="88" customWidth="1"/>
    <col min="10" max="16384" width="10.83203125" style="87"/>
  </cols>
  <sheetData>
    <row r="1" spans="1:12" ht="15.95" customHeight="1" x14ac:dyDescent="0.2">
      <c r="A1" s="86" t="s">
        <v>54</v>
      </c>
    </row>
    <row r="2" spans="1:12" s="89" customFormat="1" ht="26.1" customHeight="1" x14ac:dyDescent="0.2">
      <c r="A2" s="252" t="s">
        <v>30</v>
      </c>
      <c r="B2" s="252"/>
      <c r="C2" s="120">
        <f>Saldo!A1</f>
        <v>2020</v>
      </c>
      <c r="D2" s="164"/>
      <c r="E2" s="164"/>
      <c r="F2" s="164"/>
      <c r="G2" s="242">
        <f>MA</f>
        <v>0</v>
      </c>
      <c r="H2" s="243"/>
      <c r="I2" s="243"/>
      <c r="J2" s="120"/>
    </row>
    <row r="3" spans="1:12" ht="13.5" thickBot="1" x14ac:dyDescent="0.25">
      <c r="B3" s="250"/>
      <c r="C3" s="251"/>
      <c r="D3" s="251"/>
      <c r="E3" s="251"/>
      <c r="F3" s="251"/>
      <c r="G3" s="251"/>
      <c r="H3" s="251"/>
      <c r="I3" s="251"/>
      <c r="J3" s="121"/>
    </row>
    <row r="4" spans="1:12" s="124" customFormat="1" ht="11.25" x14ac:dyDescent="0.15">
      <c r="A4" s="91"/>
      <c r="B4" s="122" t="s">
        <v>0</v>
      </c>
      <c r="C4" s="93" t="s">
        <v>1</v>
      </c>
      <c r="D4" s="94" t="s">
        <v>2</v>
      </c>
      <c r="E4" s="93" t="s">
        <v>3</v>
      </c>
      <c r="F4" s="94" t="s">
        <v>4</v>
      </c>
      <c r="G4" s="94" t="s">
        <v>5</v>
      </c>
      <c r="H4" s="92" t="s">
        <v>6</v>
      </c>
      <c r="I4" s="95" t="s">
        <v>7</v>
      </c>
      <c r="J4" s="123"/>
    </row>
    <row r="5" spans="1:12" x14ac:dyDescent="0.2">
      <c r="A5" s="100"/>
      <c r="B5" s="125"/>
      <c r="C5" s="126"/>
      <c r="D5" s="101"/>
      <c r="E5" s="126"/>
      <c r="F5" s="101"/>
      <c r="G5" s="101"/>
      <c r="H5" s="127"/>
      <c r="I5" s="112"/>
      <c r="J5" s="121"/>
      <c r="K5" s="121"/>
    </row>
    <row r="6" spans="1:12" s="121" customFormat="1" x14ac:dyDescent="0.2">
      <c r="A6" s="98" t="str">
        <f>TEXT((WEEKDAY(TEXT(B6,"TT")&amp;"."&amp;$A$2&amp;"."&amp;$C$2)),"TTT")</f>
        <v>Sa</v>
      </c>
      <c r="B6" s="128">
        <f>DATE(Saldo!$A$1,8,1)</f>
        <v>44044</v>
      </c>
      <c r="C6" s="60"/>
      <c r="D6" s="61"/>
      <c r="E6" s="60"/>
      <c r="F6" s="61"/>
      <c r="G6" s="61"/>
      <c r="H6" s="107">
        <f t="shared" ref="H6:H23" si="0">(D6-C6)+(F6-E6)+G6</f>
        <v>0</v>
      </c>
      <c r="I6" s="111">
        <v>42583</v>
      </c>
    </row>
    <row r="7" spans="1:12" x14ac:dyDescent="0.2">
      <c r="A7" s="98" t="str">
        <f t="shared" ref="A7:A36" si="1">TEXT((WEEKDAY(TEXT(B7,"TT")&amp;"."&amp;$A$2&amp;"."&amp;$C$2)),"TTT")</f>
        <v>So</v>
      </c>
      <c r="B7" s="128">
        <f>DATE(Saldo!$A$1,8,2)</f>
        <v>44045</v>
      </c>
      <c r="C7" s="60"/>
      <c r="D7" s="61"/>
      <c r="E7" s="60"/>
      <c r="F7" s="61"/>
      <c r="G7" s="69"/>
      <c r="H7" s="107">
        <f t="shared" si="0"/>
        <v>0</v>
      </c>
      <c r="I7" s="112"/>
      <c r="J7" s="165"/>
      <c r="K7" s="121"/>
    </row>
    <row r="8" spans="1:12" x14ac:dyDescent="0.2">
      <c r="A8" s="98" t="str">
        <f t="shared" si="1"/>
        <v>Mo</v>
      </c>
      <c r="B8" s="128">
        <f>DATE(Saldo!$A$1,8,3)</f>
        <v>44046</v>
      </c>
      <c r="C8" s="60"/>
      <c r="D8" s="61"/>
      <c r="E8" s="60"/>
      <c r="F8" s="61"/>
      <c r="G8" s="69"/>
      <c r="H8" s="107">
        <f t="shared" si="0"/>
        <v>0</v>
      </c>
      <c r="I8" s="112"/>
      <c r="J8" s="131"/>
      <c r="K8" s="121"/>
    </row>
    <row r="9" spans="1:12" x14ac:dyDescent="0.2">
      <c r="A9" s="98" t="str">
        <f t="shared" si="1"/>
        <v>Di</v>
      </c>
      <c r="B9" s="128">
        <f>DATE(Saldo!$A$1,8,4)</f>
        <v>44047</v>
      </c>
      <c r="C9" s="60"/>
      <c r="D9" s="61"/>
      <c r="E9" s="60"/>
      <c r="F9" s="61"/>
      <c r="G9" s="69"/>
      <c r="H9" s="107">
        <f>(D9-C9)+(F9-E9)+G9</f>
        <v>0</v>
      </c>
      <c r="I9" s="112"/>
      <c r="J9" s="131"/>
      <c r="K9" s="121"/>
    </row>
    <row r="10" spans="1:12" x14ac:dyDescent="0.2">
      <c r="A10" s="98" t="str">
        <f t="shared" si="1"/>
        <v>Mi</v>
      </c>
      <c r="B10" s="128">
        <f>DATE(Saldo!$A$1,8,5)</f>
        <v>44048</v>
      </c>
      <c r="C10" s="60"/>
      <c r="D10" s="61"/>
      <c r="E10" s="60"/>
      <c r="F10" s="61"/>
      <c r="G10" s="69"/>
      <c r="H10" s="107">
        <f t="shared" si="0"/>
        <v>0</v>
      </c>
      <c r="I10" s="112"/>
      <c r="J10" s="131"/>
      <c r="K10" s="121"/>
    </row>
    <row r="11" spans="1:12" x14ac:dyDescent="0.2">
      <c r="A11" s="98" t="str">
        <f t="shared" si="1"/>
        <v>Do</v>
      </c>
      <c r="B11" s="128">
        <f>DATE(Saldo!$A$1,8,6)</f>
        <v>44049</v>
      </c>
      <c r="C11" s="60"/>
      <c r="D11" s="61"/>
      <c r="E11" s="60"/>
      <c r="F11" s="61"/>
      <c r="G11" s="69"/>
      <c r="H11" s="107">
        <f t="shared" si="0"/>
        <v>0</v>
      </c>
      <c r="I11" s="112"/>
      <c r="J11" s="131"/>
      <c r="K11" s="121"/>
    </row>
    <row r="12" spans="1:12" x14ac:dyDescent="0.2">
      <c r="A12" s="98" t="str">
        <f t="shared" si="1"/>
        <v>Fr</v>
      </c>
      <c r="B12" s="128">
        <f>DATE(Saldo!$A$1,8,7)</f>
        <v>44050</v>
      </c>
      <c r="C12" s="60"/>
      <c r="D12" s="61"/>
      <c r="E12" s="60"/>
      <c r="F12" s="61"/>
      <c r="G12" s="69"/>
      <c r="H12" s="107">
        <f t="shared" si="0"/>
        <v>0</v>
      </c>
      <c r="I12" s="112"/>
      <c r="J12" s="131"/>
      <c r="K12" s="121"/>
    </row>
    <row r="13" spans="1:12" x14ac:dyDescent="0.2">
      <c r="A13" s="98" t="str">
        <f t="shared" si="1"/>
        <v>Sa</v>
      </c>
      <c r="B13" s="128">
        <f>DATE(Saldo!$A$1,8,8)</f>
        <v>44051</v>
      </c>
      <c r="C13" s="60"/>
      <c r="D13" s="61"/>
      <c r="E13" s="60"/>
      <c r="F13" s="61"/>
      <c r="G13" s="69"/>
      <c r="H13" s="107">
        <f t="shared" si="0"/>
        <v>0</v>
      </c>
      <c r="I13" s="112"/>
      <c r="J13" s="121"/>
      <c r="K13" s="121"/>
    </row>
    <row r="14" spans="1:12" x14ac:dyDescent="0.2">
      <c r="A14" s="98" t="str">
        <f t="shared" si="1"/>
        <v>So</v>
      </c>
      <c r="B14" s="128">
        <f>DATE(Saldo!$A$1,8,9)</f>
        <v>44052</v>
      </c>
      <c r="C14" s="60"/>
      <c r="D14" s="61"/>
      <c r="E14" s="60"/>
      <c r="F14" s="61"/>
      <c r="G14" s="69"/>
      <c r="H14" s="107">
        <f t="shared" si="0"/>
        <v>0</v>
      </c>
      <c r="I14" s="112"/>
      <c r="J14" s="121"/>
      <c r="K14" s="121"/>
    </row>
    <row r="15" spans="1:12" x14ac:dyDescent="0.2">
      <c r="A15" s="98" t="str">
        <f t="shared" si="1"/>
        <v>Mo</v>
      </c>
      <c r="B15" s="128">
        <f>DATE(Saldo!$A$1,8,10)</f>
        <v>44053</v>
      </c>
      <c r="C15" s="60"/>
      <c r="D15" s="61"/>
      <c r="E15" s="60"/>
      <c r="F15" s="61"/>
      <c r="G15" s="69"/>
      <c r="H15" s="107">
        <f t="shared" si="0"/>
        <v>0</v>
      </c>
      <c r="I15" s="112"/>
      <c r="J15" s="131"/>
      <c r="K15" s="121"/>
      <c r="L15" s="166"/>
    </row>
    <row r="16" spans="1:12" x14ac:dyDescent="0.2">
      <c r="A16" s="98" t="str">
        <f t="shared" si="1"/>
        <v>Di</v>
      </c>
      <c r="B16" s="128">
        <f>DATE(Saldo!$A$1,8,11)</f>
        <v>44054</v>
      </c>
      <c r="C16" s="60"/>
      <c r="D16" s="61"/>
      <c r="E16" s="60"/>
      <c r="F16" s="61"/>
      <c r="G16" s="69"/>
      <c r="H16" s="107">
        <f>(D16-C16)+(F16-E16)+G16</f>
        <v>0</v>
      </c>
      <c r="I16" s="112"/>
      <c r="J16" s="131"/>
      <c r="K16" s="121"/>
    </row>
    <row r="17" spans="1:14" x14ac:dyDescent="0.2">
      <c r="A17" s="98" t="str">
        <f t="shared" si="1"/>
        <v>Mi</v>
      </c>
      <c r="B17" s="128">
        <f>DATE(Saldo!$A$1,8,12)</f>
        <v>44055</v>
      </c>
      <c r="C17" s="60"/>
      <c r="D17" s="61"/>
      <c r="E17" s="60"/>
      <c r="F17" s="61"/>
      <c r="G17" s="69"/>
      <c r="H17" s="107">
        <f t="shared" si="0"/>
        <v>0</v>
      </c>
      <c r="I17" s="112"/>
      <c r="J17" s="131"/>
      <c r="K17" s="121"/>
    </row>
    <row r="18" spans="1:14" x14ac:dyDescent="0.2">
      <c r="A18" s="98" t="str">
        <f t="shared" si="1"/>
        <v>Do</v>
      </c>
      <c r="B18" s="128">
        <f>DATE(Saldo!$A$1,8,13)</f>
        <v>44056</v>
      </c>
      <c r="C18" s="60"/>
      <c r="D18" s="61"/>
      <c r="E18" s="60"/>
      <c r="F18" s="61"/>
      <c r="G18" s="69"/>
      <c r="H18" s="107">
        <f t="shared" si="0"/>
        <v>0</v>
      </c>
      <c r="I18" s="112"/>
      <c r="J18" s="131"/>
      <c r="K18" s="121"/>
      <c r="N18" s="121"/>
    </row>
    <row r="19" spans="1:14" x14ac:dyDescent="0.2">
      <c r="A19" s="98" t="str">
        <f t="shared" si="1"/>
        <v>Fr</v>
      </c>
      <c r="B19" s="128">
        <f>DATE(Saldo!$A$1,8,14)</f>
        <v>44057</v>
      </c>
      <c r="C19" s="60"/>
      <c r="D19" s="61"/>
      <c r="E19" s="60"/>
      <c r="F19" s="61"/>
      <c r="G19" s="68"/>
      <c r="H19" s="107">
        <f t="shared" si="0"/>
        <v>0</v>
      </c>
      <c r="I19" s="112"/>
      <c r="J19" s="131"/>
      <c r="K19" s="121"/>
    </row>
    <row r="20" spans="1:14" x14ac:dyDescent="0.2">
      <c r="A20" s="98" t="str">
        <f t="shared" si="1"/>
        <v>Sa</v>
      </c>
      <c r="B20" s="128">
        <f>DATE(Saldo!$A$1,8,15)</f>
        <v>44058</v>
      </c>
      <c r="C20" s="60"/>
      <c r="D20" s="61"/>
      <c r="E20" s="60"/>
      <c r="F20" s="61"/>
      <c r="G20" s="69"/>
      <c r="H20" s="107">
        <f t="shared" si="0"/>
        <v>0</v>
      </c>
      <c r="I20" s="112"/>
      <c r="J20" s="121"/>
      <c r="K20" s="121"/>
    </row>
    <row r="21" spans="1:14" x14ac:dyDescent="0.2">
      <c r="A21" s="98" t="str">
        <f t="shared" si="1"/>
        <v>So</v>
      </c>
      <c r="B21" s="128">
        <f>DATE(Saldo!$A$1,8,16)</f>
        <v>44059</v>
      </c>
      <c r="C21" s="60"/>
      <c r="D21" s="61"/>
      <c r="E21" s="60"/>
      <c r="F21" s="61"/>
      <c r="G21" s="69"/>
      <c r="H21" s="107">
        <f t="shared" si="0"/>
        <v>0</v>
      </c>
      <c r="I21" s="112"/>
      <c r="J21" s="121"/>
      <c r="K21" s="121"/>
    </row>
    <row r="22" spans="1:14" x14ac:dyDescent="0.2">
      <c r="A22" s="98" t="str">
        <f t="shared" si="1"/>
        <v>Mo</v>
      </c>
      <c r="B22" s="128">
        <f>DATE(Saldo!$A$1,8,17)</f>
        <v>44060</v>
      </c>
      <c r="C22" s="60"/>
      <c r="D22" s="61"/>
      <c r="E22" s="60"/>
      <c r="F22" s="61"/>
      <c r="G22" s="69"/>
      <c r="H22" s="107">
        <f t="shared" si="0"/>
        <v>0</v>
      </c>
      <c r="I22" s="133"/>
      <c r="J22" s="131"/>
      <c r="K22" s="121"/>
    </row>
    <row r="23" spans="1:14" x14ac:dyDescent="0.2">
      <c r="A23" s="98" t="str">
        <f t="shared" si="1"/>
        <v>Di</v>
      </c>
      <c r="B23" s="128">
        <f>DATE(Saldo!$A$1,8,18)</f>
        <v>44061</v>
      </c>
      <c r="C23" s="60"/>
      <c r="D23" s="61"/>
      <c r="E23" s="60"/>
      <c r="F23" s="61"/>
      <c r="G23" s="69"/>
      <c r="H23" s="107">
        <f t="shared" si="0"/>
        <v>0</v>
      </c>
      <c r="I23" s="112"/>
      <c r="J23" s="131"/>
      <c r="K23" s="121"/>
    </row>
    <row r="24" spans="1:14" x14ac:dyDescent="0.2">
      <c r="A24" s="98" t="str">
        <f t="shared" si="1"/>
        <v>Mi</v>
      </c>
      <c r="B24" s="128">
        <f>DATE(Saldo!$A$1,8,19)</f>
        <v>44062</v>
      </c>
      <c r="C24" s="60"/>
      <c r="D24" s="61"/>
      <c r="E24" s="60"/>
      <c r="F24" s="61"/>
      <c r="G24" s="69"/>
      <c r="H24" s="107">
        <f t="shared" ref="H24:H34" si="2">(D24-C24)+(F24-E24)+G24</f>
        <v>0</v>
      </c>
      <c r="I24" s="112"/>
      <c r="J24" s="131"/>
      <c r="K24" s="121"/>
    </row>
    <row r="25" spans="1:14" x14ac:dyDescent="0.2">
      <c r="A25" s="98" t="str">
        <f t="shared" si="1"/>
        <v>Do</v>
      </c>
      <c r="B25" s="128">
        <f>DATE(Saldo!$A$1,8,20)</f>
        <v>44063</v>
      </c>
      <c r="C25" s="60"/>
      <c r="D25" s="61"/>
      <c r="E25" s="60"/>
      <c r="F25" s="61"/>
      <c r="G25" s="68"/>
      <c r="H25" s="107">
        <f t="shared" si="2"/>
        <v>0</v>
      </c>
      <c r="I25" s="112"/>
      <c r="J25" s="131"/>
      <c r="K25" s="121"/>
    </row>
    <row r="26" spans="1:14" x14ac:dyDescent="0.2">
      <c r="A26" s="98" t="str">
        <f t="shared" si="1"/>
        <v>Fr</v>
      </c>
      <c r="B26" s="128">
        <f>DATE(Saldo!$A$1,8,21)</f>
        <v>44064</v>
      </c>
      <c r="C26" s="60"/>
      <c r="D26" s="61"/>
      <c r="E26" s="62"/>
      <c r="F26" s="61"/>
      <c r="G26" s="69"/>
      <c r="H26" s="107">
        <f t="shared" si="2"/>
        <v>0</v>
      </c>
      <c r="I26" s="112"/>
      <c r="J26" s="131"/>
      <c r="K26" s="121"/>
    </row>
    <row r="27" spans="1:14" x14ac:dyDescent="0.2">
      <c r="A27" s="98" t="str">
        <f t="shared" si="1"/>
        <v>Sa</v>
      </c>
      <c r="B27" s="128">
        <f>DATE(Saldo!$A$1,8,22)</f>
        <v>44065</v>
      </c>
      <c r="C27" s="60"/>
      <c r="D27" s="61"/>
      <c r="E27" s="60"/>
      <c r="F27" s="61"/>
      <c r="G27" s="69"/>
      <c r="H27" s="107">
        <f t="shared" si="2"/>
        <v>0</v>
      </c>
      <c r="I27" s="112"/>
      <c r="J27" s="134"/>
      <c r="K27" s="121"/>
    </row>
    <row r="28" spans="1:14" x14ac:dyDescent="0.2">
      <c r="A28" s="98" t="str">
        <f t="shared" si="1"/>
        <v>So</v>
      </c>
      <c r="B28" s="128">
        <f>DATE(Saldo!$A$1,8,23)</f>
        <v>44066</v>
      </c>
      <c r="C28" s="60"/>
      <c r="D28" s="61"/>
      <c r="E28" s="60"/>
      <c r="F28" s="61"/>
      <c r="G28" s="69"/>
      <c r="H28" s="107">
        <f t="shared" si="2"/>
        <v>0</v>
      </c>
      <c r="I28" s="112"/>
      <c r="J28" s="134"/>
      <c r="K28" s="121"/>
    </row>
    <row r="29" spans="1:14" x14ac:dyDescent="0.2">
      <c r="A29" s="98" t="str">
        <f t="shared" si="1"/>
        <v>Mo</v>
      </c>
      <c r="B29" s="128">
        <f>DATE(Saldo!$A$1,8,24)</f>
        <v>44067</v>
      </c>
      <c r="C29" s="60"/>
      <c r="D29" s="61"/>
      <c r="E29" s="60"/>
      <c r="F29" s="61"/>
      <c r="G29" s="69"/>
      <c r="H29" s="107">
        <f t="shared" si="2"/>
        <v>0</v>
      </c>
      <c r="I29" s="112"/>
      <c r="J29" s="131"/>
      <c r="K29" s="121"/>
    </row>
    <row r="30" spans="1:14" x14ac:dyDescent="0.2">
      <c r="A30" s="98" t="str">
        <f t="shared" si="1"/>
        <v>Di</v>
      </c>
      <c r="B30" s="128">
        <f>DATE(Saldo!$A$1,8,25)</f>
        <v>44068</v>
      </c>
      <c r="C30" s="60"/>
      <c r="D30" s="61"/>
      <c r="E30" s="60"/>
      <c r="F30" s="61"/>
      <c r="G30" s="69"/>
      <c r="H30" s="107">
        <f>(D30-C30)+(F30-E30)+G30</f>
        <v>0</v>
      </c>
      <c r="I30" s="112"/>
      <c r="J30" s="131"/>
      <c r="K30" s="121"/>
    </row>
    <row r="31" spans="1:14" x14ac:dyDescent="0.2">
      <c r="A31" s="98" t="str">
        <f t="shared" si="1"/>
        <v>Mi</v>
      </c>
      <c r="B31" s="128">
        <f>DATE(Saldo!$A$1,8,26)</f>
        <v>44069</v>
      </c>
      <c r="C31" s="60"/>
      <c r="D31" s="61"/>
      <c r="E31" s="60"/>
      <c r="F31" s="61"/>
      <c r="G31" s="69"/>
      <c r="H31" s="107">
        <f t="shared" si="2"/>
        <v>0</v>
      </c>
      <c r="I31" s="112"/>
      <c r="J31" s="131"/>
      <c r="K31" s="121"/>
    </row>
    <row r="32" spans="1:14" x14ac:dyDescent="0.2">
      <c r="A32" s="98" t="str">
        <f t="shared" si="1"/>
        <v>Do</v>
      </c>
      <c r="B32" s="128">
        <f>DATE(Saldo!$A$1,8,27)</f>
        <v>44070</v>
      </c>
      <c r="C32" s="60"/>
      <c r="D32" s="61"/>
      <c r="E32" s="60"/>
      <c r="F32" s="65"/>
      <c r="G32" s="69"/>
      <c r="H32" s="107">
        <f t="shared" si="2"/>
        <v>0</v>
      </c>
      <c r="I32" s="112"/>
      <c r="J32" s="131"/>
      <c r="K32" s="121"/>
    </row>
    <row r="33" spans="1:11" x14ac:dyDescent="0.2">
      <c r="A33" s="98" t="str">
        <f t="shared" si="1"/>
        <v>Fr</v>
      </c>
      <c r="B33" s="128">
        <f>DATE(Saldo!$A$1,8,28)</f>
        <v>44071</v>
      </c>
      <c r="C33" s="60"/>
      <c r="D33" s="61"/>
      <c r="E33" s="60"/>
      <c r="F33" s="61"/>
      <c r="G33" s="68"/>
      <c r="H33" s="107">
        <f>(D33-C33)+(F33-E33)+G33</f>
        <v>0</v>
      </c>
      <c r="I33" s="112"/>
      <c r="J33" s="131"/>
      <c r="K33" s="121"/>
    </row>
    <row r="34" spans="1:11" x14ac:dyDescent="0.2">
      <c r="A34" s="98" t="str">
        <f t="shared" si="1"/>
        <v>Sa</v>
      </c>
      <c r="B34" s="128">
        <f>DATE(Saldo!$A$1,8,29)</f>
        <v>44072</v>
      </c>
      <c r="C34" s="60"/>
      <c r="D34" s="61"/>
      <c r="E34" s="60"/>
      <c r="F34" s="61"/>
      <c r="G34" s="69"/>
      <c r="H34" s="107">
        <f t="shared" si="2"/>
        <v>0</v>
      </c>
      <c r="I34" s="112"/>
      <c r="J34" s="134"/>
      <c r="K34" s="121"/>
    </row>
    <row r="35" spans="1:11" x14ac:dyDescent="0.2">
      <c r="A35" s="98" t="str">
        <f t="shared" si="1"/>
        <v>So</v>
      </c>
      <c r="B35" s="128">
        <f>DATE(Saldo!$A$1,8,30)</f>
        <v>44073</v>
      </c>
      <c r="C35" s="60"/>
      <c r="D35" s="61"/>
      <c r="E35" s="60"/>
      <c r="F35" s="61"/>
      <c r="G35" s="68"/>
      <c r="H35" s="107">
        <f>(D35-C35)+(F35-E35)+G35</f>
        <v>0</v>
      </c>
      <c r="I35" s="112"/>
      <c r="J35" s="134"/>
      <c r="K35" s="121"/>
    </row>
    <row r="36" spans="1:11" x14ac:dyDescent="0.2">
      <c r="A36" s="98" t="str">
        <f t="shared" si="1"/>
        <v>Mo</v>
      </c>
      <c r="B36" s="128">
        <f>DATE(Saldo!$A$1,8,31)</f>
        <v>44074</v>
      </c>
      <c r="C36" s="60"/>
      <c r="D36" s="61"/>
      <c r="E36" s="60"/>
      <c r="F36" s="61"/>
      <c r="G36" s="69"/>
      <c r="H36" s="107">
        <f>(D36-C36)+(F36-E36)+G36</f>
        <v>0</v>
      </c>
      <c r="I36" s="112"/>
      <c r="J36" s="153"/>
      <c r="K36" s="121"/>
    </row>
    <row r="37" spans="1:11" x14ac:dyDescent="0.2">
      <c r="A37" s="100"/>
      <c r="B37" s="125"/>
      <c r="C37" s="107"/>
      <c r="D37" s="129"/>
      <c r="E37" s="107"/>
      <c r="F37" s="129"/>
      <c r="G37" s="135"/>
      <c r="H37" s="107"/>
      <c r="I37" s="112"/>
      <c r="J37" s="136"/>
    </row>
    <row r="38" spans="1:11" s="142" customFormat="1" ht="18.75" thickBot="1" x14ac:dyDescent="0.3">
      <c r="A38" s="102"/>
      <c r="B38" s="137" t="s">
        <v>10</v>
      </c>
      <c r="C38" s="138"/>
      <c r="D38" s="139"/>
      <c r="E38" s="138"/>
      <c r="F38" s="139"/>
      <c r="G38" s="140" t="s">
        <v>11</v>
      </c>
      <c r="H38" s="109">
        <f>SUM(H6:H37)</f>
        <v>0</v>
      </c>
      <c r="I38" s="110"/>
      <c r="J38" s="141"/>
    </row>
    <row r="39" spans="1:11" ht="13.5" thickBot="1" x14ac:dyDescent="0.25">
      <c r="A39" s="100"/>
      <c r="B39" s="143"/>
      <c r="C39" s="106"/>
      <c r="D39" s="97"/>
      <c r="E39" s="144"/>
      <c r="F39" s="97"/>
      <c r="G39" s="145" t="s">
        <v>12</v>
      </c>
      <c r="H39" s="114">
        <f>Monatssaldi!B13</f>
        <v>8.75</v>
      </c>
      <c r="I39" s="146" t="s">
        <v>13</v>
      </c>
      <c r="J39" s="141"/>
    </row>
    <row r="40" spans="1:11" ht="13.5" thickBot="1" x14ac:dyDescent="0.25">
      <c r="A40" s="104"/>
      <c r="B40" s="147"/>
      <c r="C40" s="148"/>
      <c r="D40" s="149"/>
      <c r="E40" s="150"/>
      <c r="F40" s="260" t="s">
        <v>40</v>
      </c>
      <c r="G40" s="261"/>
      <c r="H40" s="117" t="str">
        <f>IF(H38&gt;$H$39,H38-$H$39,"")</f>
        <v/>
      </c>
      <c r="I40" s="116">
        <f>IF(H38&lt;$H$39,$H$39-H38,"")</f>
        <v>8.75</v>
      </c>
      <c r="J40" s="141"/>
    </row>
    <row r="41" spans="1:11" ht="12.75" customHeight="1" x14ac:dyDescent="0.2">
      <c r="B41" s="253" t="s">
        <v>14</v>
      </c>
      <c r="C41" s="254"/>
      <c r="D41" s="254"/>
      <c r="E41" s="254"/>
      <c r="F41" s="254"/>
      <c r="G41" s="254"/>
      <c r="H41" s="254"/>
      <c r="I41" s="255"/>
      <c r="J41" s="141"/>
    </row>
    <row r="42" spans="1:11" x14ac:dyDescent="0.2">
      <c r="B42" s="256"/>
      <c r="C42" s="257"/>
      <c r="D42" s="257"/>
      <c r="E42" s="257"/>
      <c r="F42" s="257"/>
      <c r="G42" s="257"/>
      <c r="H42" s="257"/>
      <c r="I42" s="258"/>
      <c r="J42" s="141"/>
    </row>
    <row r="43" spans="1:11" x14ac:dyDescent="0.2">
      <c r="A43" s="121"/>
      <c r="C43" s="142"/>
      <c r="J43" s="141"/>
    </row>
    <row r="44" spans="1:11" x14ac:dyDescent="0.2">
      <c r="A44" s="121"/>
      <c r="C44" s="142"/>
      <c r="J44" s="141"/>
    </row>
    <row r="45" spans="1:11" x14ac:dyDescent="0.2">
      <c r="A45" s="121"/>
      <c r="C45" s="142"/>
      <c r="J45" s="141"/>
    </row>
    <row r="46" spans="1:11" x14ac:dyDescent="0.2">
      <c r="A46" s="121"/>
      <c r="C46" s="142"/>
      <c r="J46" s="141"/>
    </row>
    <row r="47" spans="1:11" x14ac:dyDescent="0.2">
      <c r="A47" s="121"/>
      <c r="C47" s="142"/>
      <c r="J47" s="141"/>
    </row>
    <row r="48" spans="1:11" x14ac:dyDescent="0.2">
      <c r="A48" s="121"/>
      <c r="C48" s="142"/>
      <c r="J48" s="141"/>
    </row>
    <row r="49" spans="1:10" x14ac:dyDescent="0.2">
      <c r="A49" s="121"/>
      <c r="C49" s="142"/>
      <c r="J49" s="141"/>
    </row>
    <row r="50" spans="1:10" x14ac:dyDescent="0.2">
      <c r="C50" s="142"/>
      <c r="J50" s="141"/>
    </row>
    <row r="51" spans="1:10" x14ac:dyDescent="0.2">
      <c r="C51" s="142"/>
      <c r="J51" s="141"/>
    </row>
    <row r="52" spans="1:10" x14ac:dyDescent="0.2">
      <c r="C52" s="142"/>
      <c r="J52" s="141"/>
    </row>
    <row r="53" spans="1:10" x14ac:dyDescent="0.2">
      <c r="C53" s="142"/>
      <c r="J53" s="141"/>
    </row>
    <row r="54" spans="1:10" x14ac:dyDescent="0.2">
      <c r="C54" s="142"/>
      <c r="J54" s="141"/>
    </row>
    <row r="55" spans="1:10" x14ac:dyDescent="0.2">
      <c r="C55" s="142"/>
      <c r="J55" s="141"/>
    </row>
    <row r="56" spans="1:10" x14ac:dyDescent="0.2">
      <c r="C56" s="142"/>
      <c r="J56" s="141"/>
    </row>
    <row r="57" spans="1:10" x14ac:dyDescent="0.2">
      <c r="J57" s="142"/>
    </row>
    <row r="58" spans="1:10" ht="15" x14ac:dyDescent="0.2">
      <c r="C58" s="151"/>
      <c r="D58" s="142"/>
      <c r="E58" s="142"/>
      <c r="F58" s="142"/>
      <c r="G58" s="142"/>
      <c r="H58" s="142"/>
      <c r="J58" s="141"/>
    </row>
  </sheetData>
  <sheetProtection algorithmName="SHA-512" hashValue="VshauctMo+vCgS6HjPJecE/ZVu0DPdaneaff1NNrCtZwE+lUJjZVxU+DsQIW+Kszeq0ul8BWjcYufnKBliJt7Q==" saltValue="rHHJo7tu8KtpldKNuU6h6Q==" spinCount="100000" sheet="1" objects="1" scenarios="1" selectLockedCells="1"/>
  <mergeCells count="5">
    <mergeCell ref="B41:I42"/>
    <mergeCell ref="G2:I2"/>
    <mergeCell ref="B3:I3"/>
    <mergeCell ref="F40:G40"/>
    <mergeCell ref="A2:B2"/>
  </mergeCells>
  <phoneticPr fontId="0" type="noConversion"/>
  <conditionalFormatting sqref="A6:I36">
    <cfRule type="expression" dxfId="19" priority="1">
      <formula>AND($I6 &lt;&gt; "",$A6 &lt;&gt; "So",$A6&lt;&gt;"Sa")</formula>
    </cfRule>
    <cfRule type="expression" dxfId="18" priority="2">
      <formula>$I6 &lt;&gt; ""</formula>
    </cfRule>
    <cfRule type="expression" dxfId="17" priority="3">
      <formula>$A6 ="So"</formula>
    </cfRule>
    <cfRule type="expression" dxfId="16" priority="4">
      <formula>$A6 = "Sa"</formula>
    </cfRule>
  </conditionalFormatting>
  <pageMargins left="0.78740157480314965" right="0.39370078740157483" top="0.98425196850393704" bottom="0.98425196850393704" header="0.51181102362204722" footer="0.51181102362204722"/>
  <pageSetup paperSize="9" orientation="portrait" horizontalDpi="4294967292" verticalDpi="300"/>
  <headerFooter alignWithMargins="0">
    <oddHeader>&amp;L&amp;G</oddHeader>
  </headerFooter>
  <legacyDrawingHF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4" workbookViewId="0">
      <selection activeCell="C6" sqref="C6"/>
    </sheetView>
  </sheetViews>
  <sheetFormatPr baseColWidth="10" defaultColWidth="10.83203125" defaultRowHeight="12.75" x14ac:dyDescent="0.2"/>
  <cols>
    <col min="1" max="1" width="8.5" style="87" customWidth="1"/>
    <col min="2" max="2" width="9.83203125" style="87" customWidth="1"/>
    <col min="3" max="6" width="8.83203125" style="87" customWidth="1"/>
    <col min="7" max="7" width="11.83203125" style="87" customWidth="1"/>
    <col min="8" max="8" width="11" style="87" customWidth="1"/>
    <col min="9" max="9" width="24.5" style="88" customWidth="1"/>
    <col min="10" max="16384" width="10.83203125" style="87"/>
  </cols>
  <sheetData>
    <row r="1" spans="1:10" ht="15.95" customHeight="1" x14ac:dyDescent="0.2">
      <c r="A1" s="86" t="s">
        <v>54</v>
      </c>
      <c r="B1" s="86"/>
    </row>
    <row r="2" spans="1:10" s="89" customFormat="1" ht="26.1" customHeight="1" x14ac:dyDescent="0.2">
      <c r="A2" s="252" t="s">
        <v>31</v>
      </c>
      <c r="B2" s="252"/>
      <c r="C2" s="89">
        <f>Saldo!A1</f>
        <v>2020</v>
      </c>
      <c r="D2" s="90"/>
      <c r="E2" s="90"/>
      <c r="F2" s="90"/>
      <c r="G2" s="242">
        <f>MA</f>
        <v>0</v>
      </c>
      <c r="H2" s="243"/>
      <c r="I2" s="243"/>
      <c r="J2" s="120"/>
    </row>
    <row r="3" spans="1:10" ht="13.5" thickBot="1" x14ac:dyDescent="0.25">
      <c r="B3" s="250"/>
      <c r="C3" s="251"/>
      <c r="D3" s="251"/>
      <c r="E3" s="251"/>
      <c r="F3" s="251"/>
      <c r="G3" s="251"/>
      <c r="H3" s="251"/>
      <c r="I3" s="251"/>
      <c r="J3" s="121"/>
    </row>
    <row r="4" spans="1:10" s="124" customFormat="1" ht="11.25" x14ac:dyDescent="0.15">
      <c r="A4" s="91"/>
      <c r="B4" s="122" t="s">
        <v>0</v>
      </c>
      <c r="C4" s="93" t="s">
        <v>1</v>
      </c>
      <c r="D4" s="94" t="s">
        <v>2</v>
      </c>
      <c r="E4" s="93" t="s">
        <v>3</v>
      </c>
      <c r="F4" s="94" t="s">
        <v>4</v>
      </c>
      <c r="G4" s="94" t="s">
        <v>5</v>
      </c>
      <c r="H4" s="92" t="s">
        <v>6</v>
      </c>
      <c r="I4" s="95" t="s">
        <v>7</v>
      </c>
      <c r="J4" s="123"/>
    </row>
    <row r="5" spans="1:10" x14ac:dyDescent="0.2">
      <c r="A5" s="100"/>
      <c r="B5" s="125"/>
      <c r="C5" s="126"/>
      <c r="D5" s="101"/>
      <c r="E5" s="126"/>
      <c r="F5" s="101"/>
      <c r="G5" s="101"/>
      <c r="H5" s="132"/>
      <c r="I5" s="112"/>
      <c r="J5" s="121"/>
    </row>
    <row r="6" spans="1:10" x14ac:dyDescent="0.2">
      <c r="A6" s="98" t="str">
        <f>TEXT((WEEKDAY(TEXT(B6,"TT")&amp;"."&amp;$A$2&amp;"."&amp;$C$2)),"TTT")</f>
        <v>Di</v>
      </c>
      <c r="B6" s="128">
        <f>DATE(Saldo!$A$1,9,1)</f>
        <v>44075</v>
      </c>
      <c r="C6" s="60"/>
      <c r="D6" s="61"/>
      <c r="E6" s="60"/>
      <c r="F6" s="61"/>
      <c r="G6" s="69"/>
      <c r="H6" s="129">
        <f>(D6-C6)+(F6-E6)+G6</f>
        <v>0</v>
      </c>
      <c r="I6" s="112"/>
      <c r="J6" s="131"/>
    </row>
    <row r="7" spans="1:10" x14ac:dyDescent="0.2">
      <c r="A7" s="98" t="str">
        <f t="shared" ref="A7:A35" si="0">TEXT((WEEKDAY(TEXT(B7,"TT")&amp;"."&amp;$A$2&amp;"."&amp;$C$2)),"TTT")</f>
        <v>Mi</v>
      </c>
      <c r="B7" s="128">
        <f>DATE(Saldo!$A$1,9,2)</f>
        <v>44076</v>
      </c>
      <c r="C7" s="60"/>
      <c r="D7" s="61"/>
      <c r="E7" s="60"/>
      <c r="F7" s="61"/>
      <c r="G7" s="69"/>
      <c r="H7" s="129">
        <f t="shared" ref="H7:H24" si="1">(D7-C7)+(F7-E7)+G7</f>
        <v>0</v>
      </c>
      <c r="I7" s="112"/>
      <c r="J7" s="131"/>
    </row>
    <row r="8" spans="1:10" x14ac:dyDescent="0.2">
      <c r="A8" s="98" t="str">
        <f t="shared" si="0"/>
        <v>Do</v>
      </c>
      <c r="B8" s="128">
        <f>DATE(Saldo!$A$1,9,3)</f>
        <v>44077</v>
      </c>
      <c r="C8" s="60"/>
      <c r="D8" s="61"/>
      <c r="E8" s="60"/>
      <c r="F8" s="61"/>
      <c r="G8" s="69"/>
      <c r="H8" s="129">
        <f t="shared" si="1"/>
        <v>0</v>
      </c>
      <c r="I8" s="112"/>
      <c r="J8" s="131"/>
    </row>
    <row r="9" spans="1:10" x14ac:dyDescent="0.2">
      <c r="A9" s="98" t="str">
        <f t="shared" si="0"/>
        <v>Fr</v>
      </c>
      <c r="B9" s="128">
        <f>DATE(Saldo!$A$1,9,4)</f>
        <v>44078</v>
      </c>
      <c r="C9" s="60"/>
      <c r="D9" s="61"/>
      <c r="E9" s="60"/>
      <c r="F9" s="61"/>
      <c r="G9" s="69"/>
      <c r="H9" s="129">
        <f t="shared" si="1"/>
        <v>0</v>
      </c>
      <c r="I9" s="112"/>
      <c r="J9" s="131"/>
    </row>
    <row r="10" spans="1:10" x14ac:dyDescent="0.2">
      <c r="A10" s="98" t="str">
        <f t="shared" si="0"/>
        <v>Sa</v>
      </c>
      <c r="B10" s="128">
        <f>DATE(Saldo!$A$1,9,5)</f>
        <v>44079</v>
      </c>
      <c r="C10" s="60"/>
      <c r="D10" s="61"/>
      <c r="E10" s="60"/>
      <c r="F10" s="61"/>
      <c r="G10" s="69"/>
      <c r="H10" s="129">
        <f t="shared" si="1"/>
        <v>0</v>
      </c>
      <c r="I10" s="112"/>
      <c r="J10" s="121"/>
    </row>
    <row r="11" spans="1:10" x14ac:dyDescent="0.2">
      <c r="A11" s="98" t="str">
        <f t="shared" si="0"/>
        <v>So</v>
      </c>
      <c r="B11" s="128">
        <f>DATE(Saldo!$A$1,9,6)</f>
        <v>44080</v>
      </c>
      <c r="C11" s="64"/>
      <c r="D11" s="61"/>
      <c r="E11" s="60"/>
      <c r="F11" s="61"/>
      <c r="G11" s="69"/>
      <c r="H11" s="129">
        <f t="shared" si="1"/>
        <v>0</v>
      </c>
      <c r="I11" s="112"/>
      <c r="J11" s="121"/>
    </row>
    <row r="12" spans="1:10" x14ac:dyDescent="0.2">
      <c r="A12" s="98" t="str">
        <f t="shared" si="0"/>
        <v>Mo</v>
      </c>
      <c r="B12" s="128">
        <f>DATE(Saldo!$A$1,9,7)</f>
        <v>44081</v>
      </c>
      <c r="C12" s="60"/>
      <c r="D12" s="61"/>
      <c r="E12" s="60"/>
      <c r="F12" s="61"/>
      <c r="G12" s="69"/>
      <c r="H12" s="129">
        <f t="shared" si="1"/>
        <v>0</v>
      </c>
      <c r="I12" s="112"/>
      <c r="J12" s="131"/>
    </row>
    <row r="13" spans="1:10" x14ac:dyDescent="0.2">
      <c r="A13" s="98" t="str">
        <f t="shared" si="0"/>
        <v>Di</v>
      </c>
      <c r="B13" s="128">
        <f>DATE(Saldo!$A$1,9,8)</f>
        <v>44082</v>
      </c>
      <c r="C13" s="60"/>
      <c r="D13" s="61"/>
      <c r="E13" s="60"/>
      <c r="F13" s="61"/>
      <c r="G13" s="69"/>
      <c r="H13" s="129">
        <f>(D13-C13)+(F13-E13)+G13</f>
        <v>0</v>
      </c>
      <c r="I13" s="112"/>
      <c r="J13" s="131"/>
    </row>
    <row r="14" spans="1:10" x14ac:dyDescent="0.2">
      <c r="A14" s="98" t="str">
        <f t="shared" si="0"/>
        <v>Mi</v>
      </c>
      <c r="B14" s="128">
        <f>DATE(Saldo!$A$1,9,9)</f>
        <v>44083</v>
      </c>
      <c r="C14" s="60"/>
      <c r="D14" s="61"/>
      <c r="E14" s="60"/>
      <c r="F14" s="61"/>
      <c r="G14" s="69"/>
      <c r="H14" s="129">
        <f t="shared" si="1"/>
        <v>0</v>
      </c>
      <c r="I14" s="157"/>
      <c r="J14" s="131"/>
    </row>
    <row r="15" spans="1:10" x14ac:dyDescent="0.2">
      <c r="A15" s="98" t="str">
        <f t="shared" si="0"/>
        <v>Do</v>
      </c>
      <c r="B15" s="128">
        <f>DATE(Saldo!$A$1,9,10)</f>
        <v>44084</v>
      </c>
      <c r="C15" s="60"/>
      <c r="D15" s="61"/>
      <c r="E15" s="60"/>
      <c r="F15" s="61"/>
      <c r="G15" s="69"/>
      <c r="H15" s="129">
        <f t="shared" si="1"/>
        <v>0</v>
      </c>
      <c r="I15" s="157"/>
      <c r="J15" s="131"/>
    </row>
    <row r="16" spans="1:10" x14ac:dyDescent="0.2">
      <c r="A16" s="98" t="str">
        <f t="shared" si="0"/>
        <v>Fr</v>
      </c>
      <c r="B16" s="128">
        <f>DATE(Saldo!$A$1,9,11)</f>
        <v>44085</v>
      </c>
      <c r="C16" s="60"/>
      <c r="D16" s="61"/>
      <c r="E16" s="60"/>
      <c r="F16" s="61"/>
      <c r="G16" s="69"/>
      <c r="H16" s="129">
        <f t="shared" si="1"/>
        <v>0</v>
      </c>
      <c r="I16" s="157"/>
      <c r="J16" s="131"/>
    </row>
    <row r="17" spans="1:10" x14ac:dyDescent="0.2">
      <c r="A17" s="98" t="str">
        <f t="shared" si="0"/>
        <v>Sa</v>
      </c>
      <c r="B17" s="128">
        <f>DATE(Saldo!$A$1,9,12)</f>
        <v>44086</v>
      </c>
      <c r="C17" s="60"/>
      <c r="D17" s="61"/>
      <c r="E17" s="60"/>
      <c r="F17" s="61"/>
      <c r="G17" s="69"/>
      <c r="H17" s="129">
        <f t="shared" si="1"/>
        <v>0</v>
      </c>
      <c r="I17" s="112"/>
      <c r="J17" s="131"/>
    </row>
    <row r="18" spans="1:10" x14ac:dyDescent="0.2">
      <c r="A18" s="98" t="str">
        <f t="shared" si="0"/>
        <v>So</v>
      </c>
      <c r="B18" s="128">
        <f>DATE(Saldo!$A$1,9,13)</f>
        <v>44087</v>
      </c>
      <c r="C18" s="60"/>
      <c r="D18" s="61"/>
      <c r="E18" s="60"/>
      <c r="F18" s="61"/>
      <c r="G18" s="69"/>
      <c r="H18" s="129">
        <f t="shared" si="1"/>
        <v>0</v>
      </c>
      <c r="I18" s="112"/>
      <c r="J18" s="121"/>
    </row>
    <row r="19" spans="1:10" x14ac:dyDescent="0.2">
      <c r="A19" s="98" t="str">
        <f t="shared" si="0"/>
        <v>Mo</v>
      </c>
      <c r="B19" s="128">
        <f>DATE(Saldo!$A$1,9,14)</f>
        <v>44088</v>
      </c>
      <c r="C19" s="60"/>
      <c r="D19" s="61"/>
      <c r="E19" s="60"/>
      <c r="F19" s="61"/>
      <c r="G19" s="69"/>
      <c r="H19" s="129">
        <f t="shared" si="1"/>
        <v>0</v>
      </c>
      <c r="I19" s="167" t="s">
        <v>59</v>
      </c>
      <c r="J19" s="131"/>
    </row>
    <row r="20" spans="1:10" x14ac:dyDescent="0.2">
      <c r="A20" s="98" t="str">
        <f t="shared" si="0"/>
        <v>Di</v>
      </c>
      <c r="B20" s="128">
        <f>DATE(Saldo!$A$1,9,15)</f>
        <v>44089</v>
      </c>
      <c r="C20" s="60"/>
      <c r="D20" s="61"/>
      <c r="E20" s="60"/>
      <c r="F20" s="61"/>
      <c r="G20" s="69"/>
      <c r="H20" s="129">
        <f>(D20-C20)+(F20-E20)+G20</f>
        <v>0</v>
      </c>
      <c r="I20" s="112"/>
      <c r="J20" s="131"/>
    </row>
    <row r="21" spans="1:10" x14ac:dyDescent="0.2">
      <c r="A21" s="98" t="str">
        <f t="shared" si="0"/>
        <v>Mi</v>
      </c>
      <c r="B21" s="128">
        <f>DATE(Saldo!$A$1,9,16)</f>
        <v>44090</v>
      </c>
      <c r="C21" s="60"/>
      <c r="D21" s="61"/>
      <c r="E21" s="60"/>
      <c r="F21" s="61"/>
      <c r="G21" s="69"/>
      <c r="H21" s="129">
        <f t="shared" si="1"/>
        <v>0</v>
      </c>
      <c r="I21" s="112"/>
      <c r="J21" s="131"/>
    </row>
    <row r="22" spans="1:10" x14ac:dyDescent="0.2">
      <c r="A22" s="98" t="str">
        <f t="shared" si="0"/>
        <v>Do</v>
      </c>
      <c r="B22" s="128">
        <f>DATE(Saldo!$A$1,9,17)</f>
        <v>44091</v>
      </c>
      <c r="C22" s="60"/>
      <c r="D22" s="61"/>
      <c r="E22" s="60"/>
      <c r="F22" s="61"/>
      <c r="G22" s="69"/>
      <c r="H22" s="129">
        <f t="shared" si="1"/>
        <v>0</v>
      </c>
      <c r="I22" s="133"/>
      <c r="J22" s="131"/>
    </row>
    <row r="23" spans="1:10" x14ac:dyDescent="0.2">
      <c r="A23" s="98" t="str">
        <f t="shared" si="0"/>
        <v>Fr</v>
      </c>
      <c r="B23" s="128">
        <f>DATE(Saldo!$A$1,9,18)</f>
        <v>44092</v>
      </c>
      <c r="C23" s="60"/>
      <c r="D23" s="61"/>
      <c r="E23" s="60"/>
      <c r="F23" s="61"/>
      <c r="G23" s="69"/>
      <c r="H23" s="129">
        <f t="shared" si="1"/>
        <v>0</v>
      </c>
      <c r="I23" s="112"/>
      <c r="J23" s="131"/>
    </row>
    <row r="24" spans="1:10" x14ac:dyDescent="0.2">
      <c r="A24" s="98" t="str">
        <f t="shared" si="0"/>
        <v>Sa</v>
      </c>
      <c r="B24" s="128">
        <f>DATE(Saldo!$A$1,9,19)</f>
        <v>44093</v>
      </c>
      <c r="C24" s="60"/>
      <c r="D24" s="61"/>
      <c r="E24" s="60"/>
      <c r="F24" s="61"/>
      <c r="G24" s="69"/>
      <c r="H24" s="129">
        <f t="shared" si="1"/>
        <v>0</v>
      </c>
      <c r="I24" s="112"/>
      <c r="J24" s="158"/>
    </row>
    <row r="25" spans="1:10" x14ac:dyDescent="0.2">
      <c r="A25" s="98" t="str">
        <f t="shared" si="0"/>
        <v>So</v>
      </c>
      <c r="B25" s="128">
        <f>DATE(Saldo!$A$1,9,20)</f>
        <v>44094</v>
      </c>
      <c r="C25" s="60"/>
      <c r="D25" s="61"/>
      <c r="E25" s="60"/>
      <c r="F25" s="61"/>
      <c r="G25" s="69"/>
      <c r="H25" s="129">
        <f t="shared" ref="H25:H35" si="2">(D25-C25)+(F25-E25)+G25</f>
        <v>0</v>
      </c>
      <c r="I25" s="112"/>
      <c r="J25" s="158"/>
    </row>
    <row r="26" spans="1:10" x14ac:dyDescent="0.2">
      <c r="A26" s="98" t="str">
        <f t="shared" si="0"/>
        <v>Mo</v>
      </c>
      <c r="B26" s="128">
        <f>DATE(Saldo!$A$1,9,21)</f>
        <v>44095</v>
      </c>
      <c r="C26" s="60"/>
      <c r="D26" s="61"/>
      <c r="E26" s="62"/>
      <c r="F26" s="61"/>
      <c r="G26" s="69"/>
      <c r="H26" s="129">
        <f t="shared" ref="H26:H31" si="3">(D26-C26)+(F26-E26)+G26</f>
        <v>0</v>
      </c>
      <c r="I26" s="112"/>
      <c r="J26" s="131"/>
    </row>
    <row r="27" spans="1:10" x14ac:dyDescent="0.2">
      <c r="A27" s="98" t="str">
        <f t="shared" si="0"/>
        <v>Di</v>
      </c>
      <c r="B27" s="128">
        <f>DATE(Saldo!$A$1,9,22)</f>
        <v>44096</v>
      </c>
      <c r="C27" s="60"/>
      <c r="D27" s="61"/>
      <c r="E27" s="60"/>
      <c r="F27" s="61"/>
      <c r="G27" s="69"/>
      <c r="H27" s="129">
        <f t="shared" si="3"/>
        <v>0</v>
      </c>
      <c r="I27" s="112"/>
      <c r="J27" s="131"/>
    </row>
    <row r="28" spans="1:10" x14ac:dyDescent="0.2">
      <c r="A28" s="98" t="str">
        <f t="shared" si="0"/>
        <v>Mi</v>
      </c>
      <c r="B28" s="128">
        <f>DATE(Saldo!$A$1,9,23)</f>
        <v>44097</v>
      </c>
      <c r="C28" s="60"/>
      <c r="D28" s="61"/>
      <c r="E28" s="60"/>
      <c r="F28" s="61"/>
      <c r="G28" s="69"/>
      <c r="H28" s="129">
        <f t="shared" si="3"/>
        <v>0</v>
      </c>
      <c r="I28" s="112"/>
      <c r="J28" s="131"/>
    </row>
    <row r="29" spans="1:10" x14ac:dyDescent="0.2">
      <c r="A29" s="98" t="str">
        <f t="shared" si="0"/>
        <v>Do</v>
      </c>
      <c r="B29" s="128">
        <f>DATE(Saldo!$A$1,9,24)</f>
        <v>44098</v>
      </c>
      <c r="C29" s="60"/>
      <c r="D29" s="61"/>
      <c r="E29" s="60"/>
      <c r="F29" s="61"/>
      <c r="G29" s="69"/>
      <c r="H29" s="129">
        <f t="shared" si="3"/>
        <v>0</v>
      </c>
      <c r="I29" s="112"/>
      <c r="J29" s="131"/>
    </row>
    <row r="30" spans="1:10" x14ac:dyDescent="0.2">
      <c r="A30" s="98" t="str">
        <f t="shared" si="0"/>
        <v>Fr</v>
      </c>
      <c r="B30" s="128">
        <f>DATE(Saldo!$A$1,9,25)</f>
        <v>44099</v>
      </c>
      <c r="C30" s="60"/>
      <c r="D30" s="61"/>
      <c r="E30" s="60"/>
      <c r="F30" s="61"/>
      <c r="G30" s="69"/>
      <c r="H30" s="129">
        <f t="shared" si="3"/>
        <v>0</v>
      </c>
      <c r="I30" s="112"/>
      <c r="J30" s="131"/>
    </row>
    <row r="31" spans="1:10" x14ac:dyDescent="0.2">
      <c r="A31" s="98" t="str">
        <f t="shared" si="0"/>
        <v>Sa</v>
      </c>
      <c r="B31" s="128">
        <f>DATE(Saldo!$A$1,9,26)</f>
        <v>44100</v>
      </c>
      <c r="C31" s="60"/>
      <c r="D31" s="61"/>
      <c r="E31" s="60"/>
      <c r="F31" s="61"/>
      <c r="G31" s="69"/>
      <c r="H31" s="129">
        <f t="shared" si="3"/>
        <v>0</v>
      </c>
      <c r="I31" s="112"/>
      <c r="J31" s="134"/>
    </row>
    <row r="32" spans="1:10" x14ac:dyDescent="0.2">
      <c r="A32" s="98" t="str">
        <f t="shared" si="0"/>
        <v>So</v>
      </c>
      <c r="B32" s="128">
        <f>DATE(Saldo!$A$1,9,27)</f>
        <v>44101</v>
      </c>
      <c r="C32" s="60"/>
      <c r="D32" s="61"/>
      <c r="E32" s="60"/>
      <c r="F32" s="61"/>
      <c r="G32" s="69"/>
      <c r="H32" s="129">
        <f t="shared" si="2"/>
        <v>0</v>
      </c>
      <c r="I32" s="112"/>
      <c r="J32" s="134"/>
    </row>
    <row r="33" spans="1:10" x14ac:dyDescent="0.2">
      <c r="A33" s="98" t="str">
        <f t="shared" si="0"/>
        <v>Mo</v>
      </c>
      <c r="B33" s="128">
        <f>DATE(Saldo!$A$1,9,28)</f>
        <v>44102</v>
      </c>
      <c r="C33" s="60"/>
      <c r="D33" s="61"/>
      <c r="E33" s="60"/>
      <c r="F33" s="61"/>
      <c r="G33" s="69"/>
      <c r="H33" s="129">
        <f t="shared" si="2"/>
        <v>0</v>
      </c>
      <c r="I33" s="112"/>
      <c r="J33" s="131"/>
    </row>
    <row r="34" spans="1:10" x14ac:dyDescent="0.2">
      <c r="A34" s="98" t="str">
        <f t="shared" si="0"/>
        <v>Di</v>
      </c>
      <c r="B34" s="128">
        <f>DATE(Saldo!$A$1,9,29)</f>
        <v>44103</v>
      </c>
      <c r="C34" s="60"/>
      <c r="D34" s="61"/>
      <c r="E34" s="60"/>
      <c r="F34" s="61"/>
      <c r="G34" s="69"/>
      <c r="H34" s="129">
        <f t="shared" si="2"/>
        <v>0</v>
      </c>
      <c r="I34" s="112"/>
      <c r="J34" s="131"/>
    </row>
    <row r="35" spans="1:10" x14ac:dyDescent="0.2">
      <c r="A35" s="98" t="str">
        <f t="shared" si="0"/>
        <v>Mi</v>
      </c>
      <c r="B35" s="128">
        <f>DATE(Saldo!$A$1,9,30)</f>
        <v>44104</v>
      </c>
      <c r="C35" s="60"/>
      <c r="D35" s="61"/>
      <c r="E35" s="60"/>
      <c r="F35" s="61"/>
      <c r="G35" s="69"/>
      <c r="H35" s="129">
        <f t="shared" si="2"/>
        <v>0</v>
      </c>
      <c r="I35" s="112"/>
      <c r="J35" s="131"/>
    </row>
    <row r="36" spans="1:10" x14ac:dyDescent="0.2">
      <c r="A36" s="98"/>
      <c r="B36" s="125"/>
      <c r="C36" s="107"/>
      <c r="D36" s="129"/>
      <c r="E36" s="107"/>
      <c r="F36" s="129"/>
      <c r="G36" s="129"/>
      <c r="H36" s="129"/>
      <c r="I36" s="112"/>
      <c r="J36" s="136"/>
    </row>
    <row r="37" spans="1:10" x14ac:dyDescent="0.2">
      <c r="A37" s="100"/>
      <c r="B37" s="125"/>
      <c r="C37" s="107"/>
      <c r="D37" s="129"/>
      <c r="E37" s="107"/>
      <c r="F37" s="129"/>
      <c r="G37" s="135"/>
      <c r="H37" s="129"/>
      <c r="I37" s="112"/>
      <c r="J37" s="141"/>
    </row>
    <row r="38" spans="1:10" s="142" customFormat="1" ht="18.75" thickBot="1" x14ac:dyDescent="0.3">
      <c r="A38" s="102"/>
      <c r="B38" s="137" t="s">
        <v>10</v>
      </c>
      <c r="C38" s="138"/>
      <c r="D38" s="139"/>
      <c r="E38" s="138"/>
      <c r="F38" s="139"/>
      <c r="G38" s="140" t="s">
        <v>11</v>
      </c>
      <c r="H38" s="168">
        <f>SUM(H6:H37)</f>
        <v>0</v>
      </c>
      <c r="I38" s="110"/>
      <c r="J38" s="141"/>
    </row>
    <row r="39" spans="1:10" ht="13.5" thickBot="1" x14ac:dyDescent="0.25">
      <c r="A39" s="100"/>
      <c r="B39" s="143"/>
      <c r="C39" s="106"/>
      <c r="D39" s="97"/>
      <c r="E39" s="144"/>
      <c r="F39" s="97"/>
      <c r="G39" s="145" t="s">
        <v>12</v>
      </c>
      <c r="H39" s="169">
        <f>Monatssaldi!B14</f>
        <v>8.9583333333333339</v>
      </c>
      <c r="I39" s="146" t="s">
        <v>13</v>
      </c>
      <c r="J39" s="141"/>
    </row>
    <row r="40" spans="1:10" ht="13.5" thickBot="1" x14ac:dyDescent="0.25">
      <c r="A40" s="104"/>
      <c r="B40" s="147"/>
      <c r="C40" s="148"/>
      <c r="D40" s="149"/>
      <c r="E40" s="150"/>
      <c r="F40" s="260" t="s">
        <v>40</v>
      </c>
      <c r="G40" s="261"/>
      <c r="H40" s="117" t="str">
        <f>IF(H38&gt;$H$39,H38-$H$39,"")</f>
        <v/>
      </c>
      <c r="I40" s="116">
        <f>IF(H38&lt;$H$39,$H$39-H38,"")</f>
        <v>8.9583333333333339</v>
      </c>
      <c r="J40" s="141"/>
    </row>
    <row r="41" spans="1:10" ht="12.75" customHeight="1" x14ac:dyDescent="0.2">
      <c r="B41" s="253" t="s">
        <v>14</v>
      </c>
      <c r="C41" s="254"/>
      <c r="D41" s="254"/>
      <c r="E41" s="254"/>
      <c r="F41" s="254"/>
      <c r="G41" s="254"/>
      <c r="H41" s="254"/>
      <c r="I41" s="255"/>
      <c r="J41" s="141"/>
    </row>
    <row r="42" spans="1:10" x14ac:dyDescent="0.2">
      <c r="B42" s="256"/>
      <c r="C42" s="257"/>
      <c r="D42" s="257"/>
      <c r="E42" s="257"/>
      <c r="F42" s="257"/>
      <c r="G42" s="257"/>
      <c r="H42" s="257"/>
      <c r="I42" s="258"/>
      <c r="J42" s="141"/>
    </row>
    <row r="43" spans="1:10" x14ac:dyDescent="0.2">
      <c r="A43" s="121"/>
      <c r="C43" s="142"/>
      <c r="J43" s="141"/>
    </row>
    <row r="44" spans="1:10" x14ac:dyDescent="0.2">
      <c r="A44" s="121"/>
      <c r="C44" s="142"/>
      <c r="J44" s="141"/>
    </row>
    <row r="45" spans="1:10" x14ac:dyDescent="0.2">
      <c r="A45" s="121"/>
      <c r="C45" s="142"/>
      <c r="J45" s="141"/>
    </row>
    <row r="46" spans="1:10" x14ac:dyDescent="0.2">
      <c r="A46" s="121"/>
      <c r="C46" s="142"/>
      <c r="J46" s="141"/>
    </row>
    <row r="47" spans="1:10" x14ac:dyDescent="0.2">
      <c r="A47" s="121"/>
      <c r="C47" s="142"/>
      <c r="J47" s="141"/>
    </row>
    <row r="48" spans="1:10" x14ac:dyDescent="0.2">
      <c r="A48" s="121"/>
      <c r="C48" s="142"/>
      <c r="J48" s="141"/>
    </row>
    <row r="49" spans="1:10" x14ac:dyDescent="0.2">
      <c r="A49" s="121"/>
      <c r="C49" s="142"/>
      <c r="J49" s="141"/>
    </row>
    <row r="50" spans="1:10" x14ac:dyDescent="0.2">
      <c r="C50" s="142"/>
      <c r="J50" s="141"/>
    </row>
    <row r="51" spans="1:10" x14ac:dyDescent="0.2">
      <c r="C51" s="142"/>
      <c r="J51" s="141"/>
    </row>
    <row r="52" spans="1:10" x14ac:dyDescent="0.2">
      <c r="C52" s="142"/>
      <c r="J52" s="141"/>
    </row>
    <row r="53" spans="1:10" x14ac:dyDescent="0.2">
      <c r="C53" s="142"/>
      <c r="J53" s="141"/>
    </row>
    <row r="54" spans="1:10" x14ac:dyDescent="0.2">
      <c r="C54" s="142"/>
      <c r="J54" s="141"/>
    </row>
    <row r="55" spans="1:10" x14ac:dyDescent="0.2">
      <c r="C55" s="142"/>
      <c r="J55" s="141"/>
    </row>
    <row r="56" spans="1:10" x14ac:dyDescent="0.2">
      <c r="C56" s="142"/>
      <c r="J56" s="141"/>
    </row>
    <row r="57" spans="1:10" x14ac:dyDescent="0.2">
      <c r="J57" s="142"/>
    </row>
    <row r="58" spans="1:10" ht="15" x14ac:dyDescent="0.2">
      <c r="C58" s="151"/>
      <c r="D58" s="142"/>
      <c r="E58" s="142"/>
      <c r="F58" s="142"/>
      <c r="G58" s="142"/>
      <c r="H58" s="142"/>
      <c r="J58" s="141"/>
    </row>
  </sheetData>
  <sheetProtection algorithmName="SHA-512" hashValue="ndg6stsfCo+X6uJoMcOkAb1voueotURX7YwjpT+loXrGWGAJAkcbtx4QO25j0bvdCCia12rwY8MvjuHSS94xcw==" saltValue="udRSUSCKiFDhsFRaDbFgww==" spinCount="100000" sheet="1" objects="1" scenarios="1" selectLockedCells="1"/>
  <mergeCells count="5">
    <mergeCell ref="B41:I42"/>
    <mergeCell ref="G2:I2"/>
    <mergeCell ref="B3:I3"/>
    <mergeCell ref="F40:G40"/>
    <mergeCell ref="A2:B2"/>
  </mergeCells>
  <phoneticPr fontId="0" type="noConversion"/>
  <conditionalFormatting sqref="A6:I36">
    <cfRule type="expression" dxfId="15" priority="3">
      <formula>$A6 ="So"</formula>
    </cfRule>
    <cfRule type="expression" dxfId="14" priority="4">
      <formula>$A6 = "Sa"</formula>
    </cfRule>
  </conditionalFormatting>
  <conditionalFormatting sqref="A6:I35">
    <cfRule type="expression" dxfId="13" priority="1">
      <formula>AND($I6 &lt;&gt; "",$A6 &lt;&gt; "So",$A6&lt;&gt;"Sa")</formula>
    </cfRule>
    <cfRule type="expression" dxfId="12" priority="2">
      <formula>$I6 &lt;&gt; ""</formula>
    </cfRule>
  </conditionalFormatting>
  <pageMargins left="0.78740157480314965" right="0.39370078740157483" top="0.98425196850393704" bottom="0.98425196850393704" header="0.51181102362204722" footer="0.51181102362204722"/>
  <pageSetup paperSize="9" orientation="portrait" horizontalDpi="1200" verticalDpi="1200"/>
  <headerFooter scaleWithDoc="0" alignWithMargins="0">
    <oddHeader>&amp;L&amp;G</oddHeader>
  </headerFooter>
  <legacyDrawingHF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opLeftCell="A4" workbookViewId="0">
      <selection activeCell="C6" sqref="C6"/>
    </sheetView>
  </sheetViews>
  <sheetFormatPr baseColWidth="10" defaultColWidth="10.83203125" defaultRowHeight="12.75" x14ac:dyDescent="0.2"/>
  <cols>
    <col min="1" max="1" width="5.5" style="87" customWidth="1"/>
    <col min="2" max="2" width="12.5" style="87" customWidth="1"/>
    <col min="3" max="6" width="8.83203125" style="87" customWidth="1"/>
    <col min="7" max="7" width="11.83203125" style="87" customWidth="1"/>
    <col min="8" max="8" width="11" style="87" customWidth="1"/>
    <col min="9" max="9" width="22.5" style="88" customWidth="1"/>
    <col min="10" max="16384" width="10.83203125" style="87"/>
  </cols>
  <sheetData>
    <row r="1" spans="1:10" ht="15.95" customHeight="1" x14ac:dyDescent="0.2">
      <c r="A1" s="86" t="s">
        <v>54</v>
      </c>
      <c r="B1" s="86"/>
    </row>
    <row r="2" spans="1:10" s="89" customFormat="1" ht="26.1" customHeight="1" x14ac:dyDescent="0.2">
      <c r="A2" s="252" t="s">
        <v>32</v>
      </c>
      <c r="B2" s="252"/>
      <c r="C2" s="89">
        <f>Saldo!A1</f>
        <v>2020</v>
      </c>
      <c r="D2" s="90"/>
      <c r="E2" s="90"/>
      <c r="F2" s="90"/>
      <c r="G2" s="242">
        <f>MA</f>
        <v>0</v>
      </c>
      <c r="H2" s="243"/>
      <c r="I2" s="243"/>
      <c r="J2" s="120"/>
    </row>
    <row r="3" spans="1:10" ht="13.5" thickBot="1" x14ac:dyDescent="0.25">
      <c r="B3" s="250"/>
      <c r="C3" s="251"/>
      <c r="D3" s="251"/>
      <c r="E3" s="251"/>
      <c r="F3" s="251"/>
      <c r="G3" s="251"/>
      <c r="H3" s="251"/>
      <c r="I3" s="251"/>
      <c r="J3" s="121"/>
    </row>
    <row r="4" spans="1:10" s="124" customFormat="1" ht="11.25" x14ac:dyDescent="0.15">
      <c r="A4" s="91"/>
      <c r="B4" s="122" t="s">
        <v>0</v>
      </c>
      <c r="C4" s="93" t="s">
        <v>1</v>
      </c>
      <c r="D4" s="94" t="s">
        <v>2</v>
      </c>
      <c r="E4" s="93" t="s">
        <v>3</v>
      </c>
      <c r="F4" s="94" t="s">
        <v>4</v>
      </c>
      <c r="G4" s="94" t="s">
        <v>5</v>
      </c>
      <c r="H4" s="92" t="s">
        <v>6</v>
      </c>
      <c r="I4" s="95" t="s">
        <v>7</v>
      </c>
      <c r="J4" s="123"/>
    </row>
    <row r="5" spans="1:10" x14ac:dyDescent="0.2">
      <c r="A5" s="100"/>
      <c r="B5" s="125"/>
      <c r="C5" s="126"/>
      <c r="D5" s="101"/>
      <c r="E5" s="126"/>
      <c r="F5" s="101"/>
      <c r="G5" s="101"/>
      <c r="H5" s="127"/>
      <c r="I5" s="112"/>
      <c r="J5" s="121"/>
    </row>
    <row r="6" spans="1:10" x14ac:dyDescent="0.2">
      <c r="A6" s="98" t="str">
        <f>TEXT((WEEKDAY(TEXT(B6,"TT")&amp;"."&amp;$A$2&amp;"."&amp;$C$2)),"TTT")</f>
        <v>Do</v>
      </c>
      <c r="B6" s="128">
        <f>DATE(Saldo!$A$1,10,1)</f>
        <v>44105</v>
      </c>
      <c r="C6" s="60"/>
      <c r="D6" s="61"/>
      <c r="E6" s="60"/>
      <c r="F6" s="61"/>
      <c r="G6" s="69"/>
      <c r="H6" s="107">
        <f>(D6-C6)+(F6-E6)+G6</f>
        <v>0</v>
      </c>
      <c r="I6" s="111"/>
      <c r="J6" s="131"/>
    </row>
    <row r="7" spans="1:10" x14ac:dyDescent="0.2">
      <c r="A7" s="98" t="str">
        <f t="shared" ref="A7:A36" si="0">TEXT((WEEKDAY(TEXT(B7,"TT")&amp;"."&amp;$A$2&amp;"."&amp;$C$2)),"TTT")</f>
        <v>Fr</v>
      </c>
      <c r="B7" s="128">
        <f>DATE(Saldo!$A$1,10,2)</f>
        <v>44106</v>
      </c>
      <c r="C7" s="60"/>
      <c r="D7" s="61"/>
      <c r="E7" s="60"/>
      <c r="F7" s="61"/>
      <c r="G7" s="69"/>
      <c r="H7" s="107">
        <f>(D7-C7)+(F7-E7)+G7</f>
        <v>0</v>
      </c>
      <c r="I7" s="112"/>
      <c r="J7" s="131"/>
    </row>
    <row r="8" spans="1:10" x14ac:dyDescent="0.2">
      <c r="A8" s="98" t="str">
        <f t="shared" si="0"/>
        <v>Sa</v>
      </c>
      <c r="B8" s="128">
        <f>DATE(Saldo!$A$1,10,3)</f>
        <v>44107</v>
      </c>
      <c r="C8" s="60"/>
      <c r="D8" s="61"/>
      <c r="E8" s="60"/>
      <c r="F8" s="61"/>
      <c r="G8" s="69"/>
      <c r="H8" s="107">
        <f t="shared" ref="H8:H25" si="1">(D8-C8)+(F8-E8)+G8</f>
        <v>0</v>
      </c>
      <c r="I8" s="112"/>
      <c r="J8" s="121"/>
    </row>
    <row r="9" spans="1:10" x14ac:dyDescent="0.2">
      <c r="A9" s="98" t="str">
        <f t="shared" si="0"/>
        <v>So</v>
      </c>
      <c r="B9" s="128">
        <f>DATE(Saldo!$A$1,10,4)</f>
        <v>44108</v>
      </c>
      <c r="C9" s="60"/>
      <c r="D9" s="61"/>
      <c r="E9" s="60"/>
      <c r="F9" s="61"/>
      <c r="G9" s="69"/>
      <c r="H9" s="107">
        <f t="shared" si="1"/>
        <v>0</v>
      </c>
      <c r="I9" s="112"/>
      <c r="J9" s="121"/>
    </row>
    <row r="10" spans="1:10" x14ac:dyDescent="0.2">
      <c r="A10" s="98" t="str">
        <f t="shared" si="0"/>
        <v>Mo</v>
      </c>
      <c r="B10" s="128">
        <f>DATE(Saldo!$A$1,10,5)</f>
        <v>44109</v>
      </c>
      <c r="C10" s="60"/>
      <c r="D10" s="61"/>
      <c r="E10" s="60"/>
      <c r="F10" s="61"/>
      <c r="G10" s="69"/>
      <c r="H10" s="107">
        <f t="shared" si="1"/>
        <v>0</v>
      </c>
      <c r="I10" s="112"/>
      <c r="J10" s="131"/>
    </row>
    <row r="11" spans="1:10" x14ac:dyDescent="0.2">
      <c r="A11" s="98" t="str">
        <f t="shared" si="0"/>
        <v>Di</v>
      </c>
      <c r="B11" s="128">
        <f>DATE(Saldo!$A$1,10,6)</f>
        <v>44110</v>
      </c>
      <c r="C11" s="60"/>
      <c r="D11" s="61"/>
      <c r="E11" s="60"/>
      <c r="F11" s="61"/>
      <c r="G11" s="69"/>
      <c r="H11" s="107">
        <f>(D11-C11)+(F11-E11)+G11</f>
        <v>0</v>
      </c>
      <c r="I11" s="112"/>
      <c r="J11" s="131"/>
    </row>
    <row r="12" spans="1:10" x14ac:dyDescent="0.2">
      <c r="A12" s="98" t="str">
        <f t="shared" si="0"/>
        <v>Mi</v>
      </c>
      <c r="B12" s="128">
        <f>DATE(Saldo!$A$1,10,7)</f>
        <v>44111</v>
      </c>
      <c r="C12" s="60"/>
      <c r="D12" s="61"/>
      <c r="E12" s="60"/>
      <c r="F12" s="61"/>
      <c r="G12" s="69"/>
      <c r="H12" s="107">
        <f t="shared" si="1"/>
        <v>0</v>
      </c>
      <c r="I12" s="112"/>
      <c r="J12" s="131"/>
    </row>
    <row r="13" spans="1:10" x14ac:dyDescent="0.2">
      <c r="A13" s="98" t="str">
        <f t="shared" si="0"/>
        <v>Do</v>
      </c>
      <c r="B13" s="128">
        <f>DATE(Saldo!$A$1,10,8)</f>
        <v>44112</v>
      </c>
      <c r="C13" s="60"/>
      <c r="D13" s="61"/>
      <c r="E13" s="60"/>
      <c r="F13" s="61"/>
      <c r="G13" s="69"/>
      <c r="H13" s="107">
        <f t="shared" si="1"/>
        <v>0</v>
      </c>
      <c r="I13" s="112"/>
      <c r="J13" s="131"/>
    </row>
    <row r="14" spans="1:10" x14ac:dyDescent="0.2">
      <c r="A14" s="98" t="str">
        <f t="shared" si="0"/>
        <v>Fr</v>
      </c>
      <c r="B14" s="128">
        <f>DATE(Saldo!$A$1,10,9)</f>
        <v>44113</v>
      </c>
      <c r="C14" s="60"/>
      <c r="D14" s="61"/>
      <c r="E14" s="60"/>
      <c r="F14" s="61"/>
      <c r="G14" s="69"/>
      <c r="H14" s="107">
        <f t="shared" si="1"/>
        <v>0</v>
      </c>
      <c r="I14" s="112"/>
      <c r="J14" s="131"/>
    </row>
    <row r="15" spans="1:10" x14ac:dyDescent="0.2">
      <c r="A15" s="98" t="str">
        <f t="shared" si="0"/>
        <v>Sa</v>
      </c>
      <c r="B15" s="128">
        <f>DATE(Saldo!$A$1,10,10)</f>
        <v>44114</v>
      </c>
      <c r="C15" s="60"/>
      <c r="D15" s="61"/>
      <c r="E15" s="60"/>
      <c r="F15" s="61"/>
      <c r="G15" s="69"/>
      <c r="H15" s="107">
        <f t="shared" si="1"/>
        <v>0</v>
      </c>
      <c r="I15" s="112"/>
      <c r="J15" s="121"/>
    </row>
    <row r="16" spans="1:10" x14ac:dyDescent="0.2">
      <c r="A16" s="98" t="str">
        <f t="shared" si="0"/>
        <v>So</v>
      </c>
      <c r="B16" s="128">
        <f>DATE(Saldo!$A$1,10,11)</f>
        <v>44115</v>
      </c>
      <c r="C16" s="60"/>
      <c r="D16" s="61"/>
      <c r="E16" s="60"/>
      <c r="F16" s="61"/>
      <c r="G16" s="69"/>
      <c r="H16" s="107">
        <f t="shared" si="1"/>
        <v>0</v>
      </c>
      <c r="I16" s="112"/>
      <c r="J16" s="121"/>
    </row>
    <row r="17" spans="1:12" x14ac:dyDescent="0.2">
      <c r="A17" s="98" t="str">
        <f t="shared" si="0"/>
        <v>Mo</v>
      </c>
      <c r="B17" s="128">
        <f>DATE(Saldo!$A$1,10,12)</f>
        <v>44116</v>
      </c>
      <c r="C17" s="60"/>
      <c r="D17" s="61"/>
      <c r="E17" s="60"/>
      <c r="F17" s="61"/>
      <c r="G17" s="69"/>
      <c r="H17" s="107">
        <f t="shared" si="1"/>
        <v>0</v>
      </c>
      <c r="I17" s="112"/>
      <c r="J17" s="131"/>
    </row>
    <row r="18" spans="1:12" x14ac:dyDescent="0.2">
      <c r="A18" s="98" t="str">
        <f t="shared" si="0"/>
        <v>Di</v>
      </c>
      <c r="B18" s="128">
        <f>DATE(Saldo!$A$1,10,13)</f>
        <v>44117</v>
      </c>
      <c r="C18" s="60"/>
      <c r="D18" s="61"/>
      <c r="E18" s="60"/>
      <c r="F18" s="61"/>
      <c r="G18" s="69"/>
      <c r="H18" s="107">
        <f>(D18-C18)+(F18-E18)+G18</f>
        <v>0</v>
      </c>
      <c r="I18" s="112"/>
      <c r="J18" s="131"/>
    </row>
    <row r="19" spans="1:12" x14ac:dyDescent="0.2">
      <c r="A19" s="98" t="str">
        <f t="shared" si="0"/>
        <v>Mi</v>
      </c>
      <c r="B19" s="128">
        <f>DATE(Saldo!$A$1,10,14)</f>
        <v>44118</v>
      </c>
      <c r="C19" s="60"/>
      <c r="D19" s="61"/>
      <c r="E19" s="60"/>
      <c r="F19" s="61"/>
      <c r="G19" s="69"/>
      <c r="H19" s="107">
        <f t="shared" si="1"/>
        <v>0</v>
      </c>
      <c r="I19" s="112"/>
      <c r="J19" s="131"/>
    </row>
    <row r="20" spans="1:12" x14ac:dyDescent="0.2">
      <c r="A20" s="98" t="str">
        <f t="shared" si="0"/>
        <v>Do</v>
      </c>
      <c r="B20" s="128">
        <f>DATE(Saldo!$A$1,10,15)</f>
        <v>44119</v>
      </c>
      <c r="C20" s="60"/>
      <c r="D20" s="61"/>
      <c r="E20" s="60"/>
      <c r="F20" s="61"/>
      <c r="G20" s="69"/>
      <c r="H20" s="107">
        <f t="shared" si="1"/>
        <v>0</v>
      </c>
      <c r="I20" s="112"/>
      <c r="J20" s="131"/>
    </row>
    <row r="21" spans="1:12" x14ac:dyDescent="0.2">
      <c r="A21" s="98" t="str">
        <f t="shared" si="0"/>
        <v>Fr</v>
      </c>
      <c r="B21" s="128">
        <f>DATE(Saldo!$A$1,10,16)</f>
        <v>44120</v>
      </c>
      <c r="C21" s="60"/>
      <c r="D21" s="61"/>
      <c r="E21" s="60"/>
      <c r="F21" s="61"/>
      <c r="G21" s="69"/>
      <c r="H21" s="107">
        <f t="shared" si="1"/>
        <v>0</v>
      </c>
      <c r="I21" s="112"/>
      <c r="J21" s="131"/>
      <c r="L21" s="121"/>
    </row>
    <row r="22" spans="1:12" x14ac:dyDescent="0.2">
      <c r="A22" s="98" t="str">
        <f t="shared" si="0"/>
        <v>Sa</v>
      </c>
      <c r="B22" s="128">
        <f>DATE(Saldo!$A$1,10,17)</f>
        <v>44121</v>
      </c>
      <c r="C22" s="60"/>
      <c r="D22" s="61"/>
      <c r="E22" s="60"/>
      <c r="F22" s="61"/>
      <c r="G22" s="69"/>
      <c r="H22" s="107">
        <f t="shared" si="1"/>
        <v>0</v>
      </c>
      <c r="I22" s="133"/>
      <c r="J22" s="120"/>
    </row>
    <row r="23" spans="1:12" x14ac:dyDescent="0.2">
      <c r="A23" s="98" t="str">
        <f t="shared" si="0"/>
        <v>So</v>
      </c>
      <c r="B23" s="128">
        <f>DATE(Saldo!$A$1,10,18)</f>
        <v>44122</v>
      </c>
      <c r="C23" s="60"/>
      <c r="D23" s="61"/>
      <c r="E23" s="60"/>
      <c r="F23" s="61"/>
      <c r="G23" s="69"/>
      <c r="H23" s="107">
        <f t="shared" si="1"/>
        <v>0</v>
      </c>
      <c r="I23" s="112"/>
      <c r="J23" s="121"/>
    </row>
    <row r="24" spans="1:12" x14ac:dyDescent="0.2">
      <c r="A24" s="98" t="str">
        <f t="shared" si="0"/>
        <v>Mo</v>
      </c>
      <c r="B24" s="128">
        <f>DATE(Saldo!$A$1,10,19)</f>
        <v>44123</v>
      </c>
      <c r="C24" s="60"/>
      <c r="D24" s="61"/>
      <c r="E24" s="60"/>
      <c r="F24" s="61"/>
      <c r="G24" s="69"/>
      <c r="H24" s="107">
        <f t="shared" si="1"/>
        <v>0</v>
      </c>
      <c r="I24" s="112"/>
      <c r="J24" s="131"/>
    </row>
    <row r="25" spans="1:12" x14ac:dyDescent="0.2">
      <c r="A25" s="98" t="str">
        <f t="shared" si="0"/>
        <v>Di</v>
      </c>
      <c r="B25" s="128">
        <f>DATE(Saldo!$A$1,10,20)</f>
        <v>44124</v>
      </c>
      <c r="C25" s="60"/>
      <c r="D25" s="61"/>
      <c r="E25" s="62"/>
      <c r="F25" s="61"/>
      <c r="G25" s="69"/>
      <c r="H25" s="107">
        <f t="shared" si="1"/>
        <v>0</v>
      </c>
      <c r="I25" s="112"/>
      <c r="J25" s="131"/>
    </row>
    <row r="26" spans="1:12" x14ac:dyDescent="0.2">
      <c r="A26" s="98" t="str">
        <f t="shared" si="0"/>
        <v>Mi</v>
      </c>
      <c r="B26" s="128">
        <f>DATE(Saldo!$A$1,10,21)</f>
        <v>44125</v>
      </c>
      <c r="C26" s="60"/>
      <c r="D26" s="61"/>
      <c r="E26" s="62"/>
      <c r="F26" s="61"/>
      <c r="G26" s="69"/>
      <c r="H26" s="107">
        <f t="shared" ref="H26:H36" si="2">(D26-C26)+(F26-E26)+G26</f>
        <v>0</v>
      </c>
      <c r="I26" s="112"/>
      <c r="J26" s="131"/>
    </row>
    <row r="27" spans="1:12" x14ac:dyDescent="0.2">
      <c r="A27" s="98" t="str">
        <f t="shared" si="0"/>
        <v>Do</v>
      </c>
      <c r="B27" s="128">
        <f>DATE(Saldo!$A$1,10,22)</f>
        <v>44126</v>
      </c>
      <c r="C27" s="60"/>
      <c r="D27" s="61"/>
      <c r="E27" s="60"/>
      <c r="F27" s="61"/>
      <c r="G27" s="69"/>
      <c r="H27" s="107">
        <f t="shared" si="2"/>
        <v>0</v>
      </c>
      <c r="I27" s="112"/>
      <c r="J27" s="131"/>
    </row>
    <row r="28" spans="1:12" x14ac:dyDescent="0.2">
      <c r="A28" s="98" t="str">
        <f t="shared" si="0"/>
        <v>Fr</v>
      </c>
      <c r="B28" s="128">
        <f>DATE(Saldo!$A$1,10,23)</f>
        <v>44127</v>
      </c>
      <c r="C28" s="60"/>
      <c r="D28" s="61"/>
      <c r="E28" s="60"/>
      <c r="F28" s="61"/>
      <c r="G28" s="69"/>
      <c r="H28" s="107">
        <f t="shared" si="2"/>
        <v>0</v>
      </c>
      <c r="I28" s="112"/>
      <c r="J28" s="131"/>
    </row>
    <row r="29" spans="1:12" x14ac:dyDescent="0.2">
      <c r="A29" s="98" t="str">
        <f t="shared" si="0"/>
        <v>Sa</v>
      </c>
      <c r="B29" s="128">
        <f>DATE(Saldo!$A$1,10,24)</f>
        <v>44128</v>
      </c>
      <c r="C29" s="60"/>
      <c r="D29" s="61"/>
      <c r="E29" s="60"/>
      <c r="F29" s="61"/>
      <c r="G29" s="69"/>
      <c r="H29" s="107">
        <f t="shared" si="2"/>
        <v>0</v>
      </c>
      <c r="I29" s="112"/>
      <c r="J29" s="134"/>
    </row>
    <row r="30" spans="1:12" x14ac:dyDescent="0.2">
      <c r="A30" s="98" t="str">
        <f t="shared" si="0"/>
        <v>So</v>
      </c>
      <c r="B30" s="128">
        <f>DATE(Saldo!$A$1,10,25)</f>
        <v>44129</v>
      </c>
      <c r="C30" s="60"/>
      <c r="D30" s="61"/>
      <c r="E30" s="60"/>
      <c r="F30" s="61"/>
      <c r="G30" s="69"/>
      <c r="H30" s="107">
        <f t="shared" si="2"/>
        <v>0</v>
      </c>
      <c r="I30" s="112"/>
      <c r="J30" s="134"/>
    </row>
    <row r="31" spans="1:12" x14ac:dyDescent="0.2">
      <c r="A31" s="98" t="str">
        <f t="shared" si="0"/>
        <v>Mo</v>
      </c>
      <c r="B31" s="128">
        <f>DATE(Saldo!$A$1,10,26)</f>
        <v>44130</v>
      </c>
      <c r="C31" s="60"/>
      <c r="D31" s="61"/>
      <c r="E31" s="60"/>
      <c r="F31" s="61"/>
      <c r="G31" s="69"/>
      <c r="H31" s="107">
        <f t="shared" si="2"/>
        <v>0</v>
      </c>
      <c r="I31" s="112"/>
      <c r="J31" s="131"/>
    </row>
    <row r="32" spans="1:12" x14ac:dyDescent="0.2">
      <c r="A32" s="98" t="str">
        <f t="shared" si="0"/>
        <v>Di</v>
      </c>
      <c r="B32" s="128">
        <f>DATE(Saldo!$A$1,10,27)</f>
        <v>44131</v>
      </c>
      <c r="C32" s="60"/>
      <c r="D32" s="61"/>
      <c r="E32" s="60"/>
      <c r="F32" s="61"/>
      <c r="G32" s="69"/>
      <c r="H32" s="107">
        <f>(D32-C32)+(F32-E32)+G32</f>
        <v>0</v>
      </c>
      <c r="I32" s="112"/>
      <c r="J32" s="131"/>
    </row>
    <row r="33" spans="1:10" x14ac:dyDescent="0.2">
      <c r="A33" s="98" t="str">
        <f t="shared" si="0"/>
        <v>Mi</v>
      </c>
      <c r="B33" s="128">
        <f>DATE(Saldo!$A$1,10,28)</f>
        <v>44132</v>
      </c>
      <c r="C33" s="60"/>
      <c r="D33" s="61"/>
      <c r="E33" s="60"/>
      <c r="F33" s="61"/>
      <c r="G33" s="69"/>
      <c r="H33" s="107">
        <f t="shared" si="2"/>
        <v>0</v>
      </c>
      <c r="I33" s="112"/>
      <c r="J33" s="131"/>
    </row>
    <row r="34" spans="1:10" x14ac:dyDescent="0.2">
      <c r="A34" s="98" t="str">
        <f t="shared" si="0"/>
        <v>Do</v>
      </c>
      <c r="B34" s="128">
        <f>DATE(Saldo!$A$1,10,29)</f>
        <v>44133</v>
      </c>
      <c r="C34" s="60"/>
      <c r="D34" s="61"/>
      <c r="E34" s="60"/>
      <c r="F34" s="61"/>
      <c r="G34" s="69"/>
      <c r="H34" s="107">
        <f t="shared" si="2"/>
        <v>0</v>
      </c>
      <c r="I34" s="112"/>
      <c r="J34" s="131"/>
    </row>
    <row r="35" spans="1:10" x14ac:dyDescent="0.2">
      <c r="A35" s="98" t="str">
        <f t="shared" si="0"/>
        <v>Fr</v>
      </c>
      <c r="B35" s="128">
        <f>DATE(Saldo!$A$1,10,30)</f>
        <v>44134</v>
      </c>
      <c r="C35" s="60"/>
      <c r="D35" s="61"/>
      <c r="E35" s="60"/>
      <c r="F35" s="61"/>
      <c r="G35" s="69"/>
      <c r="H35" s="107">
        <f t="shared" si="2"/>
        <v>0</v>
      </c>
      <c r="I35" s="112"/>
      <c r="J35" s="131"/>
    </row>
    <row r="36" spans="1:10" x14ac:dyDescent="0.2">
      <c r="A36" s="98" t="str">
        <f t="shared" si="0"/>
        <v>Sa</v>
      </c>
      <c r="B36" s="128">
        <f>DATE(Saldo!$A$1,10,31)</f>
        <v>44135</v>
      </c>
      <c r="C36" s="60"/>
      <c r="D36" s="61"/>
      <c r="E36" s="60"/>
      <c r="F36" s="61"/>
      <c r="G36" s="69"/>
      <c r="H36" s="107">
        <f t="shared" si="2"/>
        <v>0</v>
      </c>
      <c r="I36" s="112"/>
      <c r="J36" s="153"/>
    </row>
    <row r="37" spans="1:10" x14ac:dyDescent="0.2">
      <c r="A37" s="100"/>
      <c r="B37" s="125"/>
      <c r="C37" s="107"/>
      <c r="D37" s="129"/>
      <c r="E37" s="107"/>
      <c r="F37" s="129"/>
      <c r="G37" s="129"/>
      <c r="H37" s="107"/>
      <c r="I37" s="112"/>
      <c r="J37" s="134"/>
    </row>
    <row r="38" spans="1:10" s="142" customFormat="1" ht="18.75" thickBot="1" x14ac:dyDescent="0.3">
      <c r="A38" s="102"/>
      <c r="B38" s="160" t="s">
        <v>10</v>
      </c>
      <c r="C38" s="107"/>
      <c r="D38" s="129"/>
      <c r="E38" s="107"/>
      <c r="F38" s="129"/>
      <c r="G38" s="161" t="s">
        <v>11</v>
      </c>
      <c r="H38" s="162">
        <f>SUM(H6:H37)</f>
        <v>0</v>
      </c>
      <c r="I38" s="112"/>
      <c r="J38" s="134"/>
    </row>
    <row r="39" spans="1:10" ht="13.5" thickBot="1" x14ac:dyDescent="0.25">
      <c r="A39" s="100"/>
      <c r="B39" s="143"/>
      <c r="C39" s="106"/>
      <c r="D39" s="97"/>
      <c r="E39" s="144"/>
      <c r="F39" s="97"/>
      <c r="G39" s="145" t="s">
        <v>12</v>
      </c>
      <c r="H39" s="114">
        <f>Monatssaldi!B15</f>
        <v>9.1666666666666661</v>
      </c>
      <c r="I39" s="146" t="s">
        <v>13</v>
      </c>
      <c r="J39" s="141"/>
    </row>
    <row r="40" spans="1:10" ht="13.5" thickBot="1" x14ac:dyDescent="0.25">
      <c r="A40" s="104"/>
      <c r="B40" s="147"/>
      <c r="C40" s="148"/>
      <c r="D40" s="149"/>
      <c r="E40" s="150"/>
      <c r="F40" s="260" t="s">
        <v>40</v>
      </c>
      <c r="G40" s="261"/>
      <c r="H40" s="117" t="str">
        <f>IF(H38&gt;$H$39,H38-$H$39,"")</f>
        <v/>
      </c>
      <c r="I40" s="116">
        <f>IF(H38&lt;$H$39,$H$39-H38,"")</f>
        <v>9.1666666666666661</v>
      </c>
      <c r="J40" s="141"/>
    </row>
    <row r="41" spans="1:10" ht="12.75" customHeight="1" x14ac:dyDescent="0.2">
      <c r="B41" s="253" t="s">
        <v>14</v>
      </c>
      <c r="C41" s="254"/>
      <c r="D41" s="254"/>
      <c r="E41" s="254"/>
      <c r="F41" s="254"/>
      <c r="G41" s="254"/>
      <c r="H41" s="254"/>
      <c r="I41" s="255"/>
      <c r="J41" s="141"/>
    </row>
    <row r="42" spans="1:10" x14ac:dyDescent="0.2">
      <c r="B42" s="256"/>
      <c r="C42" s="257"/>
      <c r="D42" s="257"/>
      <c r="E42" s="257"/>
      <c r="F42" s="257"/>
      <c r="G42" s="257"/>
      <c r="H42" s="257"/>
      <c r="I42" s="258"/>
      <c r="J42" s="141"/>
    </row>
    <row r="43" spans="1:10" x14ac:dyDescent="0.2">
      <c r="A43" s="121"/>
      <c r="C43" s="142"/>
      <c r="J43" s="141"/>
    </row>
    <row r="44" spans="1:10" x14ac:dyDescent="0.2">
      <c r="A44" s="121"/>
      <c r="C44" s="142"/>
      <c r="J44" s="141"/>
    </row>
    <row r="45" spans="1:10" x14ac:dyDescent="0.2">
      <c r="A45" s="121"/>
      <c r="C45" s="142"/>
      <c r="J45" s="141"/>
    </row>
    <row r="46" spans="1:10" x14ac:dyDescent="0.2">
      <c r="A46" s="121"/>
      <c r="C46" s="142"/>
      <c r="J46" s="141"/>
    </row>
    <row r="47" spans="1:10" x14ac:dyDescent="0.2">
      <c r="A47" s="121"/>
      <c r="C47" s="142"/>
      <c r="J47" s="141"/>
    </row>
    <row r="48" spans="1:10" x14ac:dyDescent="0.2">
      <c r="A48" s="121"/>
      <c r="C48" s="142"/>
      <c r="J48" s="141"/>
    </row>
    <row r="49" spans="1:10" x14ac:dyDescent="0.2">
      <c r="A49" s="121"/>
      <c r="C49" s="142"/>
      <c r="J49" s="141"/>
    </row>
    <row r="50" spans="1:10" x14ac:dyDescent="0.2">
      <c r="C50" s="142"/>
      <c r="J50" s="141"/>
    </row>
    <row r="51" spans="1:10" x14ac:dyDescent="0.2">
      <c r="C51" s="142"/>
      <c r="J51" s="141"/>
    </row>
    <row r="52" spans="1:10" x14ac:dyDescent="0.2">
      <c r="C52" s="142"/>
      <c r="J52" s="141"/>
    </row>
    <row r="53" spans="1:10" x14ac:dyDescent="0.2">
      <c r="C53" s="142"/>
      <c r="J53" s="141"/>
    </row>
    <row r="54" spans="1:10" x14ac:dyDescent="0.2">
      <c r="C54" s="142"/>
      <c r="J54" s="141"/>
    </row>
    <row r="55" spans="1:10" x14ac:dyDescent="0.2">
      <c r="C55" s="142"/>
      <c r="J55" s="141"/>
    </row>
    <row r="56" spans="1:10" x14ac:dyDescent="0.2">
      <c r="C56" s="142"/>
      <c r="J56" s="141"/>
    </row>
    <row r="57" spans="1:10" x14ac:dyDescent="0.2">
      <c r="J57" s="142"/>
    </row>
    <row r="58" spans="1:10" ht="15" x14ac:dyDescent="0.2">
      <c r="C58" s="151"/>
      <c r="D58" s="142"/>
      <c r="E58" s="142"/>
      <c r="F58" s="142"/>
      <c r="G58" s="142"/>
      <c r="H58" s="142"/>
      <c r="J58" s="141"/>
    </row>
  </sheetData>
  <sheetProtection algorithmName="SHA-512" hashValue="AbaewEVpNh9aAFKJPWqmyxUnBYoZzOfakeh6f4+j3upBsFk7Hu/d2WjGirGclhyQOajDHGdjJyizp/Yb9By0aA==" saltValue="Io2wtaW+Vl8RTd6BUty8qA==" spinCount="100000" sheet="1" objects="1" scenarios="1" selectLockedCells="1"/>
  <mergeCells count="5">
    <mergeCell ref="B41:I42"/>
    <mergeCell ref="G2:I2"/>
    <mergeCell ref="B3:I3"/>
    <mergeCell ref="F40:G40"/>
    <mergeCell ref="A2:B2"/>
  </mergeCells>
  <phoneticPr fontId="0" type="noConversion"/>
  <conditionalFormatting sqref="A6:I36">
    <cfRule type="expression" dxfId="11" priority="1">
      <formula>AND($I6 &lt;&gt; "",$A6 &lt;&gt; "So",$A6&lt;&gt;"Sa")</formula>
    </cfRule>
    <cfRule type="expression" dxfId="10" priority="2">
      <formula>$I6 &lt;&gt; ""</formula>
    </cfRule>
    <cfRule type="expression" dxfId="9" priority="3">
      <formula>$A6 ="So"</formula>
    </cfRule>
    <cfRule type="expression" dxfId="8" priority="4">
      <formula>$A6 = "Sa"</formula>
    </cfRule>
  </conditionalFormatting>
  <pageMargins left="0.78740157480314965" right="0.39370078740157483" top="0.98425196850393704" bottom="0.98425196850393704" header="0.51181102362204722" footer="0.51181102362204722"/>
  <pageSetup paperSize="9" orientation="portrait" horizontalDpi="4294967292" verticalDpi="300"/>
  <headerFooter alignWithMargins="0">
    <oddHeader>&amp;L&amp;G</oddHeader>
  </headerFooter>
  <legacyDrawingHF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4" workbookViewId="0">
      <selection activeCell="C6" sqref="C6"/>
    </sheetView>
  </sheetViews>
  <sheetFormatPr baseColWidth="10" defaultColWidth="10.83203125" defaultRowHeight="12.75" x14ac:dyDescent="0.2"/>
  <cols>
    <col min="1" max="1" width="5.5" style="87" customWidth="1"/>
    <col min="2" max="2" width="12.6640625" style="87" customWidth="1"/>
    <col min="3" max="6" width="8.83203125" style="87" customWidth="1"/>
    <col min="7" max="7" width="11.83203125" style="87" customWidth="1"/>
    <col min="8" max="8" width="11" style="87" customWidth="1"/>
    <col min="9" max="9" width="22.5" style="88" customWidth="1"/>
    <col min="10" max="16384" width="10.83203125" style="87"/>
  </cols>
  <sheetData>
    <row r="1" spans="1:10" ht="15.95" customHeight="1" x14ac:dyDescent="0.2">
      <c r="A1" s="86" t="s">
        <v>54</v>
      </c>
      <c r="B1" s="86"/>
    </row>
    <row r="2" spans="1:10" s="89" customFormat="1" ht="26.1" customHeight="1" x14ac:dyDescent="0.2">
      <c r="A2" s="252" t="s">
        <v>33</v>
      </c>
      <c r="B2" s="252"/>
      <c r="C2" s="89">
        <f>Saldo!A1</f>
        <v>2020</v>
      </c>
      <c r="D2" s="90"/>
      <c r="E2" s="90"/>
      <c r="F2" s="90"/>
      <c r="G2" s="242">
        <f>MA</f>
        <v>0</v>
      </c>
      <c r="H2" s="243"/>
      <c r="I2" s="243"/>
      <c r="J2" s="120"/>
    </row>
    <row r="3" spans="1:10" ht="13.5" thickBot="1" x14ac:dyDescent="0.25">
      <c r="B3" s="250"/>
      <c r="C3" s="251"/>
      <c r="D3" s="251"/>
      <c r="E3" s="251"/>
      <c r="F3" s="251"/>
      <c r="G3" s="251"/>
      <c r="H3" s="251"/>
      <c r="I3" s="251"/>
      <c r="J3" s="121"/>
    </row>
    <row r="4" spans="1:10" s="124" customFormat="1" ht="11.25" x14ac:dyDescent="0.15">
      <c r="A4" s="91"/>
      <c r="B4" s="122" t="s">
        <v>0</v>
      </c>
      <c r="C4" s="93" t="s">
        <v>1</v>
      </c>
      <c r="D4" s="94" t="s">
        <v>2</v>
      </c>
      <c r="E4" s="93" t="s">
        <v>3</v>
      </c>
      <c r="F4" s="94" t="s">
        <v>4</v>
      </c>
      <c r="G4" s="94" t="s">
        <v>5</v>
      </c>
      <c r="H4" s="92" t="s">
        <v>6</v>
      </c>
      <c r="I4" s="95" t="s">
        <v>7</v>
      </c>
      <c r="J4" s="123"/>
    </row>
    <row r="5" spans="1:10" x14ac:dyDescent="0.2">
      <c r="A5" s="100"/>
      <c r="B5" s="125"/>
      <c r="C5" s="126"/>
      <c r="D5" s="101"/>
      <c r="E5" s="126"/>
      <c r="F5" s="101"/>
      <c r="G5" s="101"/>
      <c r="H5" s="127"/>
      <c r="I5" s="112"/>
      <c r="J5" s="121"/>
    </row>
    <row r="6" spans="1:10" x14ac:dyDescent="0.2">
      <c r="A6" s="98" t="str">
        <f>TEXT((WEEKDAY(TEXT(B6,"TT")&amp;"."&amp;$A$2&amp;"."&amp;$C$2)),"TTT")</f>
        <v>So</v>
      </c>
      <c r="B6" s="128">
        <f>DATE(Saldo!$A$1,11,1)</f>
        <v>44136</v>
      </c>
      <c r="C6" s="60"/>
      <c r="D6" s="61"/>
      <c r="E6" s="60"/>
      <c r="F6" s="61"/>
      <c r="G6" s="69"/>
      <c r="H6" s="107">
        <f t="shared" ref="H6:H23" si="0">(D6-C6)+(F6-E6)+G6</f>
        <v>0</v>
      </c>
      <c r="I6" s="111"/>
      <c r="J6" s="121"/>
    </row>
    <row r="7" spans="1:10" x14ac:dyDescent="0.2">
      <c r="A7" s="98" t="str">
        <f t="shared" ref="A7:A35" si="1">TEXT((WEEKDAY(TEXT(B7,"TT")&amp;"."&amp;$A$2&amp;"."&amp;$C$2)),"TTT")</f>
        <v>Mo</v>
      </c>
      <c r="B7" s="128">
        <f>DATE(Saldo!$A$1,11,2)</f>
        <v>44137</v>
      </c>
      <c r="C7" s="60"/>
      <c r="D7" s="61"/>
      <c r="E7" s="60"/>
      <c r="F7" s="61"/>
      <c r="G7" s="69"/>
      <c r="H7" s="107">
        <f t="shared" si="0"/>
        <v>0</v>
      </c>
      <c r="I7" s="112"/>
      <c r="J7" s="131"/>
    </row>
    <row r="8" spans="1:10" x14ac:dyDescent="0.2">
      <c r="A8" s="98" t="str">
        <f t="shared" si="1"/>
        <v>Di</v>
      </c>
      <c r="B8" s="128">
        <f>DATE(Saldo!$A$1,11,3)</f>
        <v>44138</v>
      </c>
      <c r="C8" s="60"/>
      <c r="D8" s="61"/>
      <c r="E8" s="60"/>
      <c r="F8" s="61"/>
      <c r="G8" s="69"/>
      <c r="H8" s="107">
        <f>(D8-C8)+(F8-E8)+G8</f>
        <v>0</v>
      </c>
      <c r="I8" s="112"/>
      <c r="J8" s="131"/>
    </row>
    <row r="9" spans="1:10" x14ac:dyDescent="0.2">
      <c r="A9" s="98" t="str">
        <f t="shared" si="1"/>
        <v>Mi</v>
      </c>
      <c r="B9" s="128">
        <f>DATE(Saldo!$A$1,11,4)</f>
        <v>44139</v>
      </c>
      <c r="C9" s="60"/>
      <c r="D9" s="61"/>
      <c r="E9" s="60"/>
      <c r="F9" s="61"/>
      <c r="G9" s="69"/>
      <c r="H9" s="107">
        <f t="shared" si="0"/>
        <v>0</v>
      </c>
      <c r="I9" s="112"/>
      <c r="J9" s="131"/>
    </row>
    <row r="10" spans="1:10" x14ac:dyDescent="0.2">
      <c r="A10" s="98" t="str">
        <f t="shared" si="1"/>
        <v>Do</v>
      </c>
      <c r="B10" s="128">
        <f>DATE(Saldo!$A$1,11,5)</f>
        <v>44140</v>
      </c>
      <c r="C10" s="60"/>
      <c r="D10" s="61"/>
      <c r="E10" s="60"/>
      <c r="F10" s="61"/>
      <c r="G10" s="69"/>
      <c r="H10" s="107">
        <f t="shared" si="0"/>
        <v>0</v>
      </c>
      <c r="I10" s="112"/>
      <c r="J10" s="131"/>
    </row>
    <row r="11" spans="1:10" x14ac:dyDescent="0.2">
      <c r="A11" s="98" t="str">
        <f t="shared" si="1"/>
        <v>Fr</v>
      </c>
      <c r="B11" s="128">
        <f>DATE(Saldo!$A$1,11,6)</f>
        <v>44141</v>
      </c>
      <c r="C11" s="60"/>
      <c r="D11" s="61"/>
      <c r="E11" s="60"/>
      <c r="F11" s="61"/>
      <c r="G11" s="69"/>
      <c r="H11" s="107">
        <f t="shared" si="0"/>
        <v>0</v>
      </c>
      <c r="I11" s="112"/>
      <c r="J11" s="131"/>
    </row>
    <row r="12" spans="1:10" x14ac:dyDescent="0.2">
      <c r="A12" s="98" t="str">
        <f t="shared" si="1"/>
        <v>Sa</v>
      </c>
      <c r="B12" s="128">
        <f>DATE(Saldo!$A$1,11,7)</f>
        <v>44142</v>
      </c>
      <c r="C12" s="60"/>
      <c r="D12" s="61"/>
      <c r="E12" s="60"/>
      <c r="F12" s="61"/>
      <c r="G12" s="69"/>
      <c r="H12" s="107">
        <f t="shared" si="0"/>
        <v>0</v>
      </c>
      <c r="I12" s="112"/>
      <c r="J12" s="121"/>
    </row>
    <row r="13" spans="1:10" x14ac:dyDescent="0.2">
      <c r="A13" s="98" t="str">
        <f t="shared" si="1"/>
        <v>So</v>
      </c>
      <c r="B13" s="128">
        <f>DATE(Saldo!$A$1,11,8)</f>
        <v>44143</v>
      </c>
      <c r="C13" s="60"/>
      <c r="D13" s="61"/>
      <c r="E13" s="60"/>
      <c r="F13" s="61"/>
      <c r="G13" s="69"/>
      <c r="H13" s="107">
        <f t="shared" si="0"/>
        <v>0</v>
      </c>
      <c r="I13" s="112"/>
      <c r="J13" s="121"/>
    </row>
    <row r="14" spans="1:10" x14ac:dyDescent="0.2">
      <c r="A14" s="98" t="str">
        <f t="shared" si="1"/>
        <v>Mo</v>
      </c>
      <c r="B14" s="128">
        <f>DATE(Saldo!$A$1,11,9)</f>
        <v>44144</v>
      </c>
      <c r="C14" s="60"/>
      <c r="D14" s="61"/>
      <c r="E14" s="60"/>
      <c r="F14" s="61"/>
      <c r="G14" s="69"/>
      <c r="H14" s="107">
        <f t="shared" si="0"/>
        <v>0</v>
      </c>
      <c r="I14" s="112"/>
      <c r="J14" s="131"/>
    </row>
    <row r="15" spans="1:10" x14ac:dyDescent="0.2">
      <c r="A15" s="98" t="str">
        <f t="shared" si="1"/>
        <v>Di</v>
      </c>
      <c r="B15" s="128">
        <f>DATE(Saldo!$A$1,11,10)</f>
        <v>44145</v>
      </c>
      <c r="C15" s="60"/>
      <c r="D15" s="61"/>
      <c r="E15" s="60"/>
      <c r="F15" s="61"/>
      <c r="G15" s="69"/>
      <c r="H15" s="107">
        <f>(D15-C15)+(F15-E15)+G15</f>
        <v>0</v>
      </c>
      <c r="I15" s="112"/>
      <c r="J15" s="131"/>
    </row>
    <row r="16" spans="1:10" x14ac:dyDescent="0.2">
      <c r="A16" s="98" t="str">
        <f t="shared" si="1"/>
        <v>Mi</v>
      </c>
      <c r="B16" s="128">
        <f>DATE(Saldo!$A$1,11,11)</f>
        <v>44146</v>
      </c>
      <c r="C16" s="60"/>
      <c r="D16" s="61"/>
      <c r="E16" s="60"/>
      <c r="F16" s="61"/>
      <c r="G16" s="69"/>
      <c r="H16" s="107">
        <f t="shared" si="0"/>
        <v>0</v>
      </c>
      <c r="I16" s="112"/>
      <c r="J16" s="131"/>
    </row>
    <row r="17" spans="1:10" x14ac:dyDescent="0.2">
      <c r="A17" s="98" t="str">
        <f t="shared" si="1"/>
        <v>Do</v>
      </c>
      <c r="B17" s="128">
        <f>DATE(Saldo!$A$1,11,12)</f>
        <v>44147</v>
      </c>
      <c r="C17" s="60"/>
      <c r="D17" s="61"/>
      <c r="E17" s="60"/>
      <c r="F17" s="61"/>
      <c r="G17" s="69"/>
      <c r="H17" s="107">
        <f t="shared" si="0"/>
        <v>0</v>
      </c>
      <c r="I17" s="112"/>
      <c r="J17" s="131"/>
    </row>
    <row r="18" spans="1:10" x14ac:dyDescent="0.2">
      <c r="A18" s="98" t="str">
        <f t="shared" si="1"/>
        <v>Fr</v>
      </c>
      <c r="B18" s="128">
        <f>DATE(Saldo!$A$1,11,13)</f>
        <v>44148</v>
      </c>
      <c r="C18" s="60"/>
      <c r="D18" s="61"/>
      <c r="E18" s="60"/>
      <c r="F18" s="61"/>
      <c r="G18" s="69"/>
      <c r="H18" s="107">
        <f t="shared" si="0"/>
        <v>0</v>
      </c>
      <c r="I18" s="112"/>
      <c r="J18" s="131"/>
    </row>
    <row r="19" spans="1:10" x14ac:dyDescent="0.2">
      <c r="A19" s="98" t="str">
        <f t="shared" si="1"/>
        <v>Sa</v>
      </c>
      <c r="B19" s="128">
        <f>DATE(Saldo!$A$1,11,14)</f>
        <v>44149</v>
      </c>
      <c r="C19" s="60"/>
      <c r="D19" s="61"/>
      <c r="E19" s="60"/>
      <c r="F19" s="61"/>
      <c r="G19" s="69"/>
      <c r="H19" s="107">
        <f t="shared" si="0"/>
        <v>0</v>
      </c>
      <c r="I19" s="112"/>
      <c r="J19" s="121"/>
    </row>
    <row r="20" spans="1:10" x14ac:dyDescent="0.2">
      <c r="A20" s="98" t="str">
        <f t="shared" si="1"/>
        <v>So</v>
      </c>
      <c r="B20" s="128">
        <f>DATE(Saldo!$A$1,11,15)</f>
        <v>44150</v>
      </c>
      <c r="C20" s="60"/>
      <c r="D20" s="61"/>
      <c r="E20" s="60"/>
      <c r="F20" s="61"/>
      <c r="G20" s="69"/>
      <c r="H20" s="107">
        <f t="shared" si="0"/>
        <v>0</v>
      </c>
      <c r="I20" s="112"/>
      <c r="J20" s="121"/>
    </row>
    <row r="21" spans="1:10" x14ac:dyDescent="0.2">
      <c r="A21" s="98" t="str">
        <f t="shared" si="1"/>
        <v>Mo</v>
      </c>
      <c r="B21" s="128">
        <f>DATE(Saldo!$A$1,11,16)</f>
        <v>44151</v>
      </c>
      <c r="C21" s="60"/>
      <c r="D21" s="61"/>
      <c r="E21" s="60"/>
      <c r="F21" s="61"/>
      <c r="G21" s="69"/>
      <c r="H21" s="107">
        <f t="shared" si="0"/>
        <v>0</v>
      </c>
      <c r="I21" s="112"/>
      <c r="J21" s="131"/>
    </row>
    <row r="22" spans="1:10" x14ac:dyDescent="0.2">
      <c r="A22" s="98" t="str">
        <f t="shared" si="1"/>
        <v>Di</v>
      </c>
      <c r="B22" s="128">
        <f>DATE(Saldo!$A$1,11,17)</f>
        <v>44152</v>
      </c>
      <c r="C22" s="60"/>
      <c r="D22" s="61"/>
      <c r="E22" s="60"/>
      <c r="F22" s="61"/>
      <c r="G22" s="69"/>
      <c r="H22" s="107">
        <f>(D22-C22)+(F22-E22)+G22</f>
        <v>0</v>
      </c>
      <c r="I22" s="112"/>
      <c r="J22" s="131"/>
    </row>
    <row r="23" spans="1:10" x14ac:dyDescent="0.2">
      <c r="A23" s="98" t="str">
        <f t="shared" si="1"/>
        <v>Mi</v>
      </c>
      <c r="B23" s="128">
        <f>DATE(Saldo!$A$1,11,18)</f>
        <v>44153</v>
      </c>
      <c r="C23" s="60"/>
      <c r="D23" s="61"/>
      <c r="E23" s="60"/>
      <c r="F23" s="61"/>
      <c r="G23" s="69"/>
      <c r="H23" s="107">
        <f t="shared" si="0"/>
        <v>0</v>
      </c>
      <c r="I23" s="112"/>
      <c r="J23" s="131"/>
    </row>
    <row r="24" spans="1:10" x14ac:dyDescent="0.2">
      <c r="A24" s="98" t="str">
        <f t="shared" si="1"/>
        <v>Do</v>
      </c>
      <c r="B24" s="128">
        <f>DATE(Saldo!$A$1,11,19)</f>
        <v>44154</v>
      </c>
      <c r="C24" s="60"/>
      <c r="D24" s="61"/>
      <c r="E24" s="60"/>
      <c r="F24" s="61"/>
      <c r="G24" s="69"/>
      <c r="H24" s="107">
        <f>(D24-C24)+(F24-E24)+G24</f>
        <v>0</v>
      </c>
      <c r="I24" s="112"/>
      <c r="J24" s="131"/>
    </row>
    <row r="25" spans="1:10" x14ac:dyDescent="0.2">
      <c r="A25" s="98" t="str">
        <f t="shared" si="1"/>
        <v>Fr</v>
      </c>
      <c r="B25" s="128">
        <f>DATE(Saldo!$A$1,11,20)</f>
        <v>44155</v>
      </c>
      <c r="C25" s="60"/>
      <c r="D25" s="61"/>
      <c r="E25" s="60"/>
      <c r="F25" s="61"/>
      <c r="G25" s="69"/>
      <c r="H25" s="107">
        <f t="shared" ref="H25:H35" si="2">(D25-C25)+(F25-E25)+G25</f>
        <v>0</v>
      </c>
      <c r="I25" s="112"/>
      <c r="J25" s="131"/>
    </row>
    <row r="26" spans="1:10" x14ac:dyDescent="0.2">
      <c r="A26" s="98" t="str">
        <f t="shared" si="1"/>
        <v>Sa</v>
      </c>
      <c r="B26" s="128">
        <f>DATE(Saldo!$A$1,11,21)</f>
        <v>44156</v>
      </c>
      <c r="C26" s="60"/>
      <c r="D26" s="61"/>
      <c r="E26" s="62"/>
      <c r="F26" s="61"/>
      <c r="G26" s="69"/>
      <c r="H26" s="107">
        <f t="shared" si="2"/>
        <v>0</v>
      </c>
      <c r="I26" s="112"/>
      <c r="J26" s="134"/>
    </row>
    <row r="27" spans="1:10" x14ac:dyDescent="0.2">
      <c r="A27" s="98" t="str">
        <f t="shared" si="1"/>
        <v>So</v>
      </c>
      <c r="B27" s="128">
        <f>DATE(Saldo!$A$1,11,22)</f>
        <v>44157</v>
      </c>
      <c r="C27" s="60"/>
      <c r="D27" s="61"/>
      <c r="E27" s="60"/>
      <c r="F27" s="61"/>
      <c r="G27" s="69"/>
      <c r="H27" s="107">
        <f t="shared" si="2"/>
        <v>0</v>
      </c>
      <c r="I27" s="112"/>
      <c r="J27" s="134"/>
    </row>
    <row r="28" spans="1:10" x14ac:dyDescent="0.2">
      <c r="A28" s="98" t="str">
        <f t="shared" si="1"/>
        <v>Mo</v>
      </c>
      <c r="B28" s="128">
        <f>DATE(Saldo!$A$1,11,23)</f>
        <v>44158</v>
      </c>
      <c r="C28" s="60"/>
      <c r="D28" s="61"/>
      <c r="E28" s="60"/>
      <c r="F28" s="61"/>
      <c r="G28" s="69"/>
      <c r="H28" s="107">
        <f t="shared" si="2"/>
        <v>0</v>
      </c>
      <c r="I28" s="112"/>
      <c r="J28" s="131"/>
    </row>
    <row r="29" spans="1:10" x14ac:dyDescent="0.2">
      <c r="A29" s="98" t="str">
        <f t="shared" si="1"/>
        <v>Di</v>
      </c>
      <c r="B29" s="128">
        <f>DATE(Saldo!$A$1,11,24)</f>
        <v>44159</v>
      </c>
      <c r="C29" s="60"/>
      <c r="D29" s="61"/>
      <c r="E29" s="60"/>
      <c r="F29" s="61"/>
      <c r="G29" s="69"/>
      <c r="H29" s="107">
        <f>(D29-C29)+(F29-E29)+G29</f>
        <v>0</v>
      </c>
      <c r="I29" s="112"/>
      <c r="J29" s="131"/>
    </row>
    <row r="30" spans="1:10" x14ac:dyDescent="0.2">
      <c r="A30" s="98" t="str">
        <f t="shared" si="1"/>
        <v>Mi</v>
      </c>
      <c r="B30" s="128">
        <f>DATE(Saldo!$A$1,11,25)</f>
        <v>44160</v>
      </c>
      <c r="C30" s="60"/>
      <c r="D30" s="61"/>
      <c r="E30" s="60"/>
      <c r="F30" s="61"/>
      <c r="G30" s="69"/>
      <c r="H30" s="107">
        <f t="shared" si="2"/>
        <v>0</v>
      </c>
      <c r="I30" s="112"/>
      <c r="J30" s="131"/>
    </row>
    <row r="31" spans="1:10" x14ac:dyDescent="0.2">
      <c r="A31" s="98" t="str">
        <f t="shared" si="1"/>
        <v>Do</v>
      </c>
      <c r="B31" s="128">
        <f>DATE(Saldo!$A$1,11,26)</f>
        <v>44161</v>
      </c>
      <c r="C31" s="60"/>
      <c r="D31" s="61"/>
      <c r="E31" s="60"/>
      <c r="F31" s="61"/>
      <c r="G31" s="69"/>
      <c r="H31" s="107">
        <f t="shared" si="2"/>
        <v>0</v>
      </c>
      <c r="I31" s="112"/>
      <c r="J31" s="131"/>
    </row>
    <row r="32" spans="1:10" x14ac:dyDescent="0.2">
      <c r="A32" s="98" t="str">
        <f t="shared" si="1"/>
        <v>Fr</v>
      </c>
      <c r="B32" s="128">
        <f>DATE(Saldo!$A$1,11,27)</f>
        <v>44162</v>
      </c>
      <c r="C32" s="60"/>
      <c r="D32" s="61"/>
      <c r="E32" s="60"/>
      <c r="F32" s="61"/>
      <c r="G32" s="69"/>
      <c r="H32" s="107">
        <f t="shared" si="2"/>
        <v>0</v>
      </c>
      <c r="I32" s="112"/>
      <c r="J32" s="131"/>
    </row>
    <row r="33" spans="1:10" x14ac:dyDescent="0.2">
      <c r="A33" s="98" t="str">
        <f t="shared" si="1"/>
        <v>Sa</v>
      </c>
      <c r="B33" s="128">
        <f>DATE(Saldo!$A$1,11,28)</f>
        <v>44163</v>
      </c>
      <c r="C33" s="60"/>
      <c r="D33" s="61"/>
      <c r="E33" s="60"/>
      <c r="F33" s="61"/>
      <c r="G33" s="69"/>
      <c r="H33" s="107">
        <f t="shared" si="2"/>
        <v>0</v>
      </c>
      <c r="I33" s="112"/>
      <c r="J33" s="134"/>
    </row>
    <row r="34" spans="1:10" x14ac:dyDescent="0.2">
      <c r="A34" s="98" t="str">
        <f t="shared" si="1"/>
        <v>So</v>
      </c>
      <c r="B34" s="128">
        <f>DATE(Saldo!$A$1,11,29)</f>
        <v>44164</v>
      </c>
      <c r="C34" s="60"/>
      <c r="D34" s="61"/>
      <c r="E34" s="60"/>
      <c r="F34" s="61"/>
      <c r="G34" s="69"/>
      <c r="H34" s="107">
        <f t="shared" si="2"/>
        <v>0</v>
      </c>
      <c r="I34" s="112"/>
      <c r="J34" s="134"/>
    </row>
    <row r="35" spans="1:10" x14ac:dyDescent="0.2">
      <c r="A35" s="98" t="str">
        <f t="shared" si="1"/>
        <v>Mo</v>
      </c>
      <c r="B35" s="128">
        <f>DATE(Saldo!$A$1,11,30)</f>
        <v>44165</v>
      </c>
      <c r="C35" s="60"/>
      <c r="D35" s="61"/>
      <c r="E35" s="60"/>
      <c r="F35" s="61"/>
      <c r="G35" s="69"/>
      <c r="H35" s="107">
        <f t="shared" si="2"/>
        <v>0</v>
      </c>
      <c r="I35" s="112"/>
      <c r="J35" s="136"/>
    </row>
    <row r="36" spans="1:10" x14ac:dyDescent="0.2">
      <c r="A36" s="98"/>
      <c r="B36" s="143"/>
      <c r="C36" s="138"/>
      <c r="D36" s="139"/>
      <c r="E36" s="138"/>
      <c r="F36" s="139"/>
      <c r="G36" s="139"/>
      <c r="H36" s="138"/>
      <c r="I36" s="110"/>
      <c r="J36" s="136"/>
    </row>
    <row r="37" spans="1:10" x14ac:dyDescent="0.2">
      <c r="A37" s="100"/>
      <c r="B37" s="143"/>
      <c r="C37" s="138"/>
      <c r="D37" s="139"/>
      <c r="E37" s="138"/>
      <c r="F37" s="139"/>
      <c r="G37" s="163"/>
      <c r="H37" s="138"/>
      <c r="I37" s="110"/>
      <c r="J37" s="141"/>
    </row>
    <row r="38" spans="1:10" s="142" customFormat="1" ht="18.75" thickBot="1" x14ac:dyDescent="0.3">
      <c r="A38" s="102"/>
      <c r="B38" s="137" t="s">
        <v>10</v>
      </c>
      <c r="C38" s="138"/>
      <c r="D38" s="139"/>
      <c r="E38" s="138"/>
      <c r="F38" s="139"/>
      <c r="G38" s="140" t="s">
        <v>11</v>
      </c>
      <c r="H38" s="109">
        <f>SUM(H6:H37)</f>
        <v>0</v>
      </c>
      <c r="I38" s="110"/>
      <c r="J38" s="141"/>
    </row>
    <row r="39" spans="1:10" ht="13.5" thickBot="1" x14ac:dyDescent="0.25">
      <c r="A39" s="100"/>
      <c r="B39" s="143"/>
      <c r="C39" s="106"/>
      <c r="D39" s="97"/>
      <c r="E39" s="144"/>
      <c r="F39" s="97"/>
      <c r="G39" s="145" t="s">
        <v>12</v>
      </c>
      <c r="H39" s="170">
        <f>Monatssaldi!B16</f>
        <v>8.75</v>
      </c>
      <c r="I39" s="146" t="s">
        <v>13</v>
      </c>
      <c r="J39" s="141"/>
    </row>
    <row r="40" spans="1:10" ht="13.5" thickBot="1" x14ac:dyDescent="0.25">
      <c r="A40" s="104"/>
      <c r="B40" s="147"/>
      <c r="C40" s="148"/>
      <c r="D40" s="149"/>
      <c r="E40" s="150"/>
      <c r="F40" s="260" t="s">
        <v>40</v>
      </c>
      <c r="G40" s="261"/>
      <c r="H40" s="117" t="str">
        <f>IF(H38&gt;$H$39,H38-$H$39,"")</f>
        <v/>
      </c>
      <c r="I40" s="116">
        <f>IF(H38&lt;$H$39,$H$39-H38,"")</f>
        <v>8.75</v>
      </c>
      <c r="J40" s="141"/>
    </row>
    <row r="41" spans="1:10" ht="12.75" customHeight="1" x14ac:dyDescent="0.2">
      <c r="B41" s="253" t="s">
        <v>14</v>
      </c>
      <c r="C41" s="254"/>
      <c r="D41" s="254"/>
      <c r="E41" s="254"/>
      <c r="F41" s="254"/>
      <c r="G41" s="254"/>
      <c r="H41" s="254"/>
      <c r="I41" s="255"/>
      <c r="J41" s="141"/>
    </row>
    <row r="42" spans="1:10" x14ac:dyDescent="0.2">
      <c r="B42" s="256"/>
      <c r="C42" s="257"/>
      <c r="D42" s="257"/>
      <c r="E42" s="257"/>
      <c r="F42" s="257"/>
      <c r="G42" s="257"/>
      <c r="H42" s="257"/>
      <c r="I42" s="258"/>
      <c r="J42" s="141"/>
    </row>
    <row r="43" spans="1:10" x14ac:dyDescent="0.2">
      <c r="A43" s="121"/>
      <c r="C43" s="142"/>
      <c r="J43" s="141"/>
    </row>
    <row r="44" spans="1:10" x14ac:dyDescent="0.2">
      <c r="A44" s="121"/>
      <c r="C44" s="142"/>
      <c r="J44" s="141"/>
    </row>
    <row r="45" spans="1:10" x14ac:dyDescent="0.2">
      <c r="A45" s="121"/>
      <c r="C45" s="142"/>
      <c r="J45" s="141"/>
    </row>
    <row r="46" spans="1:10" x14ac:dyDescent="0.2">
      <c r="A46" s="121"/>
      <c r="C46" s="142"/>
      <c r="J46" s="141"/>
    </row>
    <row r="47" spans="1:10" x14ac:dyDescent="0.2">
      <c r="A47" s="121"/>
      <c r="C47" s="142"/>
      <c r="J47" s="141"/>
    </row>
    <row r="48" spans="1:10" x14ac:dyDescent="0.2">
      <c r="A48" s="121"/>
      <c r="C48" s="142"/>
      <c r="J48" s="141"/>
    </row>
    <row r="49" spans="1:10" x14ac:dyDescent="0.2">
      <c r="A49" s="121"/>
      <c r="C49" s="142"/>
      <c r="J49" s="141"/>
    </row>
    <row r="50" spans="1:10" x14ac:dyDescent="0.2">
      <c r="C50" s="142"/>
      <c r="J50" s="141"/>
    </row>
    <row r="51" spans="1:10" x14ac:dyDescent="0.2">
      <c r="C51" s="142"/>
      <c r="J51" s="141"/>
    </row>
    <row r="52" spans="1:10" x14ac:dyDescent="0.2">
      <c r="C52" s="142"/>
      <c r="J52" s="141"/>
    </row>
    <row r="53" spans="1:10" x14ac:dyDescent="0.2">
      <c r="C53" s="142"/>
      <c r="J53" s="141"/>
    </row>
    <row r="54" spans="1:10" x14ac:dyDescent="0.2">
      <c r="C54" s="142"/>
      <c r="J54" s="141"/>
    </row>
    <row r="55" spans="1:10" x14ac:dyDescent="0.2">
      <c r="C55" s="142"/>
      <c r="J55" s="141"/>
    </row>
    <row r="56" spans="1:10" x14ac:dyDescent="0.2">
      <c r="C56" s="142"/>
      <c r="J56" s="141"/>
    </row>
    <row r="57" spans="1:10" x14ac:dyDescent="0.2">
      <c r="J57" s="142"/>
    </row>
    <row r="58" spans="1:10" ht="15" x14ac:dyDescent="0.2">
      <c r="C58" s="151"/>
      <c r="D58" s="142"/>
      <c r="E58" s="142"/>
      <c r="F58" s="142"/>
      <c r="G58" s="142"/>
      <c r="H58" s="142"/>
      <c r="J58" s="141"/>
    </row>
  </sheetData>
  <sheetProtection algorithmName="SHA-512" hashValue="TQepE4+JteFEMqM6Woue4iyprxtEb4V+Cw8t3I3jA/SUwju0kWMTcL+yVMLKCUG75Dl0HVTqr+x9JTQzKa7PLw==" saltValue="PgzqoHqWPHhRtV0952tQiA==" spinCount="100000" sheet="1" objects="1" scenarios="1" selectLockedCells="1"/>
  <mergeCells count="5">
    <mergeCell ref="B41:I42"/>
    <mergeCell ref="G2:I2"/>
    <mergeCell ref="B3:I3"/>
    <mergeCell ref="F40:G40"/>
    <mergeCell ref="A2:B2"/>
  </mergeCells>
  <phoneticPr fontId="0" type="noConversion"/>
  <conditionalFormatting sqref="A6:I36">
    <cfRule type="expression" dxfId="7" priority="3">
      <formula>$A6 ="So"</formula>
    </cfRule>
    <cfRule type="expression" dxfId="6" priority="4">
      <formula>$A6 = "Sa"</formula>
    </cfRule>
  </conditionalFormatting>
  <conditionalFormatting sqref="A6:I35">
    <cfRule type="expression" dxfId="5" priority="1">
      <formula>AND($I6 &lt;&gt; "",$A6 &lt;&gt; "So",$A6&lt;&gt;"Sa")</formula>
    </cfRule>
    <cfRule type="expression" dxfId="4" priority="2">
      <formula>$I6 &lt;&gt; ""</formula>
    </cfRule>
  </conditionalFormatting>
  <pageMargins left="0.78740157480314965" right="0.39370078740157483" top="0.98425196850393704" bottom="0.98425196850393704" header="0.51181102362204722" footer="0.51181102362204722"/>
  <pageSetup paperSize="9" orientation="portrait" horizontalDpi="4294967292" verticalDpi="300"/>
  <headerFooter alignWithMargins="0">
    <oddHeader>&amp;L&amp;G</oddHeader>
  </headerFooter>
  <legacyDrawingHF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activeCell="C6" sqref="C6"/>
    </sheetView>
  </sheetViews>
  <sheetFormatPr baseColWidth="10" defaultColWidth="10.83203125" defaultRowHeight="12.75" x14ac:dyDescent="0.2"/>
  <cols>
    <col min="1" max="1" width="5.1640625" style="87" customWidth="1"/>
    <col min="2" max="2" width="12.5" style="87" customWidth="1"/>
    <col min="3" max="6" width="8.83203125" style="87" customWidth="1"/>
    <col min="7" max="7" width="11.83203125" style="87" customWidth="1"/>
    <col min="8" max="8" width="11" style="87" customWidth="1"/>
    <col min="9" max="9" width="22.5" style="88" customWidth="1"/>
    <col min="10" max="16384" width="10.83203125" style="87"/>
  </cols>
  <sheetData>
    <row r="1" spans="1:10" ht="15.95" customHeight="1" x14ac:dyDescent="0.2">
      <c r="A1" s="86" t="s">
        <v>54</v>
      </c>
      <c r="B1" s="86"/>
    </row>
    <row r="2" spans="1:10" s="89" customFormat="1" ht="26.1" customHeight="1" x14ac:dyDescent="0.2">
      <c r="A2" s="252" t="s">
        <v>34</v>
      </c>
      <c r="B2" s="252"/>
      <c r="C2" s="89">
        <f>Saldo!A1</f>
        <v>2020</v>
      </c>
      <c r="D2" s="90"/>
      <c r="E2" s="90"/>
      <c r="F2" s="90"/>
      <c r="G2" s="242">
        <f>MA</f>
        <v>0</v>
      </c>
      <c r="H2" s="243"/>
      <c r="I2" s="243"/>
      <c r="J2" s="120"/>
    </row>
    <row r="3" spans="1:10" ht="13.5" thickBot="1" x14ac:dyDescent="0.25">
      <c r="B3" s="250"/>
      <c r="C3" s="251"/>
      <c r="D3" s="251"/>
      <c r="E3" s="251"/>
      <c r="F3" s="251"/>
      <c r="G3" s="251"/>
      <c r="H3" s="251"/>
      <c r="I3" s="251"/>
      <c r="J3" s="121"/>
    </row>
    <row r="4" spans="1:10" s="124" customFormat="1" ht="11.25" x14ac:dyDescent="0.15">
      <c r="A4" s="91"/>
      <c r="B4" s="122" t="s">
        <v>0</v>
      </c>
      <c r="C4" s="93" t="s">
        <v>1</v>
      </c>
      <c r="D4" s="94" t="s">
        <v>2</v>
      </c>
      <c r="E4" s="93" t="s">
        <v>3</v>
      </c>
      <c r="F4" s="94" t="s">
        <v>4</v>
      </c>
      <c r="G4" s="94" t="s">
        <v>5</v>
      </c>
      <c r="H4" s="92" t="s">
        <v>6</v>
      </c>
      <c r="I4" s="95" t="s">
        <v>7</v>
      </c>
      <c r="J4" s="123"/>
    </row>
    <row r="5" spans="1:10" x14ac:dyDescent="0.2">
      <c r="A5" s="100"/>
      <c r="B5" s="125"/>
      <c r="C5" s="126"/>
      <c r="D5" s="101"/>
      <c r="E5" s="126"/>
      <c r="F5" s="101"/>
      <c r="G5" s="101"/>
      <c r="H5" s="127"/>
      <c r="I5" s="112"/>
      <c r="J5" s="121"/>
    </row>
    <row r="6" spans="1:10" x14ac:dyDescent="0.2">
      <c r="A6" s="98" t="str">
        <f>TEXT((WEEKDAY(TEXT(B6,"TT")&amp;"."&amp;$A$2&amp;"."&amp;$C$2)),"TTT")</f>
        <v>Di</v>
      </c>
      <c r="B6" s="128">
        <f>DATE(Saldo!$A$1,12,1)</f>
        <v>44166</v>
      </c>
      <c r="C6" s="60"/>
      <c r="D6" s="61"/>
      <c r="E6" s="60"/>
      <c r="F6" s="61"/>
      <c r="G6" s="71"/>
      <c r="H6" s="107">
        <f>(D6-C6)+(F6-E6)+G6</f>
        <v>0</v>
      </c>
      <c r="I6" s="112"/>
      <c r="J6" s="131"/>
    </row>
    <row r="7" spans="1:10" x14ac:dyDescent="0.2">
      <c r="A7" s="98" t="str">
        <f t="shared" ref="A7:A35" si="0">TEXT((WEEKDAY(TEXT(B7,"TT")&amp;"."&amp;$A$2&amp;"."&amp;$C$2)),"TTT")</f>
        <v>Mi</v>
      </c>
      <c r="B7" s="128">
        <f>DATE(Saldo!$A$1,12,2)</f>
        <v>44167</v>
      </c>
      <c r="C7" s="60"/>
      <c r="D7" s="61"/>
      <c r="E7" s="60"/>
      <c r="F7" s="61"/>
      <c r="G7" s="71"/>
      <c r="H7" s="107">
        <f t="shared" ref="H7:H24" si="1">(D7-C7)+(F7-E7)+G7</f>
        <v>0</v>
      </c>
      <c r="I7" s="112"/>
      <c r="J7" s="131"/>
    </row>
    <row r="8" spans="1:10" x14ac:dyDescent="0.2">
      <c r="A8" s="98" t="str">
        <f t="shared" si="0"/>
        <v>Do</v>
      </c>
      <c r="B8" s="128">
        <f>DATE(Saldo!$A$1,12,3)</f>
        <v>44168</v>
      </c>
      <c r="C8" s="60"/>
      <c r="D8" s="61"/>
      <c r="E8" s="60"/>
      <c r="F8" s="61"/>
      <c r="G8" s="71"/>
      <c r="H8" s="107">
        <f t="shared" si="1"/>
        <v>0</v>
      </c>
      <c r="I8" s="112"/>
      <c r="J8" s="131"/>
    </row>
    <row r="9" spans="1:10" x14ac:dyDescent="0.2">
      <c r="A9" s="98" t="str">
        <f t="shared" si="0"/>
        <v>Fr</v>
      </c>
      <c r="B9" s="128">
        <f>DATE(Saldo!$A$1,12,4)</f>
        <v>44169</v>
      </c>
      <c r="C9" s="60"/>
      <c r="D9" s="61"/>
      <c r="E9" s="60"/>
      <c r="F9" s="61"/>
      <c r="G9" s="71"/>
      <c r="H9" s="107">
        <f t="shared" si="1"/>
        <v>0</v>
      </c>
      <c r="I9" s="112"/>
      <c r="J9" s="131"/>
    </row>
    <row r="10" spans="1:10" x14ac:dyDescent="0.2">
      <c r="A10" s="98" t="str">
        <f t="shared" si="0"/>
        <v>Sa</v>
      </c>
      <c r="B10" s="128">
        <f>DATE(Saldo!$A$1,12,5)</f>
        <v>44170</v>
      </c>
      <c r="C10" s="60"/>
      <c r="D10" s="61"/>
      <c r="E10" s="60"/>
      <c r="F10" s="61"/>
      <c r="G10" s="71"/>
      <c r="H10" s="107">
        <f t="shared" si="1"/>
        <v>0</v>
      </c>
      <c r="I10" s="112"/>
      <c r="J10" s="121"/>
    </row>
    <row r="11" spans="1:10" x14ac:dyDescent="0.2">
      <c r="A11" s="98" t="str">
        <f t="shared" si="0"/>
        <v>So</v>
      </c>
      <c r="B11" s="128">
        <f>DATE(Saldo!$A$1,12,6)</f>
        <v>44171</v>
      </c>
      <c r="C11" s="60"/>
      <c r="D11" s="61"/>
      <c r="E11" s="60"/>
      <c r="F11" s="61"/>
      <c r="G11" s="71"/>
      <c r="H11" s="107">
        <f t="shared" si="1"/>
        <v>0</v>
      </c>
      <c r="I11" s="112"/>
      <c r="J11" s="121"/>
    </row>
    <row r="12" spans="1:10" x14ac:dyDescent="0.2">
      <c r="A12" s="98" t="str">
        <f t="shared" si="0"/>
        <v>Mo</v>
      </c>
      <c r="B12" s="128">
        <f>DATE(Saldo!$A$1,12,7)</f>
        <v>44172</v>
      </c>
      <c r="C12" s="60"/>
      <c r="D12" s="61"/>
      <c r="E12" s="60"/>
      <c r="F12" s="61"/>
      <c r="G12" s="71"/>
      <c r="H12" s="107">
        <f t="shared" si="1"/>
        <v>0</v>
      </c>
      <c r="I12" s="112"/>
      <c r="J12" s="131"/>
    </row>
    <row r="13" spans="1:10" x14ac:dyDescent="0.2">
      <c r="A13" s="98" t="str">
        <f t="shared" si="0"/>
        <v>Di</v>
      </c>
      <c r="B13" s="128">
        <f>DATE(Saldo!$A$1,12,8)</f>
        <v>44173</v>
      </c>
      <c r="C13" s="60"/>
      <c r="D13" s="61"/>
      <c r="E13" s="60"/>
      <c r="F13" s="61"/>
      <c r="G13" s="71"/>
      <c r="H13" s="107">
        <f>(D13-C13)+(F13-E13)+G13</f>
        <v>0</v>
      </c>
      <c r="I13" s="112"/>
      <c r="J13" s="131"/>
    </row>
    <row r="14" spans="1:10" x14ac:dyDescent="0.2">
      <c r="A14" s="98" t="str">
        <f t="shared" si="0"/>
        <v>Mi</v>
      </c>
      <c r="B14" s="128">
        <f>DATE(Saldo!$A$1,12,9)</f>
        <v>44174</v>
      </c>
      <c r="C14" s="60"/>
      <c r="D14" s="61"/>
      <c r="E14" s="60"/>
      <c r="F14" s="61"/>
      <c r="G14" s="71"/>
      <c r="H14" s="107">
        <f t="shared" si="1"/>
        <v>0</v>
      </c>
      <c r="I14" s="112"/>
      <c r="J14" s="131"/>
    </row>
    <row r="15" spans="1:10" x14ac:dyDescent="0.2">
      <c r="A15" s="98" t="str">
        <f t="shared" si="0"/>
        <v>Do</v>
      </c>
      <c r="B15" s="128">
        <f>DATE(Saldo!$A$1,12,10)</f>
        <v>44175</v>
      </c>
      <c r="C15" s="60"/>
      <c r="D15" s="61"/>
      <c r="E15" s="60"/>
      <c r="F15" s="61"/>
      <c r="G15" s="71"/>
      <c r="H15" s="107">
        <f t="shared" si="1"/>
        <v>0</v>
      </c>
      <c r="I15" s="112"/>
      <c r="J15" s="131"/>
    </row>
    <row r="16" spans="1:10" x14ac:dyDescent="0.2">
      <c r="A16" s="98" t="str">
        <f t="shared" si="0"/>
        <v>Fr</v>
      </c>
      <c r="B16" s="128">
        <f>DATE(Saldo!$A$1,12,11)</f>
        <v>44176</v>
      </c>
      <c r="C16" s="60"/>
      <c r="D16" s="61"/>
      <c r="E16" s="60"/>
      <c r="F16" s="61"/>
      <c r="G16" s="71"/>
      <c r="H16" s="107">
        <f t="shared" si="1"/>
        <v>0</v>
      </c>
      <c r="I16" s="112"/>
      <c r="J16" s="131"/>
    </row>
    <row r="17" spans="1:10" x14ac:dyDescent="0.2">
      <c r="A17" s="98" t="str">
        <f t="shared" si="0"/>
        <v>Sa</v>
      </c>
      <c r="B17" s="128">
        <f>DATE(Saldo!$A$1,12,12)</f>
        <v>44177</v>
      </c>
      <c r="C17" s="60"/>
      <c r="D17" s="61"/>
      <c r="E17" s="60"/>
      <c r="F17" s="61"/>
      <c r="G17" s="71"/>
      <c r="H17" s="107">
        <f t="shared" si="1"/>
        <v>0</v>
      </c>
      <c r="I17" s="112"/>
      <c r="J17" s="121"/>
    </row>
    <row r="18" spans="1:10" x14ac:dyDescent="0.2">
      <c r="A18" s="98" t="str">
        <f t="shared" si="0"/>
        <v>So</v>
      </c>
      <c r="B18" s="128">
        <f>DATE(Saldo!$A$1,12,13)</f>
        <v>44178</v>
      </c>
      <c r="C18" s="60"/>
      <c r="D18" s="61"/>
      <c r="E18" s="60"/>
      <c r="F18" s="61"/>
      <c r="G18" s="71"/>
      <c r="H18" s="107">
        <f t="shared" si="1"/>
        <v>0</v>
      </c>
      <c r="I18" s="112"/>
      <c r="J18" s="121"/>
    </row>
    <row r="19" spans="1:10" x14ac:dyDescent="0.2">
      <c r="A19" s="98" t="str">
        <f t="shared" si="0"/>
        <v>Mo</v>
      </c>
      <c r="B19" s="128">
        <f>DATE(Saldo!$A$1,12,14)</f>
        <v>44179</v>
      </c>
      <c r="C19" s="60"/>
      <c r="D19" s="61"/>
      <c r="E19" s="60"/>
      <c r="F19" s="61"/>
      <c r="G19" s="71"/>
      <c r="H19" s="107">
        <f t="shared" si="1"/>
        <v>0</v>
      </c>
      <c r="I19" s="112"/>
      <c r="J19" s="131"/>
    </row>
    <row r="20" spans="1:10" x14ac:dyDescent="0.2">
      <c r="A20" s="98" t="str">
        <f t="shared" si="0"/>
        <v>Di</v>
      </c>
      <c r="B20" s="128">
        <f>DATE(Saldo!$A$1,12,15)</f>
        <v>44180</v>
      </c>
      <c r="C20" s="60"/>
      <c r="D20" s="61"/>
      <c r="E20" s="60"/>
      <c r="F20" s="61"/>
      <c r="G20" s="71"/>
      <c r="H20" s="107">
        <f>(D20-C20)+(F20-E20)+G20</f>
        <v>0</v>
      </c>
      <c r="I20" s="112"/>
      <c r="J20" s="131"/>
    </row>
    <row r="21" spans="1:10" x14ac:dyDescent="0.2">
      <c r="A21" s="98" t="str">
        <f t="shared" si="0"/>
        <v>Mi</v>
      </c>
      <c r="B21" s="128">
        <f>DATE(Saldo!$A$1,12,16)</f>
        <v>44181</v>
      </c>
      <c r="C21" s="60"/>
      <c r="D21" s="61"/>
      <c r="E21" s="60"/>
      <c r="F21" s="61"/>
      <c r="G21" s="71"/>
      <c r="H21" s="107">
        <f t="shared" si="1"/>
        <v>0</v>
      </c>
      <c r="I21" s="112"/>
      <c r="J21" s="131"/>
    </row>
    <row r="22" spans="1:10" s="121" customFormat="1" x14ac:dyDescent="0.2">
      <c r="A22" s="98" t="str">
        <f t="shared" si="0"/>
        <v>Do</v>
      </c>
      <c r="B22" s="128">
        <f>DATE(Saldo!$A$1,12,17)</f>
        <v>44182</v>
      </c>
      <c r="C22" s="60"/>
      <c r="D22" s="61"/>
      <c r="E22" s="60"/>
      <c r="F22" s="61"/>
      <c r="G22" s="71"/>
      <c r="H22" s="107">
        <f t="shared" si="1"/>
        <v>0</v>
      </c>
      <c r="I22" s="133"/>
      <c r="J22" s="131"/>
    </row>
    <row r="23" spans="1:10" x14ac:dyDescent="0.2">
      <c r="A23" s="98" t="str">
        <f t="shared" si="0"/>
        <v>Fr</v>
      </c>
      <c r="B23" s="128">
        <f>DATE(Saldo!$A$1,12,18)</f>
        <v>44183</v>
      </c>
      <c r="C23" s="60"/>
      <c r="D23" s="61"/>
      <c r="E23" s="60"/>
      <c r="F23" s="61"/>
      <c r="G23" s="71"/>
      <c r="H23" s="107">
        <f t="shared" si="1"/>
        <v>0</v>
      </c>
      <c r="I23" s="112"/>
      <c r="J23" s="131"/>
    </row>
    <row r="24" spans="1:10" x14ac:dyDescent="0.2">
      <c r="A24" s="98" t="str">
        <f t="shared" si="0"/>
        <v>Sa</v>
      </c>
      <c r="B24" s="128">
        <f>DATE(Saldo!$A$1,12,19)</f>
        <v>44184</v>
      </c>
      <c r="C24" s="60"/>
      <c r="D24" s="61"/>
      <c r="E24" s="60"/>
      <c r="F24" s="61"/>
      <c r="G24" s="71"/>
      <c r="H24" s="107">
        <f t="shared" si="1"/>
        <v>0</v>
      </c>
      <c r="I24" s="112"/>
      <c r="J24" s="158"/>
    </row>
    <row r="25" spans="1:10" x14ac:dyDescent="0.2">
      <c r="A25" s="98" t="str">
        <f t="shared" si="0"/>
        <v>So</v>
      </c>
      <c r="B25" s="128">
        <f>DATE(Saldo!$A$1,12,20)</f>
        <v>44185</v>
      </c>
      <c r="C25" s="60"/>
      <c r="D25" s="61"/>
      <c r="E25" s="60"/>
      <c r="F25" s="61"/>
      <c r="G25" s="71"/>
      <c r="H25" s="107">
        <f t="shared" ref="H25:H35" si="2">(D25-C25)+(F25-E25)+G25</f>
        <v>0</v>
      </c>
      <c r="I25" s="112"/>
      <c r="J25" s="158"/>
    </row>
    <row r="26" spans="1:10" x14ac:dyDescent="0.2">
      <c r="A26" s="98" t="str">
        <f t="shared" si="0"/>
        <v>Mo</v>
      </c>
      <c r="B26" s="128">
        <f>DATE(Saldo!$A$1,12,21)</f>
        <v>44186</v>
      </c>
      <c r="C26" s="60"/>
      <c r="D26" s="61"/>
      <c r="E26" s="62"/>
      <c r="F26" s="61"/>
      <c r="G26" s="71"/>
      <c r="H26" s="107">
        <f t="shared" si="2"/>
        <v>0</v>
      </c>
      <c r="I26" s="112"/>
      <c r="J26" s="131"/>
    </row>
    <row r="27" spans="1:10" x14ac:dyDescent="0.2">
      <c r="A27" s="98" t="str">
        <f t="shared" si="0"/>
        <v>Di</v>
      </c>
      <c r="B27" s="128">
        <f>DATE(Saldo!$A$1,12,22)</f>
        <v>44187</v>
      </c>
      <c r="C27" s="60"/>
      <c r="D27" s="61"/>
      <c r="E27" s="60"/>
      <c r="F27" s="61"/>
      <c r="G27" s="71"/>
      <c r="H27" s="107">
        <f>(D27-C27)+(F27-E27)+G27</f>
        <v>0</v>
      </c>
      <c r="I27" s="112"/>
      <c r="J27" s="131"/>
    </row>
    <row r="28" spans="1:10" x14ac:dyDescent="0.2">
      <c r="A28" s="98" t="str">
        <f t="shared" si="0"/>
        <v>Mi</v>
      </c>
      <c r="B28" s="128">
        <f>DATE(Saldo!$A$1,12,23)</f>
        <v>44188</v>
      </c>
      <c r="C28" s="60"/>
      <c r="D28" s="61"/>
      <c r="E28" s="60"/>
      <c r="F28" s="61"/>
      <c r="G28" s="71"/>
      <c r="H28" s="107">
        <f t="shared" si="2"/>
        <v>0</v>
      </c>
      <c r="I28" s="112"/>
      <c r="J28" s="131"/>
    </row>
    <row r="29" spans="1:10" x14ac:dyDescent="0.2">
      <c r="A29" s="98" t="str">
        <f t="shared" si="0"/>
        <v>Do</v>
      </c>
      <c r="B29" s="128">
        <f>DATE(Saldo!$A$1,12,24)</f>
        <v>44189</v>
      </c>
      <c r="C29" s="60"/>
      <c r="D29" s="61"/>
      <c r="E29" s="60"/>
      <c r="F29" s="61"/>
      <c r="G29" s="71"/>
      <c r="H29" s="107">
        <f t="shared" si="2"/>
        <v>0</v>
      </c>
      <c r="I29" s="112" t="s">
        <v>52</v>
      </c>
      <c r="J29" s="153"/>
    </row>
    <row r="30" spans="1:10" x14ac:dyDescent="0.2">
      <c r="A30" s="98" t="str">
        <f t="shared" si="0"/>
        <v>Fr</v>
      </c>
      <c r="B30" s="128">
        <f>DATE(Saldo!$A$1,12,25)</f>
        <v>44190</v>
      </c>
      <c r="C30" s="60"/>
      <c r="D30" s="61"/>
      <c r="E30" s="60"/>
      <c r="F30" s="61"/>
      <c r="G30" s="71"/>
      <c r="H30" s="107">
        <f t="shared" si="2"/>
        <v>0</v>
      </c>
      <c r="I30" s="112" t="s">
        <v>15</v>
      </c>
      <c r="J30" s="134"/>
    </row>
    <row r="31" spans="1:10" x14ac:dyDescent="0.2">
      <c r="A31" s="98" t="str">
        <f t="shared" si="0"/>
        <v>Sa</v>
      </c>
      <c r="B31" s="128">
        <f>DATE(Saldo!$A$1,12,26)</f>
        <v>44191</v>
      </c>
      <c r="C31" s="60"/>
      <c r="D31" s="61"/>
      <c r="E31" s="60"/>
      <c r="F31" s="61"/>
      <c r="G31" s="71"/>
      <c r="H31" s="107">
        <f t="shared" si="2"/>
        <v>0</v>
      </c>
      <c r="I31" s="112"/>
      <c r="J31" s="134"/>
    </row>
    <row r="32" spans="1:10" x14ac:dyDescent="0.2">
      <c r="A32" s="98" t="str">
        <f t="shared" si="0"/>
        <v>So</v>
      </c>
      <c r="B32" s="128">
        <f>DATE(Saldo!$A$1,12,27)</f>
        <v>44192</v>
      </c>
      <c r="C32" s="60"/>
      <c r="D32" s="61"/>
      <c r="E32" s="60"/>
      <c r="F32" s="61"/>
      <c r="G32" s="71"/>
      <c r="H32" s="107">
        <f t="shared" si="2"/>
        <v>0</v>
      </c>
      <c r="I32" s="112"/>
      <c r="J32" s="134"/>
    </row>
    <row r="33" spans="1:11" ht="14.25" customHeight="1" x14ac:dyDescent="0.25">
      <c r="A33" s="98" t="str">
        <f t="shared" si="0"/>
        <v>Mo</v>
      </c>
      <c r="B33" s="128">
        <f>DATE(Saldo!$A$1,12,28)</f>
        <v>44193</v>
      </c>
      <c r="C33" s="60"/>
      <c r="D33" s="61"/>
      <c r="E33" s="60"/>
      <c r="F33" s="61"/>
      <c r="G33" s="71"/>
      <c r="H33" s="107">
        <f t="shared" si="2"/>
        <v>0</v>
      </c>
      <c r="I33" s="112"/>
      <c r="J33" s="131"/>
      <c r="K33" s="171"/>
    </row>
    <row r="34" spans="1:11" x14ac:dyDescent="0.2">
      <c r="A34" s="98" t="str">
        <f t="shared" si="0"/>
        <v>Di</v>
      </c>
      <c r="B34" s="128">
        <f>DATE(Saldo!$A$1,12,29)</f>
        <v>44194</v>
      </c>
      <c r="C34" s="60"/>
      <c r="D34" s="61"/>
      <c r="E34" s="60"/>
      <c r="F34" s="61"/>
      <c r="G34" s="71"/>
      <c r="H34" s="107">
        <f>(D34-C34)+(F34-E34)+G34</f>
        <v>0</v>
      </c>
      <c r="I34" s="112"/>
      <c r="J34" s="131"/>
    </row>
    <row r="35" spans="1:11" x14ac:dyDescent="0.2">
      <c r="A35" s="98" t="str">
        <f t="shared" si="0"/>
        <v>Mi</v>
      </c>
      <c r="B35" s="128">
        <f>DATE(Saldo!$A$1,12,30)</f>
        <v>44195</v>
      </c>
      <c r="C35" s="60"/>
      <c r="D35" s="61"/>
      <c r="E35" s="60"/>
      <c r="F35" s="61"/>
      <c r="G35" s="71"/>
      <c r="H35" s="107">
        <f t="shared" si="2"/>
        <v>0</v>
      </c>
      <c r="I35" s="112"/>
      <c r="J35" s="131"/>
    </row>
    <row r="36" spans="1:11" x14ac:dyDescent="0.2">
      <c r="A36" s="98" t="str">
        <f>TEXT((WEEKDAY(TEXT(B36,"TT")&amp;"."&amp;$A$2&amp;"."&amp;$C$2)),"TTT")</f>
        <v>Do</v>
      </c>
      <c r="B36" s="128">
        <v>31</v>
      </c>
      <c r="C36" s="60"/>
      <c r="D36" s="61"/>
      <c r="E36" s="60"/>
      <c r="F36" s="61"/>
      <c r="G36" s="71"/>
      <c r="H36" s="107">
        <f t="shared" ref="H36" si="3">(D36-C36)+(F36-E36)+G36</f>
        <v>0</v>
      </c>
      <c r="I36" s="112" t="s">
        <v>57</v>
      </c>
      <c r="J36" s="153"/>
    </row>
    <row r="37" spans="1:11" x14ac:dyDescent="0.2">
      <c r="A37" s="100"/>
      <c r="B37" s="143"/>
      <c r="C37" s="138"/>
      <c r="D37" s="139"/>
      <c r="E37" s="138"/>
      <c r="F37" s="139"/>
      <c r="G37" s="163"/>
      <c r="H37" s="138"/>
      <c r="I37" s="110"/>
      <c r="J37" s="136"/>
    </row>
    <row r="38" spans="1:11" s="142" customFormat="1" ht="18.75" thickBot="1" x14ac:dyDescent="0.3">
      <c r="A38" s="102"/>
      <c r="B38" s="137" t="s">
        <v>10</v>
      </c>
      <c r="C38" s="138"/>
      <c r="D38" s="139"/>
      <c r="E38" s="138"/>
      <c r="F38" s="139"/>
      <c r="G38" s="140" t="s">
        <v>11</v>
      </c>
      <c r="H38" s="109">
        <f>SUM(H6:H37)</f>
        <v>0</v>
      </c>
      <c r="I38" s="110"/>
      <c r="J38" s="141"/>
    </row>
    <row r="39" spans="1:11" ht="13.5" thickBot="1" x14ac:dyDescent="0.25">
      <c r="A39" s="100"/>
      <c r="B39" s="143"/>
      <c r="C39" s="106"/>
      <c r="D39" s="97"/>
      <c r="E39" s="144"/>
      <c r="F39" s="97"/>
      <c r="G39" s="145" t="s">
        <v>12</v>
      </c>
      <c r="H39" s="114">
        <f>Monatssaldi!B17</f>
        <v>8.8375000000000004</v>
      </c>
      <c r="I39" s="146" t="s">
        <v>13</v>
      </c>
      <c r="J39" s="141"/>
    </row>
    <row r="40" spans="1:11" ht="13.5" thickBot="1" x14ac:dyDescent="0.25">
      <c r="A40" s="104"/>
      <c r="B40" s="147"/>
      <c r="C40" s="148"/>
      <c r="D40" s="149"/>
      <c r="E40" s="150"/>
      <c r="F40" s="260" t="s">
        <v>40</v>
      </c>
      <c r="G40" s="261"/>
      <c r="H40" s="117" t="str">
        <f>IF(H38&gt;$H$39,H38-$H$39,"")</f>
        <v/>
      </c>
      <c r="I40" s="116">
        <f>IF(H38&lt;$H$39,$H$39-H38,"")</f>
        <v>8.8375000000000004</v>
      </c>
      <c r="J40" s="141"/>
    </row>
    <row r="41" spans="1:11" ht="12.75" customHeight="1" x14ac:dyDescent="0.2">
      <c r="B41" s="253" t="s">
        <v>14</v>
      </c>
      <c r="C41" s="254"/>
      <c r="D41" s="254"/>
      <c r="E41" s="254"/>
      <c r="F41" s="254"/>
      <c r="G41" s="254"/>
      <c r="H41" s="254"/>
      <c r="I41" s="255"/>
      <c r="J41" s="141"/>
    </row>
    <row r="42" spans="1:11" x14ac:dyDescent="0.2">
      <c r="B42" s="256"/>
      <c r="C42" s="257"/>
      <c r="D42" s="257"/>
      <c r="E42" s="257"/>
      <c r="F42" s="257"/>
      <c r="G42" s="257"/>
      <c r="H42" s="257"/>
      <c r="I42" s="258"/>
      <c r="J42" s="141"/>
    </row>
    <row r="43" spans="1:11" x14ac:dyDescent="0.2">
      <c r="A43" s="121"/>
      <c r="C43" s="142"/>
      <c r="J43" s="141"/>
    </row>
    <row r="44" spans="1:11" x14ac:dyDescent="0.2">
      <c r="A44" s="121"/>
      <c r="C44" s="142"/>
      <c r="J44" s="141"/>
    </row>
    <row r="45" spans="1:11" x14ac:dyDescent="0.2">
      <c r="A45" s="121"/>
      <c r="C45" s="142"/>
      <c r="J45" s="141"/>
    </row>
    <row r="46" spans="1:11" x14ac:dyDescent="0.2">
      <c r="A46" s="121"/>
      <c r="C46" s="142"/>
      <c r="J46" s="141"/>
    </row>
    <row r="47" spans="1:11" x14ac:dyDescent="0.2">
      <c r="A47" s="121"/>
      <c r="C47" s="142"/>
      <c r="J47" s="141"/>
    </row>
    <row r="48" spans="1:11" x14ac:dyDescent="0.2">
      <c r="A48" s="121"/>
      <c r="C48" s="142"/>
      <c r="J48" s="141"/>
    </row>
    <row r="49" spans="1:10" x14ac:dyDescent="0.2">
      <c r="A49" s="121"/>
      <c r="C49" s="142"/>
      <c r="J49" s="141"/>
    </row>
    <row r="50" spans="1:10" x14ac:dyDescent="0.2">
      <c r="C50" s="142"/>
      <c r="J50" s="141"/>
    </row>
    <row r="51" spans="1:10" x14ac:dyDescent="0.2">
      <c r="C51" s="142"/>
      <c r="J51" s="141"/>
    </row>
    <row r="52" spans="1:10" x14ac:dyDescent="0.2">
      <c r="C52" s="142"/>
      <c r="J52" s="141"/>
    </row>
    <row r="53" spans="1:10" x14ac:dyDescent="0.2">
      <c r="C53" s="142"/>
      <c r="J53" s="141"/>
    </row>
    <row r="54" spans="1:10" x14ac:dyDescent="0.2">
      <c r="C54" s="142"/>
      <c r="J54" s="141"/>
    </row>
    <row r="55" spans="1:10" x14ac:dyDescent="0.2">
      <c r="C55" s="142"/>
      <c r="J55" s="141"/>
    </row>
    <row r="56" spans="1:10" x14ac:dyDescent="0.2">
      <c r="C56" s="142"/>
      <c r="J56" s="141"/>
    </row>
    <row r="57" spans="1:10" x14ac:dyDescent="0.2">
      <c r="J57" s="142"/>
    </row>
    <row r="58" spans="1:10" ht="15" x14ac:dyDescent="0.2">
      <c r="C58" s="151"/>
      <c r="D58" s="142"/>
      <c r="E58" s="142"/>
      <c r="F58" s="142"/>
      <c r="G58" s="142"/>
      <c r="H58" s="142"/>
      <c r="J58" s="141"/>
    </row>
  </sheetData>
  <sheetProtection algorithmName="SHA-512" hashValue="NG+6sDDbL83mhkMui3Fw/brR9YQ45FYzE/rYZG0btAW8Oke2+RR7t0z6lao4DUvuUmGV7jfETJYCm+dSDsfAsw==" saltValue="UAKDB5LLx202xjw2nI+z5A==" spinCount="100000" sheet="1" objects="1" scenarios="1" selectLockedCells="1"/>
  <mergeCells count="5">
    <mergeCell ref="F40:G40"/>
    <mergeCell ref="B41:I42"/>
    <mergeCell ref="G2:I2"/>
    <mergeCell ref="B3:I3"/>
    <mergeCell ref="A2:B2"/>
  </mergeCells>
  <phoneticPr fontId="0" type="noConversion"/>
  <conditionalFormatting sqref="A6:I36">
    <cfRule type="expression" dxfId="3" priority="1">
      <formula>AND($I6 &lt;&gt; "",$A6 &lt;&gt; "So",$A6&lt;&gt;"Sa")</formula>
    </cfRule>
    <cfRule type="expression" dxfId="2" priority="2">
      <formula>$I6 &lt;&gt; ""</formula>
    </cfRule>
    <cfRule type="expression" dxfId="1" priority="3">
      <formula>$A6 ="So"</formula>
    </cfRule>
    <cfRule type="expression" dxfId="0" priority="4">
      <formula>$A6 = "Sa"</formula>
    </cfRule>
  </conditionalFormatting>
  <pageMargins left="0.78740157480314965" right="0.39370078740157483" top="0.98425196850393704" bottom="0.98425196850393704" header="0.51181102362204722" footer="0.51181102362204722"/>
  <pageSetup paperSize="9" orientation="portrait" horizontalDpi="4294967292" verticalDpi="300"/>
  <headerFooter alignWithMargins="0">
    <oddHeader>&amp;L&amp;G</oddHeader>
  </headerFooter>
  <legacyDrawingHF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8" sqref="B8"/>
    </sheetView>
  </sheetViews>
  <sheetFormatPr baseColWidth="10" defaultColWidth="10.83203125" defaultRowHeight="12.75" x14ac:dyDescent="0.2"/>
  <cols>
    <col min="1" max="1" width="27.6640625" style="1" bestFit="1" customWidth="1"/>
    <col min="2" max="3" width="24.1640625" style="1" customWidth="1"/>
    <col min="4" max="16384" width="10.83203125" style="1"/>
  </cols>
  <sheetData>
    <row r="1" spans="1:3" s="15" customFormat="1" ht="24" customHeight="1" x14ac:dyDescent="0.3">
      <c r="A1" s="264" t="str">
        <f>"Ferien " &amp; Saldo!A1</f>
        <v>Ferien 2020</v>
      </c>
      <c r="B1" s="265"/>
      <c r="C1" s="265"/>
    </row>
    <row r="2" spans="1:3" s="15" customFormat="1" ht="24" customHeight="1" x14ac:dyDescent="0.3">
      <c r="A2" s="266">
        <f>MA</f>
        <v>0</v>
      </c>
      <c r="B2" s="267"/>
      <c r="C2" s="267"/>
    </row>
    <row r="3" spans="1:3" ht="13.5" thickBot="1" x14ac:dyDescent="0.25">
      <c r="A3" s="16"/>
      <c r="B3" s="17"/>
      <c r="C3" s="17"/>
    </row>
    <row r="4" spans="1:3" ht="15" x14ac:dyDescent="0.2">
      <c r="A4" s="18"/>
      <c r="B4" s="262" t="s">
        <v>61</v>
      </c>
      <c r="C4" s="263"/>
    </row>
    <row r="5" spans="1:3" ht="15" x14ac:dyDescent="0.2">
      <c r="A5" s="19"/>
      <c r="B5" s="20">
        <v>20</v>
      </c>
      <c r="C5" s="79" t="s">
        <v>41</v>
      </c>
    </row>
    <row r="6" spans="1:3" x14ac:dyDescent="0.2">
      <c r="A6" s="73" t="s">
        <v>16</v>
      </c>
      <c r="B6" s="21" t="s">
        <v>36</v>
      </c>
      <c r="C6" s="80" t="s">
        <v>37</v>
      </c>
    </row>
    <row r="7" spans="1:3" x14ac:dyDescent="0.2">
      <c r="A7" s="22" t="s">
        <v>35</v>
      </c>
      <c r="B7" s="172"/>
      <c r="C7" s="81"/>
    </row>
    <row r="8" spans="1:3" x14ac:dyDescent="0.2">
      <c r="A8" s="25" t="s">
        <v>23</v>
      </c>
      <c r="B8" s="172"/>
      <c r="C8" s="24">
        <f>SUM(B5+C7-B8)</f>
        <v>20</v>
      </c>
    </row>
    <row r="9" spans="1:3" x14ac:dyDescent="0.2">
      <c r="A9" s="25" t="s">
        <v>24</v>
      </c>
      <c r="B9" s="172"/>
      <c r="C9" s="24">
        <f>SUM(C8-B9)</f>
        <v>20</v>
      </c>
    </row>
    <row r="10" spans="1:3" x14ac:dyDescent="0.2">
      <c r="A10" s="25" t="s">
        <v>25</v>
      </c>
      <c r="B10" s="172"/>
      <c r="C10" s="24">
        <f>SUM(C9-B10)</f>
        <v>20</v>
      </c>
    </row>
    <row r="11" spans="1:3" x14ac:dyDescent="0.2">
      <c r="A11" s="25" t="s">
        <v>26</v>
      </c>
      <c r="B11" s="172"/>
      <c r="C11" s="24">
        <f t="shared" ref="C11:C20" si="0">SUM(C10-B11)</f>
        <v>20</v>
      </c>
    </row>
    <row r="12" spans="1:3" x14ac:dyDescent="0.2">
      <c r="A12" s="25" t="s">
        <v>27</v>
      </c>
      <c r="B12" s="172"/>
      <c r="C12" s="24">
        <f t="shared" si="0"/>
        <v>20</v>
      </c>
    </row>
    <row r="13" spans="1:3" x14ac:dyDescent="0.2">
      <c r="A13" s="25" t="s">
        <v>28</v>
      </c>
      <c r="B13" s="172"/>
      <c r="C13" s="24">
        <f t="shared" si="0"/>
        <v>20</v>
      </c>
    </row>
    <row r="14" spans="1:3" x14ac:dyDescent="0.2">
      <c r="A14" s="25" t="s">
        <v>29</v>
      </c>
      <c r="B14" s="172"/>
      <c r="C14" s="24">
        <f t="shared" si="0"/>
        <v>20</v>
      </c>
    </row>
    <row r="15" spans="1:3" x14ac:dyDescent="0.2">
      <c r="A15" s="25" t="s">
        <v>30</v>
      </c>
      <c r="B15" s="172"/>
      <c r="C15" s="24">
        <f t="shared" si="0"/>
        <v>20</v>
      </c>
    </row>
    <row r="16" spans="1:3" x14ac:dyDescent="0.2">
      <c r="A16" s="25" t="s">
        <v>31</v>
      </c>
      <c r="B16" s="172"/>
      <c r="C16" s="24">
        <f t="shared" si="0"/>
        <v>20</v>
      </c>
    </row>
    <row r="17" spans="1:3" x14ac:dyDescent="0.2">
      <c r="A17" s="25" t="s">
        <v>32</v>
      </c>
      <c r="B17" s="172"/>
      <c r="C17" s="24">
        <f t="shared" si="0"/>
        <v>20</v>
      </c>
    </row>
    <row r="18" spans="1:3" x14ac:dyDescent="0.2">
      <c r="A18" s="25" t="s">
        <v>33</v>
      </c>
      <c r="B18" s="172"/>
      <c r="C18" s="24">
        <f t="shared" si="0"/>
        <v>20</v>
      </c>
    </row>
    <row r="19" spans="1:3" ht="13.5" thickBot="1" x14ac:dyDescent="0.25">
      <c r="A19" s="26" t="s">
        <v>34</v>
      </c>
      <c r="B19" s="173"/>
      <c r="C19" s="28">
        <f t="shared" si="0"/>
        <v>20</v>
      </c>
    </row>
    <row r="20" spans="1:3" ht="13.5" thickBot="1" x14ac:dyDescent="0.25">
      <c r="A20" s="29" t="s">
        <v>38</v>
      </c>
      <c r="B20" s="30"/>
      <c r="C20" s="28">
        <f t="shared" si="0"/>
        <v>20</v>
      </c>
    </row>
    <row r="23" spans="1:3" x14ac:dyDescent="0.2">
      <c r="A23" s="1" t="s">
        <v>56</v>
      </c>
      <c r="B23" s="59">
        <v>1</v>
      </c>
    </row>
  </sheetData>
  <sheetProtection algorithmName="SHA-512" hashValue="kHWA6s91WaZzBGScaK4zz6JJMl7L1SQHlX2wsBBKG4/ygjP3OPXkJt9Tj1qA997n1G7/V+Zy7FP/AI4UCEAyVw==" saltValue="1TjaDCEeJw38z95GGke7Mg==" spinCount="100000" sheet="1" objects="1" scenarios="1" selectLockedCells="1"/>
  <mergeCells count="3">
    <mergeCell ref="B4:C4"/>
    <mergeCell ref="A1:C1"/>
    <mergeCell ref="A2:C2"/>
  </mergeCells>
  <phoneticPr fontId="0" type="noConversion"/>
  <pageMargins left="0.78740157480314965" right="0.78740157480314965" top="0.98425196850393704" bottom="0.98425196850393704" header="0.51181102362204722" footer="0.51181102362204722"/>
  <pageSetup paperSize="9" orientation="portrait" horizontalDpi="300" verticalDpi="300"/>
  <headerFooter alignWithMargins="0">
    <oddHeader>&amp;L&amp;G</oddHeader>
  </headerFooter>
  <legacyDrawingHF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30" sqref="C30"/>
    </sheetView>
  </sheetViews>
  <sheetFormatPr baseColWidth="10" defaultColWidth="10.83203125" defaultRowHeight="12.75" x14ac:dyDescent="0.2"/>
  <cols>
    <col min="1" max="1" width="39.1640625" style="1" customWidth="1"/>
    <col min="2" max="3" width="23.33203125" style="1" customWidth="1"/>
    <col min="4" max="16384" width="10.83203125" style="1"/>
  </cols>
  <sheetData>
    <row r="1" spans="1:3" s="15" customFormat="1" ht="24" customHeight="1" x14ac:dyDescent="0.3">
      <c r="A1" s="264" t="str">
        <f>"Ferien " &amp; Saldo!A1</f>
        <v>Ferien 2020</v>
      </c>
      <c r="B1" s="265"/>
      <c r="C1" s="265"/>
    </row>
    <row r="2" spans="1:3" s="15" customFormat="1" ht="24" customHeight="1" x14ac:dyDescent="0.3">
      <c r="A2" s="266">
        <f>MA</f>
        <v>0</v>
      </c>
      <c r="B2" s="267"/>
      <c r="C2" s="267"/>
    </row>
    <row r="3" spans="1:3" ht="13.5" thickBot="1" x14ac:dyDescent="0.25">
      <c r="A3" s="16"/>
      <c r="B3" s="17"/>
      <c r="C3" s="17"/>
    </row>
    <row r="4" spans="1:3" ht="15" x14ac:dyDescent="0.2">
      <c r="A4" s="18"/>
      <c r="B4" s="262" t="s">
        <v>61</v>
      </c>
      <c r="C4" s="263"/>
    </row>
    <row r="5" spans="1:3" ht="15" x14ac:dyDescent="0.2">
      <c r="A5" s="19"/>
      <c r="B5" s="20">
        <v>25</v>
      </c>
      <c r="C5" s="79" t="s">
        <v>41</v>
      </c>
    </row>
    <row r="6" spans="1:3" x14ac:dyDescent="0.2">
      <c r="A6" s="73" t="s">
        <v>16</v>
      </c>
      <c r="B6" s="21" t="s">
        <v>36</v>
      </c>
      <c r="C6" s="80" t="s">
        <v>37</v>
      </c>
    </row>
    <row r="7" spans="1:3" x14ac:dyDescent="0.2">
      <c r="A7" s="22" t="s">
        <v>35</v>
      </c>
      <c r="B7" s="23"/>
      <c r="C7" s="24"/>
    </row>
    <row r="8" spans="1:3" x14ac:dyDescent="0.2">
      <c r="A8" s="25" t="s">
        <v>23</v>
      </c>
      <c r="B8" s="172"/>
      <c r="C8" s="24">
        <f>SUM(B5+C7-B8)</f>
        <v>25</v>
      </c>
    </row>
    <row r="9" spans="1:3" x14ac:dyDescent="0.2">
      <c r="A9" s="25" t="s">
        <v>24</v>
      </c>
      <c r="B9" s="172"/>
      <c r="C9" s="24">
        <f t="shared" ref="C9:C20" si="0">SUM(C8-B9)</f>
        <v>25</v>
      </c>
    </row>
    <row r="10" spans="1:3" x14ac:dyDescent="0.2">
      <c r="A10" s="25" t="s">
        <v>25</v>
      </c>
      <c r="B10" s="172"/>
      <c r="C10" s="24">
        <f t="shared" si="0"/>
        <v>25</v>
      </c>
    </row>
    <row r="11" spans="1:3" x14ac:dyDescent="0.2">
      <c r="A11" s="25" t="s">
        <v>26</v>
      </c>
      <c r="B11" s="172"/>
      <c r="C11" s="24">
        <f t="shared" si="0"/>
        <v>25</v>
      </c>
    </row>
    <row r="12" spans="1:3" x14ac:dyDescent="0.2">
      <c r="A12" s="25" t="s">
        <v>27</v>
      </c>
      <c r="B12" s="172"/>
      <c r="C12" s="24">
        <f t="shared" si="0"/>
        <v>25</v>
      </c>
    </row>
    <row r="13" spans="1:3" x14ac:dyDescent="0.2">
      <c r="A13" s="25" t="s">
        <v>28</v>
      </c>
      <c r="B13" s="172"/>
      <c r="C13" s="24">
        <f t="shared" si="0"/>
        <v>25</v>
      </c>
    </row>
    <row r="14" spans="1:3" x14ac:dyDescent="0.2">
      <c r="A14" s="25" t="s">
        <v>29</v>
      </c>
      <c r="B14" s="172"/>
      <c r="C14" s="24">
        <f t="shared" si="0"/>
        <v>25</v>
      </c>
    </row>
    <row r="15" spans="1:3" x14ac:dyDescent="0.2">
      <c r="A15" s="25" t="s">
        <v>30</v>
      </c>
      <c r="B15" s="172"/>
      <c r="C15" s="24">
        <f t="shared" si="0"/>
        <v>25</v>
      </c>
    </row>
    <row r="16" spans="1:3" x14ac:dyDescent="0.2">
      <c r="A16" s="25" t="s">
        <v>31</v>
      </c>
      <c r="B16" s="172"/>
      <c r="C16" s="24">
        <f t="shared" si="0"/>
        <v>25</v>
      </c>
    </row>
    <row r="17" spans="1:3" x14ac:dyDescent="0.2">
      <c r="A17" s="25" t="s">
        <v>32</v>
      </c>
      <c r="B17" s="172"/>
      <c r="C17" s="24">
        <f t="shared" si="0"/>
        <v>25</v>
      </c>
    </row>
    <row r="18" spans="1:3" x14ac:dyDescent="0.2">
      <c r="A18" s="25" t="s">
        <v>33</v>
      </c>
      <c r="B18" s="172"/>
      <c r="C18" s="24">
        <f t="shared" si="0"/>
        <v>25</v>
      </c>
    </row>
    <row r="19" spans="1:3" ht="13.5" thickBot="1" x14ac:dyDescent="0.25">
      <c r="A19" s="26" t="s">
        <v>34</v>
      </c>
      <c r="B19" s="173"/>
      <c r="C19" s="28">
        <f t="shared" si="0"/>
        <v>25</v>
      </c>
    </row>
    <row r="20" spans="1:3" ht="13.5" thickBot="1" x14ac:dyDescent="0.25">
      <c r="A20" s="29" t="s">
        <v>38</v>
      </c>
      <c r="B20" s="30"/>
      <c r="C20" s="28">
        <f t="shared" si="0"/>
        <v>25</v>
      </c>
    </row>
    <row r="23" spans="1:3" x14ac:dyDescent="0.2">
      <c r="A23" s="1" t="s">
        <v>43</v>
      </c>
    </row>
    <row r="24" spans="1:3" x14ac:dyDescent="0.2">
      <c r="A24" s="1" t="s">
        <v>44</v>
      </c>
    </row>
    <row r="25" spans="1:3" x14ac:dyDescent="0.2">
      <c r="A25" s="1" t="s">
        <v>56</v>
      </c>
      <c r="B25" s="59">
        <v>1</v>
      </c>
    </row>
  </sheetData>
  <sheetProtection algorithmName="SHA-512" hashValue="1eYLXt71hbAl3mWxSEm5WRft892lZvT6DwHt9PP3Vj8ZScbA31N7vc5i84ADjZXqOqWQHXIXJhBta+oYfksNug==" saltValue="FxpGKS9XXGxipmrGiXTsOA==" spinCount="100000" sheet="1" objects="1" scenarios="1"/>
  <mergeCells count="3">
    <mergeCell ref="A1:C1"/>
    <mergeCell ref="A2:C2"/>
    <mergeCell ref="B4:C4"/>
  </mergeCells>
  <phoneticPr fontId="0" type="noConversion"/>
  <pageMargins left="0.78740157480314965" right="0.78740157480314965" top="0.98425196850393704" bottom="0.98425196850393704" header="0.51181102362204722" footer="0.51181102362204722"/>
  <pageSetup paperSize="9" orientation="portrait" horizontalDpi="300" verticalDpi="300" r:id="rId1"/>
  <headerFooter alignWithMargins="0">
    <oddHeader>&amp;L&amp;G</oddHeader>
  </headerFooter>
  <legacyDrawingHF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24" sqref="B24"/>
    </sheetView>
  </sheetViews>
  <sheetFormatPr baseColWidth="10" defaultColWidth="10.83203125" defaultRowHeight="12.75" x14ac:dyDescent="0.2"/>
  <cols>
    <col min="1" max="1" width="27.6640625" style="1" bestFit="1" customWidth="1"/>
    <col min="2" max="3" width="24.33203125" style="1" customWidth="1"/>
    <col min="4" max="16384" width="10.83203125" style="1"/>
  </cols>
  <sheetData>
    <row r="1" spans="1:3" s="15" customFormat="1" ht="24" customHeight="1" x14ac:dyDescent="0.3">
      <c r="A1" s="264" t="str">
        <f>"Ferien " &amp; Saldo!A1</f>
        <v>Ferien 2020</v>
      </c>
      <c r="B1" s="265"/>
      <c r="C1" s="265"/>
    </row>
    <row r="2" spans="1:3" s="15" customFormat="1" ht="24" customHeight="1" x14ac:dyDescent="0.3">
      <c r="A2" s="266">
        <f>MA</f>
        <v>0</v>
      </c>
      <c r="B2" s="267"/>
      <c r="C2" s="267"/>
    </row>
    <row r="3" spans="1:3" ht="13.5" thickBot="1" x14ac:dyDescent="0.25">
      <c r="A3" s="16"/>
      <c r="B3" s="17"/>
      <c r="C3" s="17"/>
    </row>
    <row r="4" spans="1:3" ht="15" x14ac:dyDescent="0.2">
      <c r="A4" s="18"/>
      <c r="B4" s="262" t="s">
        <v>61</v>
      </c>
      <c r="C4" s="263"/>
    </row>
    <row r="5" spans="1:3" ht="15" x14ac:dyDescent="0.2">
      <c r="A5" s="19"/>
      <c r="B5" s="20">
        <f>30*Anstellungsprozent</f>
        <v>3000</v>
      </c>
      <c r="C5" s="79" t="s">
        <v>41</v>
      </c>
    </row>
    <row r="6" spans="1:3" x14ac:dyDescent="0.2">
      <c r="A6" s="73" t="s">
        <v>16</v>
      </c>
      <c r="B6" s="21" t="s">
        <v>36</v>
      </c>
      <c r="C6" s="80" t="s">
        <v>37</v>
      </c>
    </row>
    <row r="7" spans="1:3" x14ac:dyDescent="0.2">
      <c r="A7" s="22" t="s">
        <v>35</v>
      </c>
      <c r="B7" s="23"/>
      <c r="C7" s="24"/>
    </row>
    <row r="8" spans="1:3" x14ac:dyDescent="0.2">
      <c r="A8" s="25" t="s">
        <v>23</v>
      </c>
      <c r="B8" s="23"/>
      <c r="C8" s="24">
        <f>SUM(B5+C7-B8)</f>
        <v>3000</v>
      </c>
    </row>
    <row r="9" spans="1:3" x14ac:dyDescent="0.2">
      <c r="A9" s="25" t="s">
        <v>24</v>
      </c>
      <c r="B9" s="23"/>
      <c r="C9" s="24">
        <f t="shared" ref="C9:C20" si="0">SUM(C8-B9)</f>
        <v>3000</v>
      </c>
    </row>
    <row r="10" spans="1:3" x14ac:dyDescent="0.2">
      <c r="A10" s="25" t="s">
        <v>25</v>
      </c>
      <c r="B10" s="23"/>
      <c r="C10" s="24">
        <f t="shared" si="0"/>
        <v>3000</v>
      </c>
    </row>
    <row r="11" spans="1:3" x14ac:dyDescent="0.2">
      <c r="A11" s="25" t="s">
        <v>26</v>
      </c>
      <c r="B11" s="23"/>
      <c r="C11" s="24">
        <f t="shared" si="0"/>
        <v>3000</v>
      </c>
    </row>
    <row r="12" spans="1:3" x14ac:dyDescent="0.2">
      <c r="A12" s="25" t="s">
        <v>27</v>
      </c>
      <c r="B12" s="23"/>
      <c r="C12" s="24">
        <f t="shared" si="0"/>
        <v>3000</v>
      </c>
    </row>
    <row r="13" spans="1:3" x14ac:dyDescent="0.2">
      <c r="A13" s="25" t="s">
        <v>28</v>
      </c>
      <c r="B13" s="23"/>
      <c r="C13" s="24">
        <f t="shared" si="0"/>
        <v>3000</v>
      </c>
    </row>
    <row r="14" spans="1:3" x14ac:dyDescent="0.2">
      <c r="A14" s="25" t="s">
        <v>29</v>
      </c>
      <c r="B14" s="23"/>
      <c r="C14" s="24">
        <f t="shared" si="0"/>
        <v>3000</v>
      </c>
    </row>
    <row r="15" spans="1:3" x14ac:dyDescent="0.2">
      <c r="A15" s="25" t="s">
        <v>30</v>
      </c>
      <c r="B15" s="23"/>
      <c r="C15" s="24">
        <f t="shared" si="0"/>
        <v>3000</v>
      </c>
    </row>
    <row r="16" spans="1:3" x14ac:dyDescent="0.2">
      <c r="A16" s="25" t="s">
        <v>31</v>
      </c>
      <c r="B16" s="23"/>
      <c r="C16" s="24">
        <f t="shared" si="0"/>
        <v>3000</v>
      </c>
    </row>
    <row r="17" spans="1:3" x14ac:dyDescent="0.2">
      <c r="A17" s="25" t="s">
        <v>32</v>
      </c>
      <c r="B17" s="23"/>
      <c r="C17" s="24">
        <f t="shared" si="0"/>
        <v>3000</v>
      </c>
    </row>
    <row r="18" spans="1:3" x14ac:dyDescent="0.2">
      <c r="A18" s="25" t="s">
        <v>33</v>
      </c>
      <c r="B18" s="23"/>
      <c r="C18" s="24">
        <f t="shared" si="0"/>
        <v>3000</v>
      </c>
    </row>
    <row r="19" spans="1:3" ht="13.5" thickBot="1" x14ac:dyDescent="0.25">
      <c r="A19" s="26" t="s">
        <v>34</v>
      </c>
      <c r="B19" s="27"/>
      <c r="C19" s="28">
        <f t="shared" si="0"/>
        <v>3000</v>
      </c>
    </row>
    <row r="20" spans="1:3" ht="13.5" thickBot="1" x14ac:dyDescent="0.25">
      <c r="A20" s="29" t="s">
        <v>38</v>
      </c>
      <c r="B20" s="30"/>
      <c r="C20" s="28">
        <f t="shared" si="0"/>
        <v>3000</v>
      </c>
    </row>
    <row r="23" spans="1:3" x14ac:dyDescent="0.2">
      <c r="A23" s="1" t="s">
        <v>45</v>
      </c>
    </row>
    <row r="24" spans="1:3" x14ac:dyDescent="0.2">
      <c r="A24" s="1" t="s">
        <v>56</v>
      </c>
      <c r="B24" s="59">
        <v>1</v>
      </c>
    </row>
  </sheetData>
  <mergeCells count="3">
    <mergeCell ref="B4:C4"/>
    <mergeCell ref="A1:C1"/>
    <mergeCell ref="A2:C2"/>
  </mergeCells>
  <phoneticPr fontId="0" type="noConversion"/>
  <pageMargins left="0.78740157480314965" right="0.78740157480314965" top="0.98425196850393704" bottom="0.98425196850393704" header="0.51181102362204722" footer="0.51181102362204722"/>
  <pageSetup paperSize="9" orientation="portrait" horizontalDpi="300" verticalDpi="300"/>
  <headerFooter alignWithMargins="0">
    <oddHeader>&amp;L&amp;G</oddHeader>
  </headerFooter>
  <legacyDrawingHF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0"/>
  <sheetViews>
    <sheetView showGridLines="0" workbookViewId="0">
      <selection activeCell="B1" sqref="B1"/>
    </sheetView>
  </sheetViews>
  <sheetFormatPr baseColWidth="10" defaultColWidth="10.83203125" defaultRowHeight="12.75" x14ac:dyDescent="0.2"/>
  <cols>
    <col min="1" max="1" width="1.33203125" style="1" customWidth="1"/>
    <col min="2" max="2" width="75.1640625" style="1" customWidth="1"/>
    <col min="3" max="3" width="1.83203125" style="1" customWidth="1"/>
    <col min="4" max="4" width="6.5" style="1" customWidth="1"/>
    <col min="5" max="5" width="18.6640625" style="1" customWidth="1"/>
    <col min="6" max="16384" width="10.83203125" style="1"/>
  </cols>
  <sheetData>
    <row r="1" spans="2:5" x14ac:dyDescent="0.2">
      <c r="B1" s="4" t="s">
        <v>46</v>
      </c>
      <c r="C1" s="5"/>
      <c r="D1" s="6"/>
      <c r="E1" s="6"/>
    </row>
    <row r="2" spans="2:5" x14ac:dyDescent="0.2">
      <c r="B2" s="4" t="s">
        <v>47</v>
      </c>
      <c r="C2" s="5"/>
      <c r="D2" s="6"/>
      <c r="E2" s="6"/>
    </row>
    <row r="3" spans="2:5" x14ac:dyDescent="0.2">
      <c r="B3" s="7"/>
      <c r="C3" s="7"/>
      <c r="D3" s="8"/>
      <c r="E3" s="8"/>
    </row>
    <row r="4" spans="2:5" ht="51" x14ac:dyDescent="0.2">
      <c r="B4" s="9" t="s">
        <v>48</v>
      </c>
      <c r="C4" s="7"/>
      <c r="D4" s="8"/>
      <c r="E4" s="8"/>
    </row>
    <row r="5" spans="2:5" x14ac:dyDescent="0.2">
      <c r="B5" s="7"/>
      <c r="C5" s="7"/>
      <c r="D5" s="8"/>
      <c r="E5" s="8"/>
    </row>
    <row r="6" spans="2:5" x14ac:dyDescent="0.2">
      <c r="B6" s="4" t="s">
        <v>49</v>
      </c>
      <c r="C6" s="5"/>
      <c r="D6" s="6"/>
      <c r="E6" s="10" t="s">
        <v>50</v>
      </c>
    </row>
    <row r="7" spans="2:5" ht="13.5" thickBot="1" x14ac:dyDescent="0.25">
      <c r="B7" s="7"/>
      <c r="C7" s="7"/>
      <c r="D7" s="8"/>
      <c r="E7" s="8"/>
    </row>
    <row r="8" spans="2:5" ht="51.75" thickBot="1" x14ac:dyDescent="0.25">
      <c r="B8" s="11" t="s">
        <v>51</v>
      </c>
      <c r="C8" s="12"/>
      <c r="D8" s="13"/>
      <c r="E8" s="14">
        <v>4</v>
      </c>
    </row>
    <row r="9" spans="2:5" x14ac:dyDescent="0.2">
      <c r="B9" s="7"/>
      <c r="C9" s="7"/>
      <c r="D9" s="8"/>
      <c r="E9" s="8"/>
    </row>
    <row r="10" spans="2:5" x14ac:dyDescent="0.2">
      <c r="B10" s="7"/>
      <c r="C10" s="7"/>
      <c r="D10" s="8"/>
      <c r="E10" s="8"/>
    </row>
    <row r="20" spans="3:3" x14ac:dyDescent="0.2">
      <c r="C20" s="72"/>
    </row>
  </sheetData>
  <pageMargins left="0.78740157480314965" right="0.78740157480314965" top="0.98425196850393704" bottom="0.98425196850393704" header="0.51181102362204722" footer="0.51181102362204722"/>
  <pageSetup paperSize="9" orientation="landscape"/>
  <headerFooter alignWithMargins="0">
    <oddHeader>&amp;L&amp;G</oddHeader>
  </headerFooter>
  <legacyDrawingHF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
  <sheetViews>
    <sheetView workbookViewId="0">
      <selection activeCell="L7" sqref="L7"/>
    </sheetView>
  </sheetViews>
  <sheetFormatPr baseColWidth="10" defaultColWidth="10.83203125" defaultRowHeight="12.75" x14ac:dyDescent="0.2"/>
  <cols>
    <col min="1" max="10" width="10.83203125" style="82"/>
    <col min="11" max="11" width="30.5" style="82" customWidth="1"/>
    <col min="12" max="16384" width="10.83203125" style="82"/>
  </cols>
  <sheetData>
    <row r="1" spans="1:11" ht="23.25" x14ac:dyDescent="0.35">
      <c r="A1" s="85" t="s">
        <v>62</v>
      </c>
    </row>
    <row r="4" spans="1:11" ht="15.75" x14ac:dyDescent="0.25">
      <c r="A4" s="83" t="s">
        <v>63</v>
      </c>
    </row>
    <row r="5" spans="1:11" x14ac:dyDescent="0.2">
      <c r="A5" s="240" t="s">
        <v>84</v>
      </c>
      <c r="B5" s="240"/>
      <c r="C5" s="240"/>
      <c r="D5" s="240"/>
      <c r="E5" s="240"/>
      <c r="F5" s="240"/>
      <c r="G5" s="240"/>
      <c r="H5" s="240"/>
      <c r="I5" s="240"/>
      <c r="J5" s="240"/>
      <c r="K5" s="240"/>
    </row>
    <row r="6" spans="1:11" x14ac:dyDescent="0.2">
      <c r="A6" s="84"/>
      <c r="B6" s="84"/>
      <c r="C6" s="84"/>
      <c r="D6" s="84"/>
      <c r="E6" s="84"/>
      <c r="F6" s="84"/>
      <c r="G6" s="84"/>
      <c r="H6" s="84"/>
      <c r="I6" s="84"/>
      <c r="J6" s="84"/>
      <c r="K6" s="84"/>
    </row>
    <row r="7" spans="1:11" x14ac:dyDescent="0.2">
      <c r="A7" s="84"/>
      <c r="B7" s="84"/>
      <c r="C7" s="84"/>
      <c r="D7" s="84"/>
      <c r="E7" s="84"/>
      <c r="F7" s="84"/>
      <c r="G7" s="84"/>
      <c r="H7" s="84"/>
      <c r="I7" s="84"/>
      <c r="J7" s="84"/>
      <c r="K7" s="84"/>
    </row>
    <row r="10" spans="1:11" ht="15.75" x14ac:dyDescent="0.25">
      <c r="A10" s="83" t="s">
        <v>65</v>
      </c>
    </row>
    <row r="11" spans="1:11" ht="57.75" customHeight="1" x14ac:dyDescent="0.2">
      <c r="A11" s="238" t="s">
        <v>81</v>
      </c>
      <c r="B11" s="238"/>
      <c r="C11" s="238"/>
      <c r="D11" s="238"/>
      <c r="E11" s="238"/>
      <c r="F11" s="238"/>
      <c r="G11" s="238"/>
      <c r="H11" s="238"/>
      <c r="I11" s="238"/>
      <c r="J11" s="238"/>
      <c r="K11" s="238"/>
    </row>
    <row r="27" spans="1:11" ht="45" customHeight="1" x14ac:dyDescent="0.2">
      <c r="A27" s="238" t="s">
        <v>64</v>
      </c>
      <c r="B27" s="238"/>
      <c r="C27" s="238"/>
      <c r="D27" s="238"/>
      <c r="E27" s="238"/>
      <c r="F27" s="238"/>
      <c r="G27" s="238"/>
      <c r="H27" s="238"/>
      <c r="I27" s="238"/>
      <c r="J27" s="238"/>
      <c r="K27" s="238"/>
    </row>
    <row r="43" spans="1:11" ht="57.75" customHeight="1" x14ac:dyDescent="0.2">
      <c r="A43" s="238" t="s">
        <v>66</v>
      </c>
      <c r="B43" s="238"/>
      <c r="C43" s="238"/>
      <c r="D43" s="238"/>
      <c r="E43" s="238"/>
      <c r="F43" s="238"/>
      <c r="G43" s="238"/>
      <c r="H43" s="238"/>
      <c r="I43" s="238"/>
      <c r="J43" s="238"/>
      <c r="K43" s="238"/>
    </row>
    <row r="57" spans="1:11" x14ac:dyDescent="0.2">
      <c r="A57" s="239" t="s">
        <v>67</v>
      </c>
      <c r="B57" s="239"/>
      <c r="C57" s="239"/>
      <c r="D57" s="239"/>
      <c r="E57" s="239"/>
      <c r="F57" s="239"/>
      <c r="G57" s="239"/>
      <c r="H57" s="239"/>
      <c r="I57" s="239"/>
      <c r="J57" s="239"/>
      <c r="K57" s="239"/>
    </row>
    <row r="59" spans="1:11" ht="97.5" customHeight="1" x14ac:dyDescent="0.2">
      <c r="A59" s="238" t="s">
        <v>68</v>
      </c>
      <c r="B59" s="238"/>
      <c r="C59" s="238"/>
      <c r="D59" s="238"/>
      <c r="E59" s="238"/>
      <c r="F59" s="238"/>
      <c r="G59" s="238"/>
      <c r="H59" s="238"/>
      <c r="I59" s="238"/>
      <c r="J59" s="238"/>
      <c r="K59" s="238"/>
    </row>
    <row r="62" spans="1:11" ht="15.75" x14ac:dyDescent="0.25">
      <c r="A62" s="83" t="s">
        <v>75</v>
      </c>
    </row>
    <row r="63" spans="1:11" ht="57" customHeight="1" x14ac:dyDescent="0.2">
      <c r="A63" s="238" t="s">
        <v>80</v>
      </c>
      <c r="B63" s="239"/>
      <c r="C63" s="239"/>
      <c r="D63" s="239"/>
      <c r="E63" s="239"/>
      <c r="F63" s="239"/>
      <c r="G63" s="239"/>
      <c r="H63" s="239"/>
      <c r="I63" s="239"/>
      <c r="J63" s="239"/>
    </row>
    <row r="77" spans="1:10" ht="15.75" x14ac:dyDescent="0.25">
      <c r="A77" s="83" t="s">
        <v>76</v>
      </c>
    </row>
    <row r="78" spans="1:10" ht="59.25" customHeight="1" x14ac:dyDescent="0.2">
      <c r="A78" s="238" t="s">
        <v>82</v>
      </c>
      <c r="B78" s="239"/>
      <c r="C78" s="239"/>
      <c r="D78" s="239"/>
      <c r="E78" s="239"/>
      <c r="F78" s="239"/>
      <c r="G78" s="239"/>
      <c r="H78" s="239"/>
      <c r="I78" s="239"/>
      <c r="J78" s="239"/>
    </row>
  </sheetData>
  <sheetProtection algorithmName="SHA-512" hashValue="AYt1Cyulz8b/chkao9+ij3Itjqmm50fRwnkfbPY1T33NI5AgdMD9WsDv+bmj2YV5yBkjST8+S6vuCRle0Yx6Jg==" saltValue="QNQZDV+i+pF2ttFOiDDG9Q==" spinCount="100000" sheet="1" objects="1" scenarios="1"/>
  <mergeCells count="8">
    <mergeCell ref="A63:J63"/>
    <mergeCell ref="A78:J78"/>
    <mergeCell ref="A59:K59"/>
    <mergeCell ref="A5:K5"/>
    <mergeCell ref="A11:K11"/>
    <mergeCell ref="A27:K27"/>
    <mergeCell ref="A43:K43"/>
    <mergeCell ref="A57:K57"/>
  </mergeCell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G22" sqref="G22"/>
    </sheetView>
  </sheetViews>
  <sheetFormatPr baseColWidth="10" defaultRowHeight="12.75" x14ac:dyDescent="0.2"/>
  <cols>
    <col min="1" max="16384" width="12" style="82"/>
  </cols>
  <sheetData>
    <row r="1" spans="1:3" s="215" customFormat="1" ht="18" x14ac:dyDescent="0.25">
      <c r="A1" s="215" t="s">
        <v>86</v>
      </c>
    </row>
    <row r="2" spans="1:3" s="215" customFormat="1" ht="18" x14ac:dyDescent="0.25">
      <c r="A2" s="241">
        <f>Saldo!A1</f>
        <v>2020</v>
      </c>
      <c r="B2" s="241"/>
      <c r="C2" s="241"/>
    </row>
    <row r="4" spans="1:3" s="214" customFormat="1" x14ac:dyDescent="0.2">
      <c r="A4" s="220" t="s">
        <v>16</v>
      </c>
      <c r="B4" s="220" t="s">
        <v>87</v>
      </c>
    </row>
    <row r="5" spans="1:3" x14ac:dyDescent="0.2">
      <c r="A5" s="217"/>
      <c r="B5" s="217"/>
    </row>
    <row r="6" spans="1:3" x14ac:dyDescent="0.2">
      <c r="A6" s="221" t="s">
        <v>23</v>
      </c>
      <c r="B6" s="222">
        <v>8.75</v>
      </c>
    </row>
    <row r="7" spans="1:3" x14ac:dyDescent="0.2">
      <c r="A7" s="223" t="s">
        <v>24</v>
      </c>
      <c r="B7" s="224">
        <v>8.3333333333333339</v>
      </c>
    </row>
    <row r="8" spans="1:3" x14ac:dyDescent="0.2">
      <c r="A8" s="223" t="s">
        <v>25</v>
      </c>
      <c r="B8" s="224">
        <v>9.1666666666666661</v>
      </c>
    </row>
    <row r="9" spans="1:3" x14ac:dyDescent="0.2">
      <c r="A9" s="223" t="s">
        <v>26</v>
      </c>
      <c r="B9" s="224">
        <v>8.0041666666666664</v>
      </c>
    </row>
    <row r="10" spans="1:3" x14ac:dyDescent="0.2">
      <c r="A10" s="223" t="s">
        <v>27</v>
      </c>
      <c r="B10" s="224">
        <v>7.7958333333333334</v>
      </c>
    </row>
    <row r="11" spans="1:3" x14ac:dyDescent="0.2">
      <c r="A11" s="223" t="s">
        <v>28</v>
      </c>
      <c r="B11" s="224">
        <v>8.75</v>
      </c>
    </row>
    <row r="12" spans="1:3" x14ac:dyDescent="0.2">
      <c r="A12" s="223" t="s">
        <v>29</v>
      </c>
      <c r="B12" s="224">
        <v>9.5833333333333339</v>
      </c>
    </row>
    <row r="13" spans="1:3" x14ac:dyDescent="0.2">
      <c r="A13" s="223" t="s">
        <v>30</v>
      </c>
      <c r="B13" s="224">
        <v>8.75</v>
      </c>
    </row>
    <row r="14" spans="1:3" x14ac:dyDescent="0.2">
      <c r="A14" s="223" t="s">
        <v>31</v>
      </c>
      <c r="B14" s="224">
        <v>8.9583333333333339</v>
      </c>
    </row>
    <row r="15" spans="1:3" x14ac:dyDescent="0.2">
      <c r="A15" s="223" t="s">
        <v>32</v>
      </c>
      <c r="B15" s="224">
        <v>9.1666666666666661</v>
      </c>
    </row>
    <row r="16" spans="1:3" x14ac:dyDescent="0.2">
      <c r="A16" s="223" t="s">
        <v>33</v>
      </c>
      <c r="B16" s="224">
        <v>8.75</v>
      </c>
    </row>
    <row r="17" spans="1:2" x14ac:dyDescent="0.2">
      <c r="A17" s="218" t="s">
        <v>34</v>
      </c>
      <c r="B17" s="219">
        <v>8.8375000000000004</v>
      </c>
    </row>
    <row r="19" spans="1:2" s="214" customFormat="1" x14ac:dyDescent="0.2">
      <c r="A19" s="214" t="s">
        <v>10</v>
      </c>
      <c r="B19" s="216">
        <f>SUM(B6:B17)</f>
        <v>104.84583333333333</v>
      </c>
    </row>
  </sheetData>
  <sheetProtection algorithmName="SHA-512" hashValue="39ADp5DOFd2ecYbi4u9vExSCmEGoNZW3hsgIMokuf9kwfOXLsvEk6lEt48oWqDY4Rt6dlTT/sPJsGjpmpV0v3w==" saltValue="ubPXtHib1Jy7gsJ0z6ENpw==" spinCount="100000" sheet="1" objects="1" scenarios="1"/>
  <mergeCells count="1">
    <mergeCell ref="A2:C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tabSelected="1" workbookViewId="0">
      <selection activeCell="C6" sqref="C6"/>
    </sheetView>
  </sheetViews>
  <sheetFormatPr baseColWidth="10" defaultColWidth="10.83203125" defaultRowHeight="12.75" x14ac:dyDescent="0.2"/>
  <cols>
    <col min="1" max="1" width="4.33203125" style="1" bestFit="1" customWidth="1"/>
    <col min="2" max="2" width="13.33203125" style="1" customWidth="1"/>
    <col min="3" max="6" width="8.83203125" style="1" customWidth="1"/>
    <col min="7" max="7" width="11.83203125" style="1" customWidth="1"/>
    <col min="8" max="8" width="11" style="1" customWidth="1"/>
    <col min="9" max="9" width="22.5" style="47" customWidth="1"/>
    <col min="10" max="10" width="10.83203125" style="1"/>
    <col min="11" max="11" width="13.6640625" style="1" bestFit="1" customWidth="1"/>
    <col min="12" max="12" width="10.83203125" style="1"/>
    <col min="13" max="13" width="13.5" style="1" bestFit="1" customWidth="1"/>
    <col min="14" max="14" width="15.1640625" style="1" bestFit="1" customWidth="1"/>
    <col min="15" max="16384" width="10.83203125" style="1"/>
  </cols>
  <sheetData>
    <row r="1" spans="1:21" ht="15.95" customHeight="1" x14ac:dyDescent="0.2">
      <c r="A1" s="86" t="s">
        <v>54</v>
      </c>
      <c r="B1" s="87"/>
      <c r="C1" s="87"/>
      <c r="D1" s="87"/>
      <c r="E1" s="87"/>
      <c r="F1" s="87"/>
      <c r="G1" s="87"/>
      <c r="H1" s="87"/>
      <c r="I1" s="88"/>
    </row>
    <row r="2" spans="1:21" s="32" customFormat="1" ht="26.1" customHeight="1" x14ac:dyDescent="0.2">
      <c r="A2" s="252" t="s">
        <v>23</v>
      </c>
      <c r="B2" s="252"/>
      <c r="C2" s="89">
        <f>Saldo!A1</f>
        <v>2020</v>
      </c>
      <c r="D2" s="90"/>
      <c r="E2" s="90"/>
      <c r="F2" s="90"/>
      <c r="G2" s="242">
        <f>MA</f>
        <v>0</v>
      </c>
      <c r="H2" s="243"/>
      <c r="I2" s="243"/>
      <c r="J2" s="31"/>
      <c r="N2" s="56"/>
    </row>
    <row r="3" spans="1:21" ht="13.5" thickBot="1" x14ac:dyDescent="0.25">
      <c r="A3" s="87"/>
      <c r="B3" s="250"/>
      <c r="C3" s="251"/>
      <c r="D3" s="251"/>
      <c r="E3" s="251"/>
      <c r="F3" s="251"/>
      <c r="G3" s="251"/>
      <c r="H3" s="251"/>
      <c r="I3" s="251"/>
      <c r="J3" s="33"/>
    </row>
    <row r="4" spans="1:21" s="2" customFormat="1" ht="11.25" x14ac:dyDescent="0.15">
      <c r="A4" s="91"/>
      <c r="B4" s="92" t="s">
        <v>0</v>
      </c>
      <c r="C4" s="93" t="s">
        <v>1</v>
      </c>
      <c r="D4" s="94" t="s">
        <v>2</v>
      </c>
      <c r="E4" s="93" t="s">
        <v>3</v>
      </c>
      <c r="F4" s="94" t="s">
        <v>4</v>
      </c>
      <c r="G4" s="94" t="s">
        <v>5</v>
      </c>
      <c r="H4" s="92" t="s">
        <v>6</v>
      </c>
      <c r="I4" s="95" t="s">
        <v>7</v>
      </c>
      <c r="J4" s="34"/>
    </row>
    <row r="5" spans="1:21" x14ac:dyDescent="0.2">
      <c r="A5" s="96"/>
      <c r="B5" s="97"/>
      <c r="C5" s="46"/>
      <c r="D5" s="45"/>
      <c r="E5" s="43"/>
      <c r="F5" s="42"/>
      <c r="G5" s="45"/>
      <c r="H5" s="106"/>
      <c r="I5" s="110"/>
      <c r="M5" s="57"/>
      <c r="S5" s="2"/>
    </row>
    <row r="6" spans="1:21" ht="13.5" customHeight="1" x14ac:dyDescent="0.2">
      <c r="A6" s="98" t="str">
        <f>TEXT((WEEKDAY(TEXT(B6,"TT")&amp;"."&amp;$A$2&amp;"."&amp;$C$2)),"TTT")</f>
        <v>Mi</v>
      </c>
      <c r="B6" s="99">
        <f>DATE(Saldo!$A$1,$B$2,1)</f>
        <v>43800</v>
      </c>
      <c r="C6" s="74"/>
      <c r="D6" s="74"/>
      <c r="E6" s="74"/>
      <c r="F6" s="74"/>
      <c r="G6" s="74"/>
      <c r="H6" s="107">
        <f>(D6-C6)+(F6-E6)+G6</f>
        <v>0</v>
      </c>
      <c r="I6" s="111" t="s">
        <v>8</v>
      </c>
      <c r="J6" s="67"/>
      <c r="K6" s="57"/>
      <c r="M6" s="57"/>
      <c r="S6" s="2"/>
    </row>
    <row r="7" spans="1:21" s="33" customFormat="1" x14ac:dyDescent="0.2">
      <c r="A7" s="98" t="str">
        <f t="shared" ref="A7:A36" si="0">TEXT((WEEKDAY(TEXT(B7,"TT")&amp;"."&amp;$A$2&amp;"."&amp;$C$2)),"TTT")</f>
        <v>Do</v>
      </c>
      <c r="B7" s="99">
        <f>DATE(Saldo!$A$1,$B$2,2)</f>
        <v>43801</v>
      </c>
      <c r="C7" s="75"/>
      <c r="D7" s="75"/>
      <c r="E7" s="75"/>
      <c r="F7" s="75"/>
      <c r="G7" s="75"/>
      <c r="H7" s="107">
        <f t="shared" ref="H7:H36" si="1">(D7-C7)+(F7-E7)+G7</f>
        <v>0</v>
      </c>
      <c r="I7" s="111" t="s">
        <v>9</v>
      </c>
      <c r="J7" s="1"/>
      <c r="K7" s="57"/>
      <c r="L7" s="1"/>
      <c r="M7" s="57"/>
      <c r="R7" s="1"/>
      <c r="S7" s="2"/>
      <c r="U7" s="1"/>
    </row>
    <row r="8" spans="1:21" s="33" customFormat="1" x14ac:dyDescent="0.2">
      <c r="A8" s="98" t="str">
        <f t="shared" si="0"/>
        <v>Fr</v>
      </c>
      <c r="B8" s="99">
        <f>DATE(Saldo!$A$1,$B$2,3)</f>
        <v>43802</v>
      </c>
      <c r="C8" s="78"/>
      <c r="D8" s="78"/>
      <c r="E8" s="78"/>
      <c r="F8" s="78"/>
      <c r="G8" s="78"/>
      <c r="H8" s="107">
        <f t="shared" si="1"/>
        <v>0</v>
      </c>
      <c r="I8" s="111"/>
      <c r="J8" s="1"/>
      <c r="K8" s="57"/>
      <c r="L8" s="1"/>
      <c r="M8" s="57"/>
      <c r="R8" s="1"/>
      <c r="S8" s="2"/>
      <c r="U8" s="1"/>
    </row>
    <row r="9" spans="1:21" s="33" customFormat="1" x14ac:dyDescent="0.2">
      <c r="A9" s="98" t="str">
        <f t="shared" si="0"/>
        <v>Sa</v>
      </c>
      <c r="B9" s="99">
        <f>DATE(Saldo!$A$1,$B$2,4)</f>
        <v>43803</v>
      </c>
      <c r="C9" s="75"/>
      <c r="D9" s="75"/>
      <c r="E9" s="75"/>
      <c r="F9" s="75"/>
      <c r="G9" s="76"/>
      <c r="H9" s="107">
        <f t="shared" si="1"/>
        <v>0</v>
      </c>
      <c r="I9" s="111"/>
      <c r="J9" s="1"/>
      <c r="K9" s="57"/>
      <c r="L9" s="1"/>
      <c r="M9" s="57"/>
      <c r="R9" s="1"/>
      <c r="S9" s="2"/>
      <c r="U9" s="1"/>
    </row>
    <row r="10" spans="1:21" s="33" customFormat="1" x14ac:dyDescent="0.2">
      <c r="A10" s="98" t="str">
        <f t="shared" si="0"/>
        <v>So</v>
      </c>
      <c r="B10" s="99">
        <f>DATE(Saldo!$A$1,$B$2,5)</f>
        <v>43804</v>
      </c>
      <c r="C10" s="75"/>
      <c r="D10" s="75"/>
      <c r="E10" s="75"/>
      <c r="F10" s="75"/>
      <c r="G10" s="76"/>
      <c r="H10" s="107">
        <f t="shared" si="1"/>
        <v>0</v>
      </c>
      <c r="I10" s="111"/>
      <c r="J10" s="50"/>
      <c r="K10" s="57"/>
      <c r="L10" s="1"/>
      <c r="M10" s="57"/>
      <c r="R10" s="1"/>
      <c r="S10" s="2"/>
      <c r="U10" s="1"/>
    </row>
    <row r="11" spans="1:21" s="33" customFormat="1" x14ac:dyDescent="0.2">
      <c r="A11" s="98" t="str">
        <f t="shared" si="0"/>
        <v>Mo</v>
      </c>
      <c r="B11" s="99">
        <f>DATE(Saldo!$A$1,$B$2,6)</f>
        <v>43805</v>
      </c>
      <c r="C11" s="75"/>
      <c r="D11" s="75"/>
      <c r="E11" s="75"/>
      <c r="F11" s="75"/>
      <c r="G11" s="76"/>
      <c r="H11" s="107">
        <f t="shared" si="1"/>
        <v>0</v>
      </c>
      <c r="I11" s="111"/>
      <c r="J11" s="50"/>
      <c r="K11" s="57"/>
      <c r="L11" s="1"/>
      <c r="M11" s="57"/>
      <c r="R11" s="1"/>
      <c r="S11" s="2"/>
      <c r="U11" s="1"/>
    </row>
    <row r="12" spans="1:21" s="33" customFormat="1" x14ac:dyDescent="0.2">
      <c r="A12" s="98" t="str">
        <f t="shared" si="0"/>
        <v>Di</v>
      </c>
      <c r="B12" s="99">
        <f>DATE(Saldo!$A$1,$B$2,7)</f>
        <v>43806</v>
      </c>
      <c r="C12" s="78"/>
      <c r="D12" s="78"/>
      <c r="E12" s="78"/>
      <c r="F12" s="78"/>
      <c r="G12" s="76"/>
      <c r="H12" s="107">
        <f t="shared" si="1"/>
        <v>0</v>
      </c>
      <c r="I12" s="111"/>
      <c r="J12" s="50"/>
      <c r="K12" s="57"/>
      <c r="L12" s="1"/>
      <c r="M12" s="57"/>
      <c r="R12" s="1"/>
      <c r="S12" s="2"/>
      <c r="U12" s="1"/>
    </row>
    <row r="13" spans="1:21" s="33" customFormat="1" x14ac:dyDescent="0.2">
      <c r="A13" s="98" t="str">
        <f t="shared" si="0"/>
        <v>Mi</v>
      </c>
      <c r="B13" s="99">
        <f>DATE(Saldo!$A$1,$B$2,8)</f>
        <v>43807</v>
      </c>
      <c r="C13" s="75"/>
      <c r="D13" s="75"/>
      <c r="E13" s="75"/>
      <c r="F13" s="75"/>
      <c r="G13" s="76"/>
      <c r="H13" s="107">
        <f t="shared" si="1"/>
        <v>0</v>
      </c>
      <c r="I13" s="111"/>
      <c r="J13" s="50"/>
      <c r="K13" s="57"/>
      <c r="L13" s="1"/>
      <c r="M13" s="57"/>
      <c r="R13" s="1"/>
      <c r="S13" s="2"/>
      <c r="U13" s="1"/>
    </row>
    <row r="14" spans="1:21" s="33" customFormat="1" x14ac:dyDescent="0.2">
      <c r="A14" s="98" t="str">
        <f t="shared" si="0"/>
        <v>Do</v>
      </c>
      <c r="B14" s="99">
        <f>DATE(Saldo!$A$1,$B$2,9)</f>
        <v>43808</v>
      </c>
      <c r="C14" s="75"/>
      <c r="D14" s="75"/>
      <c r="E14" s="75"/>
      <c r="F14" s="75"/>
      <c r="G14" s="76"/>
      <c r="H14" s="107">
        <f t="shared" si="1"/>
        <v>0</v>
      </c>
      <c r="I14" s="111"/>
      <c r="J14" s="50"/>
      <c r="K14" s="57"/>
      <c r="L14" s="1"/>
      <c r="M14" s="57"/>
      <c r="R14" s="1"/>
      <c r="S14" s="2"/>
      <c r="U14" s="1"/>
    </row>
    <row r="15" spans="1:21" s="33" customFormat="1" x14ac:dyDescent="0.2">
      <c r="A15" s="98" t="str">
        <f t="shared" si="0"/>
        <v>Fr</v>
      </c>
      <c r="B15" s="99">
        <f>DATE(Saldo!$A$1,$B$2,10)</f>
        <v>43809</v>
      </c>
      <c r="C15" s="75"/>
      <c r="D15" s="75"/>
      <c r="E15" s="75"/>
      <c r="F15" s="75"/>
      <c r="G15" s="77"/>
      <c r="H15" s="107">
        <f t="shared" si="1"/>
        <v>0</v>
      </c>
      <c r="I15" s="111"/>
      <c r="J15" s="1"/>
      <c r="K15" s="57"/>
      <c r="L15" s="1"/>
      <c r="M15" s="57"/>
      <c r="R15" s="1"/>
      <c r="S15" s="2"/>
      <c r="U15" s="1"/>
    </row>
    <row r="16" spans="1:21" s="33" customFormat="1" x14ac:dyDescent="0.2">
      <c r="A16" s="98" t="str">
        <f t="shared" si="0"/>
        <v>Sa</v>
      </c>
      <c r="B16" s="99">
        <f>DATE(Saldo!$A$1,$B$2,11)</f>
        <v>43810</v>
      </c>
      <c r="C16" s="75"/>
      <c r="D16" s="75"/>
      <c r="E16" s="75"/>
      <c r="F16" s="75"/>
      <c r="G16" s="76"/>
      <c r="H16" s="107">
        <f t="shared" si="1"/>
        <v>0</v>
      </c>
      <c r="I16" s="111"/>
      <c r="J16" s="1"/>
      <c r="K16" s="57"/>
      <c r="L16" s="1"/>
      <c r="M16" s="57"/>
      <c r="R16" s="1"/>
      <c r="S16" s="2"/>
      <c r="U16" s="1"/>
    </row>
    <row r="17" spans="1:21" s="33" customFormat="1" x14ac:dyDescent="0.2">
      <c r="A17" s="98" t="str">
        <f t="shared" si="0"/>
        <v>So</v>
      </c>
      <c r="B17" s="99">
        <f>DATE(Saldo!$A$1,$B$2,12)</f>
        <v>43811</v>
      </c>
      <c r="C17" s="75"/>
      <c r="D17" s="75"/>
      <c r="E17" s="75"/>
      <c r="F17" s="75"/>
      <c r="G17" s="76"/>
      <c r="H17" s="107">
        <f t="shared" si="1"/>
        <v>0</v>
      </c>
      <c r="I17" s="111"/>
      <c r="J17" s="50"/>
      <c r="K17" s="57"/>
      <c r="L17" s="1"/>
      <c r="M17" s="57"/>
      <c r="R17" s="1"/>
      <c r="S17" s="2"/>
      <c r="U17" s="1"/>
    </row>
    <row r="18" spans="1:21" s="33" customFormat="1" x14ac:dyDescent="0.2">
      <c r="A18" s="98" t="str">
        <f t="shared" si="0"/>
        <v>Mo</v>
      </c>
      <c r="B18" s="99">
        <f>DATE(Saldo!$A$1,$B$2,13)</f>
        <v>43812</v>
      </c>
      <c r="C18" s="75"/>
      <c r="D18" s="75"/>
      <c r="E18" s="75"/>
      <c r="F18" s="75"/>
      <c r="G18" s="76"/>
      <c r="H18" s="107">
        <f t="shared" si="1"/>
        <v>0</v>
      </c>
      <c r="I18" s="111"/>
      <c r="J18" s="50"/>
      <c r="K18" s="57"/>
      <c r="L18" s="1"/>
      <c r="M18" s="57"/>
      <c r="R18" s="1"/>
      <c r="S18" s="2"/>
      <c r="U18" s="1"/>
    </row>
    <row r="19" spans="1:21" s="33" customFormat="1" x14ac:dyDescent="0.2">
      <c r="A19" s="98" t="str">
        <f t="shared" si="0"/>
        <v>Di</v>
      </c>
      <c r="B19" s="99">
        <f>DATE(Saldo!$A$1,$B$2,14)</f>
        <v>43813</v>
      </c>
      <c r="C19" s="75"/>
      <c r="D19" s="75"/>
      <c r="E19" s="75"/>
      <c r="F19" s="75"/>
      <c r="G19" s="76"/>
      <c r="H19" s="107">
        <f t="shared" si="1"/>
        <v>0</v>
      </c>
      <c r="I19" s="111"/>
      <c r="J19" s="50"/>
      <c r="K19" s="57"/>
      <c r="L19" s="1"/>
      <c r="M19" s="57"/>
      <c r="R19" s="1"/>
      <c r="S19" s="2"/>
      <c r="U19" s="1"/>
    </row>
    <row r="20" spans="1:21" s="33" customFormat="1" x14ac:dyDescent="0.2">
      <c r="A20" s="98" t="str">
        <f t="shared" si="0"/>
        <v>Mi</v>
      </c>
      <c r="B20" s="99">
        <f>DATE(Saldo!$A$1,$B$2,15)</f>
        <v>43814</v>
      </c>
      <c r="C20" s="75"/>
      <c r="D20" s="75"/>
      <c r="E20" s="75"/>
      <c r="F20" s="75"/>
      <c r="G20" s="76"/>
      <c r="H20" s="107">
        <f t="shared" si="1"/>
        <v>0</v>
      </c>
      <c r="I20" s="111"/>
      <c r="J20" s="50"/>
      <c r="K20" s="57"/>
      <c r="L20" s="1"/>
      <c r="M20" s="57"/>
      <c r="R20" s="1"/>
      <c r="S20" s="2"/>
      <c r="U20" s="1"/>
    </row>
    <row r="21" spans="1:21" s="33" customFormat="1" x14ac:dyDescent="0.2">
      <c r="A21" s="98" t="str">
        <f t="shared" si="0"/>
        <v>Do</v>
      </c>
      <c r="B21" s="99">
        <f>DATE(Saldo!$A$1,$B$2,16)</f>
        <v>43815</v>
      </c>
      <c r="C21" s="75"/>
      <c r="D21" s="75"/>
      <c r="E21" s="75"/>
      <c r="F21" s="75"/>
      <c r="G21" s="76"/>
      <c r="H21" s="107">
        <f t="shared" si="1"/>
        <v>0</v>
      </c>
      <c r="I21" s="111"/>
      <c r="J21" s="50"/>
      <c r="K21" s="1"/>
      <c r="L21" s="1"/>
      <c r="R21" s="1"/>
      <c r="S21" s="2"/>
      <c r="U21" s="1"/>
    </row>
    <row r="22" spans="1:21" s="33" customFormat="1" x14ac:dyDescent="0.2">
      <c r="A22" s="98" t="str">
        <f t="shared" si="0"/>
        <v>Fr</v>
      </c>
      <c r="B22" s="99">
        <f>DATE(Saldo!$A$1,$B$2,17)</f>
        <v>43816</v>
      </c>
      <c r="C22" s="75"/>
      <c r="D22" s="75"/>
      <c r="E22" s="75"/>
      <c r="F22" s="75"/>
      <c r="G22" s="77"/>
      <c r="H22" s="107">
        <f t="shared" si="1"/>
        <v>0</v>
      </c>
      <c r="I22" s="111"/>
      <c r="J22" s="1"/>
      <c r="K22" s="1"/>
      <c r="L22" s="1"/>
      <c r="R22" s="1"/>
      <c r="S22" s="2"/>
      <c r="U22" s="1"/>
    </row>
    <row r="23" spans="1:21" s="33" customFormat="1" x14ac:dyDescent="0.2">
      <c r="A23" s="98" t="str">
        <f t="shared" si="0"/>
        <v>Sa</v>
      </c>
      <c r="B23" s="99">
        <f>DATE(Saldo!$A$1,$B$2,18)</f>
        <v>43817</v>
      </c>
      <c r="C23" s="75"/>
      <c r="D23" s="75"/>
      <c r="E23" s="75"/>
      <c r="F23" s="75"/>
      <c r="G23" s="76"/>
      <c r="H23" s="107">
        <f t="shared" si="1"/>
        <v>0</v>
      </c>
      <c r="I23" s="111"/>
      <c r="J23" s="1"/>
      <c r="K23" s="1"/>
      <c r="L23" s="1"/>
      <c r="R23" s="1"/>
      <c r="S23" s="2"/>
      <c r="U23" s="1"/>
    </row>
    <row r="24" spans="1:21" s="33" customFormat="1" x14ac:dyDescent="0.2">
      <c r="A24" s="98" t="str">
        <f t="shared" si="0"/>
        <v>So</v>
      </c>
      <c r="B24" s="99">
        <f>DATE(Saldo!$A$1,$B$2,19)</f>
        <v>43818</v>
      </c>
      <c r="C24" s="75"/>
      <c r="D24" s="75"/>
      <c r="E24" s="75"/>
      <c r="F24" s="75"/>
      <c r="G24" s="76"/>
      <c r="H24" s="107">
        <f t="shared" si="1"/>
        <v>0</v>
      </c>
      <c r="I24" s="111"/>
      <c r="J24" s="50"/>
      <c r="K24" s="1"/>
      <c r="L24" s="1"/>
      <c r="R24" s="1"/>
      <c r="S24" s="2"/>
      <c r="U24" s="1"/>
    </row>
    <row r="25" spans="1:21" s="33" customFormat="1" x14ac:dyDescent="0.2">
      <c r="A25" s="98" t="str">
        <f t="shared" si="0"/>
        <v>Mo</v>
      </c>
      <c r="B25" s="99">
        <f>DATE(Saldo!$A$1,$B$2,20)</f>
        <v>43819</v>
      </c>
      <c r="C25" s="75"/>
      <c r="D25" s="75"/>
      <c r="E25" s="75"/>
      <c r="F25" s="75"/>
      <c r="G25" s="76"/>
      <c r="H25" s="107">
        <f t="shared" si="1"/>
        <v>0</v>
      </c>
      <c r="I25" s="111"/>
      <c r="J25" s="50"/>
      <c r="K25" s="1"/>
      <c r="L25" s="1"/>
      <c r="R25" s="1"/>
      <c r="S25" s="2"/>
      <c r="U25" s="1"/>
    </row>
    <row r="26" spans="1:21" s="33" customFormat="1" x14ac:dyDescent="0.2">
      <c r="A26" s="98" t="str">
        <f t="shared" si="0"/>
        <v>Di</v>
      </c>
      <c r="B26" s="99">
        <f>DATE(Saldo!$A$1,$B$2,21)</f>
        <v>43820</v>
      </c>
      <c r="C26" s="75"/>
      <c r="D26" s="75"/>
      <c r="E26" s="75"/>
      <c r="F26" s="75"/>
      <c r="G26" s="76"/>
      <c r="H26" s="107">
        <f t="shared" si="1"/>
        <v>0</v>
      </c>
      <c r="I26" s="111"/>
      <c r="J26" s="50"/>
      <c r="K26" s="1"/>
      <c r="L26" s="1"/>
      <c r="R26" s="1"/>
      <c r="S26" s="2"/>
      <c r="U26" s="1"/>
    </row>
    <row r="27" spans="1:21" s="33" customFormat="1" x14ac:dyDescent="0.2">
      <c r="A27" s="98" t="str">
        <f t="shared" si="0"/>
        <v>Mi</v>
      </c>
      <c r="B27" s="99">
        <f>DATE(Saldo!$A$1,$B$2,22)</f>
        <v>43821</v>
      </c>
      <c r="C27" s="75"/>
      <c r="D27" s="75"/>
      <c r="E27" s="75"/>
      <c r="F27" s="75"/>
      <c r="G27" s="76"/>
      <c r="H27" s="107">
        <f t="shared" si="1"/>
        <v>0</v>
      </c>
      <c r="I27" s="111"/>
      <c r="J27" s="50"/>
      <c r="K27" s="1"/>
      <c r="L27" s="1"/>
      <c r="R27" s="1"/>
      <c r="S27" s="2"/>
      <c r="U27" s="1"/>
    </row>
    <row r="28" spans="1:21" s="33" customFormat="1" x14ac:dyDescent="0.2">
      <c r="A28" s="98" t="str">
        <f t="shared" si="0"/>
        <v>Do</v>
      </c>
      <c r="B28" s="99">
        <f>DATE(Saldo!$A$1,$B$2,23)</f>
        <v>43822</v>
      </c>
      <c r="C28" s="75"/>
      <c r="D28" s="75"/>
      <c r="E28" s="75"/>
      <c r="F28" s="75"/>
      <c r="G28" s="76"/>
      <c r="H28" s="107">
        <f t="shared" si="1"/>
        <v>0</v>
      </c>
      <c r="I28" s="111"/>
      <c r="J28" s="50"/>
      <c r="K28" s="1"/>
      <c r="L28" s="1"/>
      <c r="R28" s="1"/>
      <c r="S28" s="2"/>
      <c r="U28" s="1"/>
    </row>
    <row r="29" spans="1:21" s="33" customFormat="1" x14ac:dyDescent="0.2">
      <c r="A29" s="98" t="str">
        <f t="shared" si="0"/>
        <v>Fr</v>
      </c>
      <c r="B29" s="99">
        <f>DATE(Saldo!$A$1,$B$2,24)</f>
        <v>43823</v>
      </c>
      <c r="C29" s="75"/>
      <c r="D29" s="75"/>
      <c r="E29" s="75"/>
      <c r="F29" s="75"/>
      <c r="G29" s="77"/>
      <c r="H29" s="107">
        <f t="shared" si="1"/>
        <v>0</v>
      </c>
      <c r="I29" s="111"/>
      <c r="J29" s="1"/>
      <c r="K29" s="1"/>
      <c r="L29" s="1"/>
      <c r="R29" s="1"/>
      <c r="S29" s="2"/>
      <c r="U29" s="1"/>
    </row>
    <row r="30" spans="1:21" s="33" customFormat="1" x14ac:dyDescent="0.2">
      <c r="A30" s="98" t="str">
        <f t="shared" si="0"/>
        <v>Sa</v>
      </c>
      <c r="B30" s="99">
        <f>DATE(Saldo!$A$1,$B$2,25)</f>
        <v>43824</v>
      </c>
      <c r="C30" s="75"/>
      <c r="D30" s="75"/>
      <c r="E30" s="75"/>
      <c r="F30" s="75"/>
      <c r="G30" s="76"/>
      <c r="H30" s="107">
        <f t="shared" si="1"/>
        <v>0</v>
      </c>
      <c r="I30" s="111"/>
      <c r="J30" s="1"/>
      <c r="K30" s="1"/>
      <c r="L30" s="1"/>
      <c r="R30" s="1"/>
      <c r="S30" s="2"/>
      <c r="U30" s="1"/>
    </row>
    <row r="31" spans="1:21" s="33" customFormat="1" x14ac:dyDescent="0.2">
      <c r="A31" s="98" t="str">
        <f t="shared" si="0"/>
        <v>So</v>
      </c>
      <c r="B31" s="99">
        <f>DATE(Saldo!$A$1,$B$2,26)</f>
        <v>43825</v>
      </c>
      <c r="C31" s="75"/>
      <c r="D31" s="75"/>
      <c r="E31" s="75"/>
      <c r="F31" s="75"/>
      <c r="G31" s="76"/>
      <c r="H31" s="107">
        <f t="shared" si="1"/>
        <v>0</v>
      </c>
      <c r="I31" s="111"/>
      <c r="J31" s="50"/>
      <c r="K31" s="1"/>
      <c r="L31" s="1"/>
      <c r="R31" s="1"/>
      <c r="S31" s="2"/>
      <c r="U31" s="1"/>
    </row>
    <row r="32" spans="1:21" s="33" customFormat="1" x14ac:dyDescent="0.2">
      <c r="A32" s="98" t="str">
        <f t="shared" si="0"/>
        <v>Mo</v>
      </c>
      <c r="B32" s="99">
        <f>DATE(Saldo!$A$1,$B$2,27)</f>
        <v>43826</v>
      </c>
      <c r="C32" s="75"/>
      <c r="D32" s="75"/>
      <c r="E32" s="75"/>
      <c r="F32" s="75"/>
      <c r="G32" s="76"/>
      <c r="H32" s="107">
        <f t="shared" si="1"/>
        <v>0</v>
      </c>
      <c r="I32" s="111"/>
      <c r="J32" s="50"/>
      <c r="K32" s="1"/>
      <c r="L32" s="1"/>
      <c r="R32" s="1"/>
      <c r="S32" s="2"/>
      <c r="U32" s="1"/>
    </row>
    <row r="33" spans="1:21" s="33" customFormat="1" x14ac:dyDescent="0.2">
      <c r="A33" s="98" t="str">
        <f t="shared" si="0"/>
        <v>Di</v>
      </c>
      <c r="B33" s="99">
        <f>DATE(Saldo!$A$1,$B$2,28)</f>
        <v>43827</v>
      </c>
      <c r="C33" s="75"/>
      <c r="D33" s="75"/>
      <c r="E33" s="75"/>
      <c r="F33" s="75"/>
      <c r="G33" s="76"/>
      <c r="H33" s="107">
        <f t="shared" si="1"/>
        <v>0</v>
      </c>
      <c r="I33" s="111"/>
      <c r="J33" s="50"/>
      <c r="K33" s="1"/>
      <c r="L33" s="1"/>
      <c r="R33" s="1"/>
      <c r="S33" s="2"/>
      <c r="U33" s="1"/>
    </row>
    <row r="34" spans="1:21" s="33" customFormat="1" x14ac:dyDescent="0.2">
      <c r="A34" s="98" t="str">
        <f t="shared" si="0"/>
        <v>Mi</v>
      </c>
      <c r="B34" s="99">
        <f>DATE(Saldo!$A$1,$B$2,29)</f>
        <v>43828</v>
      </c>
      <c r="C34" s="75"/>
      <c r="D34" s="75"/>
      <c r="E34" s="75"/>
      <c r="F34" s="75"/>
      <c r="G34" s="76"/>
      <c r="H34" s="107">
        <f t="shared" si="1"/>
        <v>0</v>
      </c>
      <c r="I34" s="111"/>
      <c r="J34" s="50"/>
      <c r="K34" s="1"/>
      <c r="L34" s="1"/>
      <c r="R34" s="1"/>
      <c r="S34" s="2"/>
      <c r="U34" s="1"/>
    </row>
    <row r="35" spans="1:21" s="33" customFormat="1" x14ac:dyDescent="0.2">
      <c r="A35" s="98" t="str">
        <f t="shared" si="0"/>
        <v>Do</v>
      </c>
      <c r="B35" s="99">
        <f>DATE(Saldo!$A$1,$B$2,30)</f>
        <v>43829</v>
      </c>
      <c r="C35" s="75"/>
      <c r="D35" s="75"/>
      <c r="E35" s="75"/>
      <c r="F35" s="75"/>
      <c r="G35" s="78"/>
      <c r="H35" s="107">
        <f t="shared" si="1"/>
        <v>0</v>
      </c>
      <c r="I35" s="111"/>
      <c r="J35" s="50"/>
      <c r="K35" s="1"/>
      <c r="L35" s="1"/>
      <c r="R35" s="1"/>
      <c r="S35" s="2"/>
      <c r="U35" s="1"/>
    </row>
    <row r="36" spans="1:21" s="33" customFormat="1" x14ac:dyDescent="0.2">
      <c r="A36" s="98" t="str">
        <f t="shared" si="0"/>
        <v>Fr</v>
      </c>
      <c r="B36" s="99">
        <f>DATE(Saldo!$A$1,$B$2,31)</f>
        <v>43830</v>
      </c>
      <c r="C36" s="75"/>
      <c r="D36" s="75"/>
      <c r="E36" s="75"/>
      <c r="F36" s="75"/>
      <c r="G36" s="75"/>
      <c r="H36" s="107">
        <f t="shared" si="1"/>
        <v>0</v>
      </c>
      <c r="I36" s="111"/>
      <c r="J36" s="58"/>
      <c r="K36" s="1"/>
      <c r="L36" s="1"/>
      <c r="R36" s="1"/>
      <c r="S36" s="2"/>
      <c r="U36" s="1"/>
    </row>
    <row r="37" spans="1:21" s="33" customFormat="1" ht="14.25" customHeight="1" x14ac:dyDescent="0.2">
      <c r="A37" s="100"/>
      <c r="B37" s="101"/>
      <c r="C37" s="37"/>
      <c r="D37" s="3"/>
      <c r="E37" s="37"/>
      <c r="F37" s="3"/>
      <c r="G37" s="38"/>
      <c r="H37" s="108"/>
      <c r="I37" s="112"/>
      <c r="J37" s="40"/>
      <c r="K37" s="1"/>
      <c r="L37" s="1"/>
      <c r="R37" s="1"/>
      <c r="S37" s="2"/>
      <c r="U37" s="1"/>
    </row>
    <row r="38" spans="1:21" s="39" customFormat="1" ht="15" thickBot="1" x14ac:dyDescent="0.25">
      <c r="A38" s="102"/>
      <c r="B38" s="103" t="s">
        <v>10</v>
      </c>
      <c r="C38" s="37"/>
      <c r="D38" s="3"/>
      <c r="E38" s="37"/>
      <c r="F38" s="3"/>
      <c r="G38" s="51" t="s">
        <v>11</v>
      </c>
      <c r="H38" s="109">
        <f>SUM(H6:H37)</f>
        <v>0</v>
      </c>
      <c r="I38" s="113"/>
      <c r="J38" s="40"/>
      <c r="R38" s="1"/>
      <c r="S38" s="2"/>
      <c r="U38" s="1"/>
    </row>
    <row r="39" spans="1:21" s="33" customFormat="1" ht="13.5" thickBot="1" x14ac:dyDescent="0.25">
      <c r="A39" s="100"/>
      <c r="B39" s="101"/>
      <c r="C39" s="37"/>
      <c r="D39" s="36"/>
      <c r="E39" s="35"/>
      <c r="F39" s="36"/>
      <c r="G39" s="3" t="s">
        <v>12</v>
      </c>
      <c r="H39" s="114">
        <f>Monatssaldi!B6</f>
        <v>8.75</v>
      </c>
      <c r="I39" s="115" t="s">
        <v>13</v>
      </c>
      <c r="J39" s="40"/>
      <c r="K39" s="49"/>
      <c r="R39" s="1"/>
      <c r="S39" s="2"/>
      <c r="U39" s="1"/>
    </row>
    <row r="40" spans="1:21" s="33" customFormat="1" ht="13.5" thickBot="1" x14ac:dyDescent="0.25">
      <c r="A40" s="104"/>
      <c r="B40" s="105"/>
      <c r="C40" s="52"/>
      <c r="D40" s="53"/>
      <c r="E40" s="54"/>
      <c r="F40" s="119"/>
      <c r="G40" s="118" t="s">
        <v>40</v>
      </c>
      <c r="H40" s="117" t="str">
        <f>IF(H38&gt;$H$39,H38-$H$39,"")</f>
        <v/>
      </c>
      <c r="I40" s="116">
        <f>IF(H38&lt;$H$39,$H$39-H38,"")</f>
        <v>8.75</v>
      </c>
      <c r="J40" s="40"/>
      <c r="R40" s="1"/>
      <c r="U40" s="1"/>
    </row>
    <row r="41" spans="1:21" ht="12.75" customHeight="1" x14ac:dyDescent="0.2">
      <c r="B41" s="244" t="s">
        <v>14</v>
      </c>
      <c r="C41" s="245"/>
      <c r="D41" s="245"/>
      <c r="E41" s="245"/>
      <c r="F41" s="245"/>
      <c r="G41" s="245"/>
      <c r="H41" s="245"/>
      <c r="I41" s="246"/>
      <c r="J41" s="41"/>
    </row>
    <row r="42" spans="1:21" ht="12.75" customHeight="1" x14ac:dyDescent="0.2">
      <c r="B42" s="247"/>
      <c r="C42" s="248"/>
      <c r="D42" s="248"/>
      <c r="E42" s="248"/>
      <c r="F42" s="248"/>
      <c r="G42" s="248"/>
      <c r="H42" s="248"/>
      <c r="I42" s="249"/>
      <c r="J42" s="41"/>
    </row>
    <row r="43" spans="1:21" s="33" customFormat="1" x14ac:dyDescent="0.2">
      <c r="C43" s="39"/>
      <c r="I43" s="55"/>
      <c r="J43" s="40"/>
      <c r="R43" s="1"/>
    </row>
    <row r="44" spans="1:21" s="33" customFormat="1" x14ac:dyDescent="0.2">
      <c r="C44" s="39"/>
      <c r="I44" s="55"/>
      <c r="J44" s="40"/>
      <c r="R44" s="1"/>
    </row>
    <row r="45" spans="1:21" s="33" customFormat="1" x14ac:dyDescent="0.2">
      <c r="C45" s="39"/>
      <c r="I45" s="55"/>
      <c r="J45" s="40"/>
      <c r="R45" s="1"/>
    </row>
    <row r="46" spans="1:21" s="33" customFormat="1" x14ac:dyDescent="0.2">
      <c r="C46" s="39"/>
      <c r="I46" s="55"/>
      <c r="J46" s="40"/>
      <c r="R46" s="1"/>
    </row>
    <row r="47" spans="1:21" s="33" customFormat="1" x14ac:dyDescent="0.2">
      <c r="C47" s="39"/>
      <c r="I47" s="55"/>
      <c r="J47" s="40"/>
      <c r="R47" s="1"/>
    </row>
    <row r="48" spans="1:21" s="33" customFormat="1" x14ac:dyDescent="0.2">
      <c r="C48" s="39"/>
      <c r="I48" s="55"/>
      <c r="J48" s="40"/>
      <c r="R48" s="1"/>
    </row>
    <row r="49" spans="3:18" s="33" customFormat="1" x14ac:dyDescent="0.2">
      <c r="C49" s="39"/>
      <c r="I49" s="55"/>
      <c r="J49" s="40"/>
      <c r="R49" s="1"/>
    </row>
    <row r="50" spans="3:18" x14ac:dyDescent="0.2">
      <c r="C50" s="44"/>
      <c r="J50" s="41"/>
    </row>
    <row r="51" spans="3:18" x14ac:dyDescent="0.2">
      <c r="C51" s="44"/>
      <c r="J51" s="41"/>
    </row>
    <row r="52" spans="3:18" x14ac:dyDescent="0.2">
      <c r="C52" s="44"/>
      <c r="J52" s="41"/>
    </row>
    <row r="53" spans="3:18" x14ac:dyDescent="0.2">
      <c r="C53" s="44"/>
      <c r="J53" s="41"/>
    </row>
    <row r="54" spans="3:18" x14ac:dyDescent="0.2">
      <c r="C54" s="44"/>
      <c r="J54" s="41"/>
    </row>
    <row r="55" spans="3:18" x14ac:dyDescent="0.2">
      <c r="C55" s="44"/>
      <c r="J55" s="41"/>
    </row>
    <row r="56" spans="3:18" x14ac:dyDescent="0.2">
      <c r="C56" s="44"/>
      <c r="J56" s="41"/>
    </row>
    <row r="57" spans="3:18" x14ac:dyDescent="0.2">
      <c r="J57" s="44"/>
    </row>
    <row r="58" spans="3:18" ht="15" x14ac:dyDescent="0.2">
      <c r="C58" s="48"/>
      <c r="D58" s="44"/>
      <c r="E58" s="44"/>
      <c r="F58" s="44"/>
      <c r="G58" s="44"/>
      <c r="H58" s="44"/>
      <c r="J58" s="41"/>
    </row>
  </sheetData>
  <sheetProtection algorithmName="SHA-512" hashValue="17HdB9PKBRmoLCAsP5ouLQbWFwANyQf2SRk3ywN5wMKoO/rDpJYnns2BiROpJfkgd+o9a13w0RM8mZWLTapINw==" saltValue="HOp9LL9VReri9Nisv/Ariw==" spinCount="100000" sheet="1" selectLockedCells="1"/>
  <mergeCells count="4">
    <mergeCell ref="G2:I2"/>
    <mergeCell ref="B41:I42"/>
    <mergeCell ref="B3:I3"/>
    <mergeCell ref="A2:B2"/>
  </mergeCells>
  <phoneticPr fontId="0" type="noConversion"/>
  <conditionalFormatting sqref="A6:I36">
    <cfRule type="expression" dxfId="54" priority="1">
      <formula>AND($I6 &lt;&gt; "",$A6 &lt;&gt; "So",$A6&lt;&gt;"Sa")</formula>
    </cfRule>
    <cfRule type="expression" dxfId="53" priority="2">
      <formula>$I6 &lt;&gt; ""</formula>
    </cfRule>
    <cfRule type="expression" dxfId="52" priority="3">
      <formula>$A6 ="So"</formula>
    </cfRule>
    <cfRule type="expression" dxfId="51" priority="5">
      <formula>$A6 = "Sa"</formula>
    </cfRule>
  </conditionalFormatting>
  <pageMargins left="0.78740157480314965" right="0.39370078740157483" top="0.98425196850393704" bottom="0.98425196850393704" header="0.51181102362204722" footer="0.51181102362204722"/>
  <pageSetup paperSize="9" orientation="portrait"/>
  <headerFooter alignWithMargins="0">
    <oddHeader>&amp;L&amp;G</oddHeader>
  </headerFooter>
  <legacyDrawingHF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election activeCell="C6" sqref="C6"/>
    </sheetView>
  </sheetViews>
  <sheetFormatPr baseColWidth="10" defaultColWidth="10.83203125" defaultRowHeight="12.75" x14ac:dyDescent="0.2"/>
  <cols>
    <col min="1" max="1" width="6.33203125" style="87" customWidth="1"/>
    <col min="2" max="2" width="11.1640625" style="87" customWidth="1"/>
    <col min="3" max="5" width="8.83203125" style="87" customWidth="1"/>
    <col min="6" max="6" width="10.5" style="87" customWidth="1"/>
    <col min="7" max="7" width="11.83203125" style="87" customWidth="1"/>
    <col min="8" max="8" width="11" style="87" customWidth="1"/>
    <col min="9" max="9" width="22.5" style="88" customWidth="1"/>
    <col min="10" max="11" width="10.83203125" style="87"/>
    <col min="12" max="12" width="12.1640625" style="87" bestFit="1" customWidth="1"/>
    <col min="13" max="16384" width="10.83203125" style="87"/>
  </cols>
  <sheetData>
    <row r="1" spans="1:12" ht="15.95" customHeight="1" x14ac:dyDescent="0.2">
      <c r="A1" s="86" t="s">
        <v>54</v>
      </c>
      <c r="B1" s="86"/>
    </row>
    <row r="2" spans="1:12" s="89" customFormat="1" ht="26.1" customHeight="1" x14ac:dyDescent="0.2">
      <c r="A2" s="259" t="s">
        <v>24</v>
      </c>
      <c r="B2" s="259"/>
      <c r="C2" s="89">
        <f>Saldo!A1</f>
        <v>2020</v>
      </c>
      <c r="D2" s="90"/>
      <c r="E2" s="90"/>
      <c r="F2" s="90"/>
      <c r="G2" s="242">
        <f>MA</f>
        <v>0</v>
      </c>
      <c r="H2" s="243"/>
      <c r="I2" s="243"/>
      <c r="J2" s="120"/>
      <c r="L2" s="152"/>
    </row>
    <row r="3" spans="1:12" ht="13.5" thickBot="1" x14ac:dyDescent="0.25">
      <c r="B3" s="250"/>
      <c r="C3" s="251"/>
      <c r="D3" s="251"/>
      <c r="E3" s="251"/>
      <c r="F3" s="251"/>
      <c r="G3" s="251"/>
      <c r="H3" s="251"/>
      <c r="I3" s="251"/>
      <c r="J3" s="121"/>
    </row>
    <row r="4" spans="1:12" s="124" customFormat="1" ht="11.25" x14ac:dyDescent="0.15">
      <c r="A4" s="91"/>
      <c r="B4" s="122" t="s">
        <v>0</v>
      </c>
      <c r="C4" s="93" t="s">
        <v>1</v>
      </c>
      <c r="D4" s="94" t="s">
        <v>2</v>
      </c>
      <c r="E4" s="93" t="s">
        <v>3</v>
      </c>
      <c r="F4" s="94" t="s">
        <v>4</v>
      </c>
      <c r="G4" s="94" t="s">
        <v>5</v>
      </c>
      <c r="H4" s="92" t="s">
        <v>6</v>
      </c>
      <c r="I4" s="95" t="s">
        <v>7</v>
      </c>
      <c r="J4" s="123"/>
    </row>
    <row r="5" spans="1:12" x14ac:dyDescent="0.2">
      <c r="A5" s="96"/>
      <c r="B5" s="125"/>
      <c r="C5" s="126"/>
      <c r="D5" s="101"/>
      <c r="E5" s="126"/>
      <c r="F5" s="101"/>
      <c r="G5" s="101"/>
      <c r="H5" s="127"/>
      <c r="I5" s="112"/>
      <c r="J5" s="121"/>
    </row>
    <row r="6" spans="1:12" x14ac:dyDescent="0.2">
      <c r="A6" s="98" t="str">
        <f>TEXT((WEEKDAY(TEXT(B6,"TT")&amp;"."&amp;$A$2&amp;"."&amp;$C$2)),"TTT")</f>
        <v>Sa</v>
      </c>
      <c r="B6" s="128">
        <f>DATE(Saldo!$A$1,2,1)</f>
        <v>43862</v>
      </c>
      <c r="C6" s="60"/>
      <c r="D6" s="61"/>
      <c r="E6" s="60"/>
      <c r="F6" s="61"/>
      <c r="G6" s="69"/>
      <c r="H6" s="107">
        <f t="shared" ref="H6:H23" si="0">(D6-C6)+(F6-E6)+G6</f>
        <v>0</v>
      </c>
      <c r="I6" s="111"/>
      <c r="J6" s="121"/>
    </row>
    <row r="7" spans="1:12" x14ac:dyDescent="0.2">
      <c r="A7" s="98" t="str">
        <f t="shared" ref="A7:A34" si="1">TEXT((WEEKDAY(TEXT(B7,"TT")&amp;"."&amp;$A$2&amp;"."&amp;$C$2)),"TTT")</f>
        <v>So</v>
      </c>
      <c r="B7" s="128">
        <f>DATE(Saldo!$A$1,2,2)</f>
        <v>43863</v>
      </c>
      <c r="C7" s="60"/>
      <c r="D7" s="61"/>
      <c r="E7" s="60"/>
      <c r="F7" s="61"/>
      <c r="G7" s="69"/>
      <c r="H7" s="107">
        <f t="shared" si="0"/>
        <v>0</v>
      </c>
      <c r="I7" s="112"/>
      <c r="J7" s="131"/>
    </row>
    <row r="8" spans="1:12" x14ac:dyDescent="0.2">
      <c r="A8" s="98" t="str">
        <f t="shared" si="1"/>
        <v>Mo</v>
      </c>
      <c r="B8" s="128">
        <f>DATE(Saldo!$A$1,2,3)</f>
        <v>43864</v>
      </c>
      <c r="C8" s="60"/>
      <c r="D8" s="61"/>
      <c r="E8" s="60"/>
      <c r="F8" s="61"/>
      <c r="G8" s="69"/>
      <c r="H8" s="107">
        <f>(D8-C8)+(F8-E8)+G8</f>
        <v>0</v>
      </c>
      <c r="I8" s="112"/>
      <c r="J8" s="131"/>
    </row>
    <row r="9" spans="1:12" x14ac:dyDescent="0.2">
      <c r="A9" s="98" t="str">
        <f t="shared" si="1"/>
        <v>Di</v>
      </c>
      <c r="B9" s="128">
        <f>DATE(Saldo!$A$1,2,4)</f>
        <v>43865</v>
      </c>
      <c r="C9" s="60"/>
      <c r="D9" s="61"/>
      <c r="E9" s="60"/>
      <c r="F9" s="61"/>
      <c r="G9" s="69"/>
      <c r="H9" s="107">
        <f t="shared" si="0"/>
        <v>0</v>
      </c>
      <c r="I9" s="112"/>
      <c r="J9" s="131"/>
    </row>
    <row r="10" spans="1:12" x14ac:dyDescent="0.2">
      <c r="A10" s="98" t="str">
        <f t="shared" si="1"/>
        <v>Mi</v>
      </c>
      <c r="B10" s="128">
        <f>DATE(Saldo!$A$1,2,5)</f>
        <v>43866</v>
      </c>
      <c r="C10" s="60"/>
      <c r="D10" s="61"/>
      <c r="E10" s="60"/>
      <c r="F10" s="61"/>
      <c r="G10" s="69"/>
      <c r="H10" s="107">
        <f t="shared" si="0"/>
        <v>0</v>
      </c>
      <c r="I10" s="112"/>
      <c r="J10" s="131"/>
    </row>
    <row r="11" spans="1:12" x14ac:dyDescent="0.2">
      <c r="A11" s="98" t="str">
        <f t="shared" si="1"/>
        <v>Do</v>
      </c>
      <c r="B11" s="128">
        <f>DATE(Saldo!$A$1,2,6)</f>
        <v>43867</v>
      </c>
      <c r="C11" s="60"/>
      <c r="D11" s="61"/>
      <c r="E11" s="60"/>
      <c r="F11" s="61"/>
      <c r="G11" s="69"/>
      <c r="H11" s="107">
        <f t="shared" si="0"/>
        <v>0</v>
      </c>
      <c r="I11" s="112"/>
      <c r="J11" s="131"/>
    </row>
    <row r="12" spans="1:12" x14ac:dyDescent="0.2">
      <c r="A12" s="98" t="str">
        <f t="shared" si="1"/>
        <v>Fr</v>
      </c>
      <c r="B12" s="128">
        <f>DATE(Saldo!$A$1,2,7)</f>
        <v>43868</v>
      </c>
      <c r="C12" s="60"/>
      <c r="D12" s="61"/>
      <c r="E12" s="60"/>
      <c r="F12" s="61"/>
      <c r="G12" s="68"/>
      <c r="H12" s="107">
        <f t="shared" si="0"/>
        <v>0</v>
      </c>
      <c r="I12" s="112"/>
      <c r="J12" s="121"/>
    </row>
    <row r="13" spans="1:12" x14ac:dyDescent="0.2">
      <c r="A13" s="98" t="str">
        <f t="shared" si="1"/>
        <v>Sa</v>
      </c>
      <c r="B13" s="128">
        <f>DATE(Saldo!$A$1,2,8)</f>
        <v>43869</v>
      </c>
      <c r="C13" s="60"/>
      <c r="D13" s="61"/>
      <c r="E13" s="60"/>
      <c r="F13" s="61"/>
      <c r="G13" s="69"/>
      <c r="H13" s="107">
        <f t="shared" si="0"/>
        <v>0</v>
      </c>
      <c r="I13" s="112"/>
      <c r="J13" s="121"/>
    </row>
    <row r="14" spans="1:12" x14ac:dyDescent="0.2">
      <c r="A14" s="98" t="str">
        <f t="shared" si="1"/>
        <v>So</v>
      </c>
      <c r="B14" s="128">
        <f>DATE(Saldo!$A$1,2,9)</f>
        <v>43870</v>
      </c>
      <c r="C14" s="60"/>
      <c r="D14" s="61"/>
      <c r="E14" s="60"/>
      <c r="F14" s="61"/>
      <c r="G14" s="69"/>
      <c r="H14" s="107">
        <f t="shared" si="0"/>
        <v>0</v>
      </c>
      <c r="I14" s="112"/>
      <c r="J14" s="131"/>
    </row>
    <row r="15" spans="1:12" x14ac:dyDescent="0.2">
      <c r="A15" s="98" t="str">
        <f t="shared" si="1"/>
        <v>Mo</v>
      </c>
      <c r="B15" s="128">
        <f>DATE(Saldo!$A$1,2,10)</f>
        <v>43871</v>
      </c>
      <c r="C15" s="60"/>
      <c r="D15" s="61"/>
      <c r="E15" s="60"/>
      <c r="F15" s="61"/>
      <c r="G15" s="69"/>
      <c r="H15" s="107">
        <f>(D15-C15)+(F15-E15)+G15</f>
        <v>0</v>
      </c>
      <c r="I15" s="112"/>
      <c r="J15" s="131"/>
    </row>
    <row r="16" spans="1:12" x14ac:dyDescent="0.2">
      <c r="A16" s="98" t="str">
        <f t="shared" si="1"/>
        <v>Di</v>
      </c>
      <c r="B16" s="128">
        <f>DATE(Saldo!$A$1,2,11)</f>
        <v>43872</v>
      </c>
      <c r="C16" s="60"/>
      <c r="D16" s="61"/>
      <c r="E16" s="60"/>
      <c r="F16" s="61"/>
      <c r="G16" s="69"/>
      <c r="H16" s="107">
        <f t="shared" si="0"/>
        <v>0</v>
      </c>
      <c r="I16" s="112"/>
      <c r="J16" s="131"/>
    </row>
    <row r="17" spans="1:10" x14ac:dyDescent="0.2">
      <c r="A17" s="98" t="str">
        <f t="shared" si="1"/>
        <v>Mi</v>
      </c>
      <c r="B17" s="128">
        <f>DATE(Saldo!$A$1,2,12)</f>
        <v>43873</v>
      </c>
      <c r="C17" s="60"/>
      <c r="D17" s="61"/>
      <c r="E17" s="60"/>
      <c r="F17" s="61"/>
      <c r="G17" s="69"/>
      <c r="H17" s="107">
        <f t="shared" si="0"/>
        <v>0</v>
      </c>
      <c r="I17" s="112"/>
      <c r="J17" s="131"/>
    </row>
    <row r="18" spans="1:10" x14ac:dyDescent="0.2">
      <c r="A18" s="98" t="str">
        <f t="shared" si="1"/>
        <v>Do</v>
      </c>
      <c r="B18" s="128">
        <f>DATE(Saldo!$A$1,2,13)</f>
        <v>43874</v>
      </c>
      <c r="C18" s="60"/>
      <c r="D18" s="61"/>
      <c r="E18" s="60"/>
      <c r="F18" s="61"/>
      <c r="G18" s="69"/>
      <c r="H18" s="107">
        <f t="shared" si="0"/>
        <v>0</v>
      </c>
      <c r="I18" s="112"/>
      <c r="J18" s="131"/>
    </row>
    <row r="19" spans="1:10" x14ac:dyDescent="0.2">
      <c r="A19" s="98" t="str">
        <f t="shared" si="1"/>
        <v>Fr</v>
      </c>
      <c r="B19" s="128">
        <f>DATE(Saldo!$A$1,2,14)</f>
        <v>43875</v>
      </c>
      <c r="C19" s="60"/>
      <c r="D19" s="61"/>
      <c r="E19" s="60"/>
      <c r="F19" s="61"/>
      <c r="G19" s="68"/>
      <c r="H19" s="107">
        <f t="shared" si="0"/>
        <v>0</v>
      </c>
      <c r="I19" s="112"/>
      <c r="J19" s="121"/>
    </row>
    <row r="20" spans="1:10" x14ac:dyDescent="0.2">
      <c r="A20" s="98" t="str">
        <f t="shared" si="1"/>
        <v>Sa</v>
      </c>
      <c r="B20" s="128">
        <f>DATE(Saldo!$A$1,2,15)</f>
        <v>43876</v>
      </c>
      <c r="C20" s="60"/>
      <c r="D20" s="61"/>
      <c r="E20" s="61"/>
      <c r="F20" s="61"/>
      <c r="G20" s="69"/>
      <c r="H20" s="107">
        <f t="shared" si="0"/>
        <v>0</v>
      </c>
      <c r="I20" s="112"/>
      <c r="J20" s="121"/>
    </row>
    <row r="21" spans="1:10" x14ac:dyDescent="0.2">
      <c r="A21" s="98" t="str">
        <f t="shared" si="1"/>
        <v>So</v>
      </c>
      <c r="B21" s="128">
        <f>DATE(Saldo!$A$1,2,16)</f>
        <v>43877</v>
      </c>
      <c r="C21" s="60"/>
      <c r="D21" s="61"/>
      <c r="E21" s="60"/>
      <c r="F21" s="61"/>
      <c r="G21" s="69"/>
      <c r="H21" s="107">
        <f t="shared" si="0"/>
        <v>0</v>
      </c>
      <c r="I21" s="112"/>
      <c r="J21" s="131"/>
    </row>
    <row r="22" spans="1:10" x14ac:dyDescent="0.2">
      <c r="A22" s="98" t="str">
        <f t="shared" si="1"/>
        <v>Mo</v>
      </c>
      <c r="B22" s="128">
        <f>DATE(Saldo!$A$1,2,17)</f>
        <v>43878</v>
      </c>
      <c r="C22" s="60"/>
      <c r="D22" s="61"/>
      <c r="E22" s="60"/>
      <c r="F22" s="61"/>
      <c r="G22" s="69"/>
      <c r="H22" s="107">
        <f>(D22-C22)+(F22-E22)+G22</f>
        <v>0</v>
      </c>
      <c r="I22" s="112"/>
      <c r="J22" s="131"/>
    </row>
    <row r="23" spans="1:10" x14ac:dyDescent="0.2">
      <c r="A23" s="98" t="str">
        <f t="shared" si="1"/>
        <v>Di</v>
      </c>
      <c r="B23" s="128">
        <f>DATE(Saldo!$A$1,2,18)</f>
        <v>43879</v>
      </c>
      <c r="C23" s="60"/>
      <c r="D23" s="61"/>
      <c r="E23" s="60"/>
      <c r="F23" s="61"/>
      <c r="G23" s="69"/>
      <c r="H23" s="107">
        <f t="shared" si="0"/>
        <v>0</v>
      </c>
      <c r="I23" s="112"/>
      <c r="J23" s="131"/>
    </row>
    <row r="24" spans="1:10" x14ac:dyDescent="0.2">
      <c r="A24" s="98" t="str">
        <f t="shared" si="1"/>
        <v>Mi</v>
      </c>
      <c r="B24" s="128">
        <f>DATE(Saldo!$A$1,2,19)</f>
        <v>43880</v>
      </c>
      <c r="C24" s="60"/>
      <c r="D24" s="61"/>
      <c r="E24" s="60"/>
      <c r="F24" s="61"/>
      <c r="G24" s="69"/>
      <c r="H24" s="107">
        <f t="shared" ref="H24:H34" si="2">(D24-C24)+(F24-E24)+G24</f>
        <v>0</v>
      </c>
      <c r="I24" s="112"/>
      <c r="J24" s="131"/>
    </row>
    <row r="25" spans="1:10" x14ac:dyDescent="0.2">
      <c r="A25" s="98" t="str">
        <f t="shared" si="1"/>
        <v>Do</v>
      </c>
      <c r="B25" s="128">
        <f>DATE(Saldo!$A$1,2,20)</f>
        <v>43881</v>
      </c>
      <c r="C25" s="60"/>
      <c r="D25" s="61"/>
      <c r="E25" s="60"/>
      <c r="F25" s="61"/>
      <c r="G25" s="69"/>
      <c r="H25" s="107">
        <f t="shared" si="2"/>
        <v>0</v>
      </c>
      <c r="I25" s="112"/>
      <c r="J25" s="131"/>
    </row>
    <row r="26" spans="1:10" x14ac:dyDescent="0.2">
      <c r="A26" s="98" t="str">
        <f t="shared" si="1"/>
        <v>Fr</v>
      </c>
      <c r="B26" s="128">
        <f>DATE(Saldo!$A$1,2,21)</f>
        <v>43882</v>
      </c>
      <c r="C26" s="60"/>
      <c r="D26" s="61"/>
      <c r="E26" s="62"/>
      <c r="F26" s="61"/>
      <c r="G26" s="68"/>
      <c r="H26" s="107">
        <f t="shared" si="2"/>
        <v>0</v>
      </c>
      <c r="I26" s="112"/>
      <c r="J26" s="134"/>
    </row>
    <row r="27" spans="1:10" x14ac:dyDescent="0.2">
      <c r="A27" s="98" t="str">
        <f t="shared" si="1"/>
        <v>Sa</v>
      </c>
      <c r="B27" s="128">
        <f>DATE(Saldo!$A$1,2,22)</f>
        <v>43883</v>
      </c>
      <c r="C27" s="60"/>
      <c r="D27" s="61"/>
      <c r="E27" s="60"/>
      <c r="F27" s="61"/>
      <c r="G27" s="69"/>
      <c r="H27" s="107">
        <f t="shared" si="2"/>
        <v>0</v>
      </c>
      <c r="I27" s="112"/>
      <c r="J27" s="134"/>
    </row>
    <row r="28" spans="1:10" x14ac:dyDescent="0.2">
      <c r="A28" s="98" t="str">
        <f t="shared" si="1"/>
        <v>So</v>
      </c>
      <c r="B28" s="128">
        <f>DATE(Saldo!$A$1,2,23)</f>
        <v>43884</v>
      </c>
      <c r="C28" s="60"/>
      <c r="D28" s="61"/>
      <c r="E28" s="60"/>
      <c r="F28" s="61"/>
      <c r="G28" s="69"/>
      <c r="H28" s="107">
        <f t="shared" si="2"/>
        <v>0</v>
      </c>
      <c r="I28" s="112"/>
      <c r="J28" s="131"/>
    </row>
    <row r="29" spans="1:10" x14ac:dyDescent="0.2">
      <c r="A29" s="98" t="str">
        <f t="shared" si="1"/>
        <v>Mo</v>
      </c>
      <c r="B29" s="128">
        <f>DATE(Saldo!$A$1,2,24)</f>
        <v>43885</v>
      </c>
      <c r="C29" s="60"/>
      <c r="D29" s="61"/>
      <c r="E29" s="60"/>
      <c r="F29" s="61"/>
      <c r="G29" s="69"/>
      <c r="H29" s="107">
        <f>(D29-C29)+(F29-E29)+G29</f>
        <v>0</v>
      </c>
      <c r="I29" s="112"/>
      <c r="J29" s="131"/>
    </row>
    <row r="30" spans="1:10" x14ac:dyDescent="0.2">
      <c r="A30" s="98" t="str">
        <f t="shared" si="1"/>
        <v>Di</v>
      </c>
      <c r="B30" s="128">
        <f>DATE(Saldo!$A$1,2,25)</f>
        <v>43886</v>
      </c>
      <c r="C30" s="60"/>
      <c r="D30" s="61"/>
      <c r="E30" s="60"/>
      <c r="F30" s="61"/>
      <c r="G30" s="69"/>
      <c r="H30" s="107">
        <f t="shared" si="2"/>
        <v>0</v>
      </c>
      <c r="I30" s="112"/>
      <c r="J30" s="131"/>
    </row>
    <row r="31" spans="1:10" x14ac:dyDescent="0.2">
      <c r="A31" s="98" t="str">
        <f t="shared" si="1"/>
        <v>Mi</v>
      </c>
      <c r="B31" s="128">
        <f>DATE(Saldo!$A$1,2,26)</f>
        <v>43887</v>
      </c>
      <c r="C31" s="60"/>
      <c r="D31" s="61"/>
      <c r="E31" s="60"/>
      <c r="F31" s="61"/>
      <c r="G31" s="69"/>
      <c r="H31" s="107">
        <f t="shared" si="2"/>
        <v>0</v>
      </c>
      <c r="I31" s="112"/>
      <c r="J31" s="131"/>
    </row>
    <row r="32" spans="1:10" x14ac:dyDescent="0.2">
      <c r="A32" s="98" t="str">
        <f t="shared" si="1"/>
        <v>Do</v>
      </c>
      <c r="B32" s="128">
        <f>DATE(Saldo!$A$1,2,27)</f>
        <v>43888</v>
      </c>
      <c r="C32" s="60"/>
      <c r="D32" s="61"/>
      <c r="E32" s="60"/>
      <c r="F32" s="61"/>
      <c r="G32" s="69"/>
      <c r="H32" s="107">
        <f t="shared" si="2"/>
        <v>0</v>
      </c>
      <c r="I32" s="112"/>
      <c r="J32" s="131"/>
    </row>
    <row r="33" spans="1:10" x14ac:dyDescent="0.2">
      <c r="A33" s="98" t="str">
        <f t="shared" si="1"/>
        <v>Fr</v>
      </c>
      <c r="B33" s="128">
        <f>DATE(Saldo!$A$1,2,28)</f>
        <v>43889</v>
      </c>
      <c r="C33" s="60"/>
      <c r="D33" s="61"/>
      <c r="E33" s="60"/>
      <c r="F33" s="61"/>
      <c r="G33" s="68"/>
      <c r="H33" s="107">
        <f t="shared" si="2"/>
        <v>0</v>
      </c>
      <c r="I33" s="112"/>
      <c r="J33" s="153"/>
    </row>
    <row r="34" spans="1:10" x14ac:dyDescent="0.2">
      <c r="A34" s="98" t="str">
        <f t="shared" si="1"/>
        <v>Sa</v>
      </c>
      <c r="B34" s="128">
        <f>DATE(Saldo!$A$1,2,29)</f>
        <v>43890</v>
      </c>
      <c r="C34" s="107"/>
      <c r="D34" s="129"/>
      <c r="E34" s="107"/>
      <c r="F34" s="129"/>
      <c r="G34" s="130"/>
      <c r="H34" s="107">
        <f t="shared" si="2"/>
        <v>0</v>
      </c>
      <c r="I34" s="112"/>
      <c r="J34" s="134"/>
    </row>
    <row r="35" spans="1:10" x14ac:dyDescent="0.2">
      <c r="A35" s="98"/>
      <c r="B35" s="154"/>
      <c r="C35" s="127"/>
      <c r="D35" s="132"/>
      <c r="E35" s="127"/>
      <c r="F35" s="132"/>
      <c r="G35" s="132"/>
      <c r="H35" s="108"/>
      <c r="I35" s="112"/>
      <c r="J35" s="134"/>
    </row>
    <row r="36" spans="1:10" x14ac:dyDescent="0.2">
      <c r="A36" s="98"/>
      <c r="B36" s="154"/>
      <c r="C36" s="127"/>
      <c r="D36" s="132"/>
      <c r="E36" s="127"/>
      <c r="F36" s="132"/>
      <c r="G36" s="132"/>
      <c r="H36" s="108"/>
      <c r="I36" s="112"/>
      <c r="J36" s="134"/>
    </row>
    <row r="37" spans="1:10" x14ac:dyDescent="0.2">
      <c r="A37" s="100"/>
      <c r="B37" s="143"/>
      <c r="C37" s="106"/>
      <c r="D37" s="145"/>
      <c r="E37" s="106"/>
      <c r="F37" s="145"/>
      <c r="G37" s="97"/>
      <c r="H37" s="155"/>
      <c r="I37" s="110"/>
      <c r="J37" s="141"/>
    </row>
    <row r="38" spans="1:10" s="142" customFormat="1" ht="18.75" thickBot="1" x14ac:dyDescent="0.3">
      <c r="A38" s="102"/>
      <c r="B38" s="137" t="s">
        <v>10</v>
      </c>
      <c r="C38" s="106"/>
      <c r="D38" s="145"/>
      <c r="E38" s="106"/>
      <c r="F38" s="145"/>
      <c r="G38" s="156" t="s">
        <v>11</v>
      </c>
      <c r="H38" s="109">
        <f>SUM(H6:H37)</f>
        <v>0</v>
      </c>
      <c r="I38" s="110"/>
      <c r="J38" s="141"/>
    </row>
    <row r="39" spans="1:10" ht="13.5" thickBot="1" x14ac:dyDescent="0.25">
      <c r="A39" s="100"/>
      <c r="B39" s="143"/>
      <c r="C39" s="106"/>
      <c r="D39" s="97"/>
      <c r="E39" s="144"/>
      <c r="F39" s="97"/>
      <c r="G39" s="145" t="s">
        <v>12</v>
      </c>
      <c r="H39" s="114">
        <f>Monatssaldi!B7</f>
        <v>8.3333333333333339</v>
      </c>
      <c r="I39" s="146" t="s">
        <v>13</v>
      </c>
      <c r="J39" s="141"/>
    </row>
    <row r="40" spans="1:10" ht="13.5" thickBot="1" x14ac:dyDescent="0.25">
      <c r="A40" s="104"/>
      <c r="B40" s="147"/>
      <c r="C40" s="148"/>
      <c r="D40" s="149"/>
      <c r="E40" s="150"/>
      <c r="F40" s="119"/>
      <c r="G40" s="118" t="s">
        <v>40</v>
      </c>
      <c r="H40" s="117" t="str">
        <f>IF(H38&gt;$H$39,H38-$H$39,"")</f>
        <v/>
      </c>
      <c r="I40" s="116">
        <f>IF(H38&lt;$H$39,$H$39-H38,"")</f>
        <v>8.3333333333333339</v>
      </c>
      <c r="J40" s="141"/>
    </row>
    <row r="41" spans="1:10" ht="12.75" customHeight="1" x14ac:dyDescent="0.2">
      <c r="B41" s="253" t="s">
        <v>14</v>
      </c>
      <c r="C41" s="254"/>
      <c r="D41" s="254"/>
      <c r="E41" s="254"/>
      <c r="F41" s="254"/>
      <c r="G41" s="254"/>
      <c r="H41" s="254"/>
      <c r="I41" s="255"/>
      <c r="J41" s="141"/>
    </row>
    <row r="42" spans="1:10" x14ac:dyDescent="0.2">
      <c r="B42" s="256"/>
      <c r="C42" s="257"/>
      <c r="D42" s="257"/>
      <c r="E42" s="257"/>
      <c r="F42" s="257"/>
      <c r="G42" s="257"/>
      <c r="H42" s="257"/>
      <c r="I42" s="258"/>
      <c r="J42" s="141"/>
    </row>
    <row r="43" spans="1:10" x14ac:dyDescent="0.2">
      <c r="A43" s="121"/>
      <c r="C43" s="142"/>
      <c r="J43" s="141"/>
    </row>
    <row r="44" spans="1:10" x14ac:dyDescent="0.2">
      <c r="A44" s="121"/>
      <c r="C44" s="142"/>
      <c r="J44" s="141"/>
    </row>
    <row r="45" spans="1:10" x14ac:dyDescent="0.2">
      <c r="A45" s="121"/>
      <c r="C45" s="142"/>
      <c r="J45" s="141"/>
    </row>
    <row r="46" spans="1:10" x14ac:dyDescent="0.2">
      <c r="A46" s="121"/>
      <c r="C46" s="142"/>
      <c r="J46" s="141"/>
    </row>
    <row r="47" spans="1:10" x14ac:dyDescent="0.2">
      <c r="A47" s="121"/>
      <c r="C47" s="142"/>
      <c r="J47" s="141"/>
    </row>
    <row r="48" spans="1:10" x14ac:dyDescent="0.2">
      <c r="A48" s="121"/>
      <c r="C48" s="142"/>
      <c r="J48" s="141"/>
    </row>
    <row r="49" spans="1:10" x14ac:dyDescent="0.2">
      <c r="A49" s="121"/>
      <c r="C49" s="142"/>
      <c r="J49" s="141"/>
    </row>
    <row r="50" spans="1:10" x14ac:dyDescent="0.2">
      <c r="C50" s="142"/>
      <c r="J50" s="141"/>
    </row>
    <row r="51" spans="1:10" x14ac:dyDescent="0.2">
      <c r="C51" s="142"/>
      <c r="J51" s="141"/>
    </row>
    <row r="52" spans="1:10" x14ac:dyDescent="0.2">
      <c r="C52" s="142"/>
      <c r="J52" s="141"/>
    </row>
    <row r="53" spans="1:10" x14ac:dyDescent="0.2">
      <c r="C53" s="142"/>
      <c r="J53" s="141"/>
    </row>
    <row r="54" spans="1:10" x14ac:dyDescent="0.2">
      <c r="C54" s="142"/>
      <c r="J54" s="141"/>
    </row>
    <row r="55" spans="1:10" x14ac:dyDescent="0.2">
      <c r="C55" s="142"/>
      <c r="J55" s="141"/>
    </row>
    <row r="56" spans="1:10" x14ac:dyDescent="0.2">
      <c r="C56" s="142"/>
      <c r="J56" s="141"/>
    </row>
    <row r="57" spans="1:10" x14ac:dyDescent="0.2">
      <c r="J57" s="142"/>
    </row>
    <row r="58" spans="1:10" ht="15" x14ac:dyDescent="0.2">
      <c r="C58" s="151"/>
      <c r="D58" s="142"/>
      <c r="E58" s="142"/>
      <c r="F58" s="142"/>
      <c r="G58" s="142"/>
      <c r="H58" s="142"/>
      <c r="J58" s="141"/>
    </row>
  </sheetData>
  <sheetProtection algorithmName="SHA-512" hashValue="L/oZ039fM2Q9JteZhdujC36eLUqFRxYHqtGBOBpRbhVITyljaqo8YzLxscNC4PKjFhAK2rzUwsdVOfNSDJa6pQ==" saltValue="FcjTAb9U//hPoEVwuxdgdg==" spinCount="100000" sheet="1" objects="1" scenarios="1" selectLockedCells="1"/>
  <mergeCells count="4">
    <mergeCell ref="B41:I42"/>
    <mergeCell ref="G2:I2"/>
    <mergeCell ref="B3:I3"/>
    <mergeCell ref="A2:B2"/>
  </mergeCells>
  <phoneticPr fontId="0" type="noConversion"/>
  <conditionalFormatting sqref="A35:A36">
    <cfRule type="expression" dxfId="50" priority="12">
      <formula>$A35 ="So"</formula>
    </cfRule>
    <cfRule type="expression" dxfId="49" priority="13">
      <formula>$A35 = "Sa"</formula>
    </cfRule>
  </conditionalFormatting>
  <conditionalFormatting sqref="A6:I34">
    <cfRule type="expression" dxfId="48" priority="7">
      <formula>$I6 &lt;&gt; ""</formula>
    </cfRule>
    <cfRule type="expression" dxfId="47" priority="8">
      <formula>$A6 ="So"</formula>
    </cfRule>
    <cfRule type="expression" dxfId="46" priority="9">
      <formula>$A6 = "Sa"</formula>
    </cfRule>
  </conditionalFormatting>
  <conditionalFormatting sqref="A6:I33 B34">
    <cfRule type="expression" dxfId="45" priority="6">
      <formula>AND($I6 &lt;&gt; "",$A6 &lt;&gt; "So",$A6&lt;&gt;"Sa")</formula>
    </cfRule>
  </conditionalFormatting>
  <conditionalFormatting sqref="A34">
    <cfRule type="expression" dxfId="44" priority="5">
      <formula>AND($I34 &lt;&gt; "",$A34 &lt;&gt; "So",$A34&lt;&gt;"Sa")</formula>
    </cfRule>
  </conditionalFormatting>
  <conditionalFormatting sqref="A34">
    <cfRule type="expression" dxfId="43" priority="4">
      <formula>AND($I34 &lt;&gt; "",$A34 &lt;&gt; "So",$A34&lt;&gt;"Sa")</formula>
    </cfRule>
  </conditionalFormatting>
  <conditionalFormatting sqref="H34">
    <cfRule type="expression" dxfId="42" priority="3">
      <formula>AND($I34 &lt;&gt; "",$A34 &lt;&gt; "So",$A34&lt;&gt;"Sa")</formula>
    </cfRule>
  </conditionalFormatting>
  <conditionalFormatting sqref="H34">
    <cfRule type="expression" dxfId="41" priority="2">
      <formula>AND($I34 &lt;&gt; "",$A34 &lt;&gt; "So",$A34&lt;&gt;"Sa")</formula>
    </cfRule>
  </conditionalFormatting>
  <conditionalFormatting sqref="H34">
    <cfRule type="expression" dxfId="40" priority="1">
      <formula>AND($I34 &lt;&gt; "",$A34 &lt;&gt; "So",$A34&lt;&gt;"Sa")</formula>
    </cfRule>
  </conditionalFormatting>
  <pageMargins left="0.78740157480314965" right="0.39370078740157483" top="0.98425196850393704" bottom="0.98425196850393704" header="0.51181102362204722" footer="0.51181102362204722"/>
  <pageSetup paperSize="9" orientation="portrait" horizontalDpi="4294967292" verticalDpi="300"/>
  <headerFooter alignWithMargins="0">
    <oddHeader>&amp;L&amp;G</oddHeader>
  </headerFooter>
  <legacyDrawingHF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C6" sqref="C6"/>
    </sheetView>
  </sheetViews>
  <sheetFormatPr baseColWidth="10" defaultColWidth="10.83203125" defaultRowHeight="12.75" x14ac:dyDescent="0.2"/>
  <cols>
    <col min="1" max="1" width="5.5" style="87" customWidth="1"/>
    <col min="2" max="2" width="12.6640625" style="87" customWidth="1"/>
    <col min="3" max="6" width="8.83203125" style="87" customWidth="1"/>
    <col min="7" max="7" width="11.83203125" style="87" customWidth="1"/>
    <col min="8" max="8" width="11" style="87" customWidth="1"/>
    <col min="9" max="9" width="26.83203125" style="88" customWidth="1"/>
    <col min="10" max="16384" width="10.83203125" style="87"/>
  </cols>
  <sheetData>
    <row r="1" spans="1:10" ht="15.95" customHeight="1" x14ac:dyDescent="0.2">
      <c r="A1" s="86" t="s">
        <v>54</v>
      </c>
      <c r="B1" s="86"/>
    </row>
    <row r="2" spans="1:10" s="89" customFormat="1" ht="26.1" customHeight="1" x14ac:dyDescent="0.2">
      <c r="A2" s="252" t="s">
        <v>25</v>
      </c>
      <c r="B2" s="252"/>
      <c r="C2" s="89">
        <f>Saldo!A1</f>
        <v>2020</v>
      </c>
      <c r="D2" s="90"/>
      <c r="E2" s="90"/>
      <c r="F2" s="90"/>
      <c r="G2" s="242">
        <f>MA</f>
        <v>0</v>
      </c>
      <c r="H2" s="243"/>
      <c r="I2" s="243"/>
      <c r="J2" s="120"/>
    </row>
    <row r="3" spans="1:10" ht="13.5" thickBot="1" x14ac:dyDescent="0.25">
      <c r="B3" s="250"/>
      <c r="C3" s="251"/>
      <c r="D3" s="251"/>
      <c r="E3" s="251"/>
      <c r="F3" s="251"/>
      <c r="G3" s="251"/>
      <c r="H3" s="251"/>
      <c r="I3" s="251"/>
      <c r="J3" s="121"/>
    </row>
    <row r="4" spans="1:10" s="124" customFormat="1" ht="11.25" x14ac:dyDescent="0.15">
      <c r="A4" s="91"/>
      <c r="B4" s="122" t="s">
        <v>0</v>
      </c>
      <c r="C4" s="93" t="s">
        <v>1</v>
      </c>
      <c r="D4" s="94" t="s">
        <v>2</v>
      </c>
      <c r="E4" s="93" t="s">
        <v>3</v>
      </c>
      <c r="F4" s="94" t="s">
        <v>4</v>
      </c>
      <c r="G4" s="94" t="s">
        <v>5</v>
      </c>
      <c r="H4" s="92" t="s">
        <v>6</v>
      </c>
      <c r="I4" s="95" t="s">
        <v>7</v>
      </c>
      <c r="J4" s="123"/>
    </row>
    <row r="5" spans="1:10" x14ac:dyDescent="0.2">
      <c r="A5" s="100"/>
      <c r="B5" s="125"/>
      <c r="C5" s="126"/>
      <c r="D5" s="101"/>
      <c r="E5" s="126"/>
      <c r="F5" s="126"/>
      <c r="G5" s="101"/>
      <c r="H5" s="127"/>
      <c r="I5" s="112"/>
      <c r="J5" s="121"/>
    </row>
    <row r="6" spans="1:10" x14ac:dyDescent="0.2">
      <c r="A6" s="98" t="str">
        <f>TEXT((WEEKDAY(TEXT(B6,"TT")&amp;"."&amp;$A$2&amp;"."&amp;$C$2)),"TTT")</f>
        <v>So</v>
      </c>
      <c r="B6" s="128">
        <f>DATE(Saldo!$A$1,3,1)</f>
        <v>43891</v>
      </c>
      <c r="C6" s="60"/>
      <c r="D6" s="61"/>
      <c r="E6" s="60"/>
      <c r="F6" s="60"/>
      <c r="G6" s="68"/>
      <c r="H6" s="107">
        <f t="shared" ref="H6:H23" si="0">(D6-C6)+(F6-E6)+G6</f>
        <v>0</v>
      </c>
      <c r="I6" s="111"/>
      <c r="J6" s="121"/>
    </row>
    <row r="7" spans="1:10" x14ac:dyDescent="0.2">
      <c r="A7" s="98" t="str">
        <f t="shared" ref="A7:A36" si="1">TEXT((WEEKDAY(TEXT(B7,"TT")&amp;"."&amp;$A$2&amp;"."&amp;$C$2)),"TTT")</f>
        <v>Mo</v>
      </c>
      <c r="B7" s="128">
        <f>DATE(Saldo!$A$1,3,2)</f>
        <v>43892</v>
      </c>
      <c r="C7" s="60"/>
      <c r="D7" s="61"/>
      <c r="E7" s="60"/>
      <c r="F7" s="60"/>
      <c r="G7" s="76"/>
      <c r="H7" s="107">
        <f t="shared" si="0"/>
        <v>0</v>
      </c>
      <c r="I7" s="112"/>
      <c r="J7" s="131"/>
    </row>
    <row r="8" spans="1:10" x14ac:dyDescent="0.2">
      <c r="A8" s="98" t="str">
        <f t="shared" si="1"/>
        <v>Di</v>
      </c>
      <c r="B8" s="128">
        <f>DATE(Saldo!$A$1,3,3)</f>
        <v>43893</v>
      </c>
      <c r="C8" s="60"/>
      <c r="D8" s="61"/>
      <c r="E8" s="60"/>
      <c r="F8" s="60"/>
      <c r="G8" s="68"/>
      <c r="H8" s="107">
        <f>(D8-C8)+(F8-E8)+G8</f>
        <v>0</v>
      </c>
      <c r="I8" s="112"/>
      <c r="J8" s="131"/>
    </row>
    <row r="9" spans="1:10" x14ac:dyDescent="0.2">
      <c r="A9" s="98" t="str">
        <f t="shared" si="1"/>
        <v>Mi</v>
      </c>
      <c r="B9" s="128">
        <f>DATE(Saldo!$A$1,3,4)</f>
        <v>43894</v>
      </c>
      <c r="C9" s="60"/>
      <c r="D9" s="61"/>
      <c r="E9" s="60"/>
      <c r="F9" s="60"/>
      <c r="G9" s="76"/>
      <c r="H9" s="107">
        <f t="shared" si="0"/>
        <v>0</v>
      </c>
      <c r="I9" s="112"/>
      <c r="J9" s="131"/>
    </row>
    <row r="10" spans="1:10" x14ac:dyDescent="0.2">
      <c r="A10" s="98" t="str">
        <f t="shared" si="1"/>
        <v>Do</v>
      </c>
      <c r="B10" s="128">
        <f>DATE(Saldo!$A$1,3,5)</f>
        <v>43895</v>
      </c>
      <c r="C10" s="60"/>
      <c r="D10" s="61"/>
      <c r="E10" s="60"/>
      <c r="F10" s="60"/>
      <c r="G10" s="68"/>
      <c r="H10" s="107">
        <f t="shared" si="0"/>
        <v>0</v>
      </c>
      <c r="I10" s="112"/>
      <c r="J10" s="131"/>
    </row>
    <row r="11" spans="1:10" x14ac:dyDescent="0.2">
      <c r="A11" s="98" t="str">
        <f t="shared" si="1"/>
        <v>Fr</v>
      </c>
      <c r="B11" s="128">
        <f>DATE(Saldo!$A$1,3,6)</f>
        <v>43896</v>
      </c>
      <c r="C11" s="66"/>
      <c r="D11" s="66"/>
      <c r="E11" s="66"/>
      <c r="F11" s="66"/>
      <c r="G11" s="76"/>
      <c r="H11" s="107">
        <f t="shared" si="0"/>
        <v>0</v>
      </c>
      <c r="I11" s="112"/>
      <c r="J11" s="131"/>
    </row>
    <row r="12" spans="1:10" x14ac:dyDescent="0.2">
      <c r="A12" s="98" t="str">
        <f t="shared" si="1"/>
        <v>Sa</v>
      </c>
      <c r="B12" s="128">
        <f>DATE(Saldo!$A$1,3,7)</f>
        <v>43897</v>
      </c>
      <c r="C12" s="60"/>
      <c r="D12" s="61"/>
      <c r="E12" s="60"/>
      <c r="F12" s="60"/>
      <c r="G12" s="68"/>
      <c r="H12" s="107">
        <f t="shared" si="0"/>
        <v>0</v>
      </c>
      <c r="I12" s="112"/>
      <c r="J12" s="121"/>
    </row>
    <row r="13" spans="1:10" x14ac:dyDescent="0.2">
      <c r="A13" s="98" t="str">
        <f t="shared" si="1"/>
        <v>So</v>
      </c>
      <c r="B13" s="128">
        <f>DATE(Saldo!$A$1,3,8)</f>
        <v>43898</v>
      </c>
      <c r="C13" s="60"/>
      <c r="D13" s="61"/>
      <c r="E13" s="60"/>
      <c r="F13" s="60"/>
      <c r="G13" s="76"/>
      <c r="H13" s="107">
        <f t="shared" si="0"/>
        <v>0</v>
      </c>
      <c r="I13" s="111"/>
      <c r="J13" s="121"/>
    </row>
    <row r="14" spans="1:10" x14ac:dyDescent="0.2">
      <c r="A14" s="98" t="str">
        <f t="shared" si="1"/>
        <v>Mo</v>
      </c>
      <c r="B14" s="128">
        <f>DATE(Saldo!$A$1,3,9)</f>
        <v>43899</v>
      </c>
      <c r="C14" s="60"/>
      <c r="D14" s="61"/>
      <c r="E14" s="60"/>
      <c r="F14" s="60"/>
      <c r="G14" s="68"/>
      <c r="H14" s="107">
        <f t="shared" si="0"/>
        <v>0</v>
      </c>
      <c r="I14" s="112"/>
      <c r="J14" s="131"/>
    </row>
    <row r="15" spans="1:10" x14ac:dyDescent="0.2">
      <c r="A15" s="98" t="str">
        <f t="shared" si="1"/>
        <v>Di</v>
      </c>
      <c r="B15" s="128">
        <f>DATE(Saldo!$A$1,3,10)</f>
        <v>43900</v>
      </c>
      <c r="C15" s="60"/>
      <c r="D15" s="61"/>
      <c r="E15" s="60"/>
      <c r="F15" s="60"/>
      <c r="G15" s="76"/>
      <c r="H15" s="107">
        <f>(D15-C15)+(F15-E15)+G15</f>
        <v>0</v>
      </c>
      <c r="I15" s="112"/>
      <c r="J15" s="131"/>
    </row>
    <row r="16" spans="1:10" x14ac:dyDescent="0.2">
      <c r="A16" s="98" t="str">
        <f t="shared" si="1"/>
        <v>Mi</v>
      </c>
      <c r="B16" s="128">
        <f>DATE(Saldo!$A$1,3,11)</f>
        <v>43901</v>
      </c>
      <c r="C16" s="60"/>
      <c r="D16" s="61"/>
      <c r="E16" s="60"/>
      <c r="F16" s="60"/>
      <c r="G16" s="68"/>
      <c r="H16" s="107">
        <f t="shared" si="0"/>
        <v>0</v>
      </c>
      <c r="I16" s="112"/>
      <c r="J16" s="131"/>
    </row>
    <row r="17" spans="1:10" x14ac:dyDescent="0.2">
      <c r="A17" s="98" t="str">
        <f t="shared" si="1"/>
        <v>Do</v>
      </c>
      <c r="B17" s="128">
        <f>DATE(Saldo!$A$1,3,12)</f>
        <v>43902</v>
      </c>
      <c r="C17" s="60"/>
      <c r="D17" s="61"/>
      <c r="E17" s="60"/>
      <c r="F17" s="60"/>
      <c r="G17" s="76"/>
      <c r="H17" s="107">
        <f t="shared" si="0"/>
        <v>0</v>
      </c>
      <c r="I17" s="112"/>
      <c r="J17" s="131"/>
    </row>
    <row r="18" spans="1:10" x14ac:dyDescent="0.2">
      <c r="A18" s="98" t="str">
        <f t="shared" si="1"/>
        <v>Fr</v>
      </c>
      <c r="B18" s="128">
        <f>DATE(Saldo!$A$1,3,13)</f>
        <v>43903</v>
      </c>
      <c r="C18" s="66"/>
      <c r="D18" s="66"/>
      <c r="E18" s="66"/>
      <c r="F18" s="66"/>
      <c r="G18" s="68"/>
      <c r="H18" s="107">
        <f t="shared" si="0"/>
        <v>0</v>
      </c>
      <c r="I18" s="112"/>
      <c r="J18" s="131"/>
    </row>
    <row r="19" spans="1:10" x14ac:dyDescent="0.2">
      <c r="A19" s="98" t="str">
        <f t="shared" si="1"/>
        <v>Sa</v>
      </c>
      <c r="B19" s="128">
        <f>DATE(Saldo!$A$1,3,14)</f>
        <v>43904</v>
      </c>
      <c r="C19" s="60"/>
      <c r="D19" s="61"/>
      <c r="E19" s="60"/>
      <c r="F19" s="60"/>
      <c r="G19" s="76"/>
      <c r="H19" s="107">
        <f t="shared" si="0"/>
        <v>0</v>
      </c>
      <c r="I19" s="112"/>
      <c r="J19" s="121"/>
    </row>
    <row r="20" spans="1:10" x14ac:dyDescent="0.2">
      <c r="A20" s="98" t="str">
        <f t="shared" si="1"/>
        <v>So</v>
      </c>
      <c r="B20" s="128">
        <f>DATE(Saldo!$A$1,3,15)</f>
        <v>43905</v>
      </c>
      <c r="C20" s="60"/>
      <c r="D20" s="61"/>
      <c r="E20" s="61"/>
      <c r="F20" s="60"/>
      <c r="G20" s="68"/>
      <c r="H20" s="107">
        <f t="shared" si="0"/>
        <v>0</v>
      </c>
      <c r="I20" s="111"/>
      <c r="J20" s="121"/>
    </row>
    <row r="21" spans="1:10" x14ac:dyDescent="0.2">
      <c r="A21" s="98" t="str">
        <f t="shared" si="1"/>
        <v>Mo</v>
      </c>
      <c r="B21" s="128">
        <f>DATE(Saldo!$A$1,3,16)</f>
        <v>43906</v>
      </c>
      <c r="C21" s="60"/>
      <c r="D21" s="61"/>
      <c r="E21" s="60"/>
      <c r="F21" s="60"/>
      <c r="G21" s="76"/>
      <c r="H21" s="107">
        <f t="shared" si="0"/>
        <v>0</v>
      </c>
      <c r="I21" s="112"/>
      <c r="J21" s="131"/>
    </row>
    <row r="22" spans="1:10" x14ac:dyDescent="0.2">
      <c r="A22" s="98" t="str">
        <f t="shared" si="1"/>
        <v>Di</v>
      </c>
      <c r="B22" s="128">
        <f>DATE(Saldo!$A$1,3,17)</f>
        <v>43907</v>
      </c>
      <c r="C22" s="66"/>
      <c r="D22" s="66"/>
      <c r="E22" s="66"/>
      <c r="F22" s="66"/>
      <c r="G22" s="68"/>
      <c r="H22" s="107">
        <f t="shared" si="0"/>
        <v>0</v>
      </c>
      <c r="I22" s="133"/>
      <c r="J22" s="131"/>
    </row>
    <row r="23" spans="1:10" x14ac:dyDescent="0.2">
      <c r="A23" s="98" t="str">
        <f t="shared" si="1"/>
        <v>Mi</v>
      </c>
      <c r="B23" s="128">
        <f>DATE(Saldo!$A$1,3,18)</f>
        <v>43908</v>
      </c>
      <c r="C23" s="66"/>
      <c r="D23" s="66"/>
      <c r="E23" s="66"/>
      <c r="F23" s="66"/>
      <c r="G23" s="76"/>
      <c r="H23" s="107">
        <f t="shared" si="0"/>
        <v>0</v>
      </c>
      <c r="I23" s="133"/>
      <c r="J23" s="131"/>
    </row>
    <row r="24" spans="1:10" x14ac:dyDescent="0.2">
      <c r="A24" s="98" t="str">
        <f t="shared" si="1"/>
        <v>Do</v>
      </c>
      <c r="B24" s="128">
        <f>DATE(Saldo!$A$1,3,19)</f>
        <v>43909</v>
      </c>
      <c r="C24" s="66"/>
      <c r="D24" s="66"/>
      <c r="E24" s="66"/>
      <c r="F24" s="66"/>
      <c r="G24" s="76"/>
      <c r="H24" s="107">
        <f t="shared" ref="H24:H36" si="2">(D24-C24)+(F24-E24)+G24</f>
        <v>0</v>
      </c>
      <c r="I24" s="133"/>
      <c r="J24" s="131"/>
    </row>
    <row r="25" spans="1:10" x14ac:dyDescent="0.2">
      <c r="A25" s="98" t="str">
        <f t="shared" si="1"/>
        <v>Fr</v>
      </c>
      <c r="B25" s="128">
        <f>DATE(Saldo!$A$1,3,20)</f>
        <v>43910</v>
      </c>
      <c r="C25" s="66"/>
      <c r="D25" s="66"/>
      <c r="E25" s="66"/>
      <c r="F25" s="66"/>
      <c r="G25" s="76"/>
      <c r="H25" s="107">
        <f t="shared" si="2"/>
        <v>0</v>
      </c>
      <c r="I25" s="112"/>
      <c r="J25" s="131"/>
    </row>
    <row r="26" spans="1:10" x14ac:dyDescent="0.2">
      <c r="A26" s="98" t="str">
        <f t="shared" si="1"/>
        <v>Sa</v>
      </c>
      <c r="B26" s="128">
        <f>DATE(Saldo!$A$1,3,21)</f>
        <v>43911</v>
      </c>
      <c r="C26" s="60"/>
      <c r="D26" s="61"/>
      <c r="E26" s="62"/>
      <c r="F26" s="60"/>
      <c r="G26" s="76"/>
      <c r="H26" s="107">
        <f t="shared" si="2"/>
        <v>0</v>
      </c>
      <c r="I26" s="112"/>
      <c r="J26" s="134"/>
    </row>
    <row r="27" spans="1:10" x14ac:dyDescent="0.2">
      <c r="A27" s="98" t="str">
        <f t="shared" si="1"/>
        <v>So</v>
      </c>
      <c r="B27" s="128">
        <f>DATE(Saldo!$A$1,3,22)</f>
        <v>43912</v>
      </c>
      <c r="C27" s="60"/>
      <c r="D27" s="61"/>
      <c r="E27" s="60"/>
      <c r="F27" s="60"/>
      <c r="G27" s="76"/>
      <c r="H27" s="107">
        <f t="shared" si="2"/>
        <v>0</v>
      </c>
      <c r="I27" s="111"/>
      <c r="J27" s="134"/>
    </row>
    <row r="28" spans="1:10" x14ac:dyDescent="0.2">
      <c r="A28" s="98" t="str">
        <f t="shared" si="1"/>
        <v>Mo</v>
      </c>
      <c r="B28" s="128">
        <f>DATE(Saldo!$A$1,3,23)</f>
        <v>43913</v>
      </c>
      <c r="C28" s="60"/>
      <c r="D28" s="61"/>
      <c r="E28" s="60"/>
      <c r="F28" s="60"/>
      <c r="G28" s="76"/>
      <c r="H28" s="107">
        <f t="shared" si="2"/>
        <v>0</v>
      </c>
      <c r="I28" s="112"/>
      <c r="J28" s="131"/>
    </row>
    <row r="29" spans="1:10" x14ac:dyDescent="0.2">
      <c r="A29" s="98" t="str">
        <f t="shared" si="1"/>
        <v>Di</v>
      </c>
      <c r="B29" s="128">
        <f>DATE(Saldo!$A$1,3,24)</f>
        <v>43914</v>
      </c>
      <c r="C29" s="66"/>
      <c r="D29" s="66"/>
      <c r="E29" s="66"/>
      <c r="F29" s="66"/>
      <c r="G29" s="76"/>
      <c r="H29" s="107">
        <f t="shared" si="2"/>
        <v>0</v>
      </c>
      <c r="I29" s="112"/>
      <c r="J29" s="131"/>
    </row>
    <row r="30" spans="1:10" x14ac:dyDescent="0.2">
      <c r="A30" s="98" t="str">
        <f t="shared" si="1"/>
        <v>Mi</v>
      </c>
      <c r="B30" s="128">
        <f>DATE(Saldo!$A$1,3,25)</f>
        <v>43915</v>
      </c>
      <c r="C30" s="66"/>
      <c r="D30" s="66"/>
      <c r="E30" s="66"/>
      <c r="F30" s="66"/>
      <c r="G30" s="76"/>
      <c r="H30" s="107">
        <f t="shared" si="2"/>
        <v>0</v>
      </c>
      <c r="I30" s="112"/>
      <c r="J30" s="131"/>
    </row>
    <row r="31" spans="1:10" x14ac:dyDescent="0.2">
      <c r="A31" s="98" t="str">
        <f t="shared" si="1"/>
        <v>Do</v>
      </c>
      <c r="B31" s="128">
        <f>DATE(Saldo!$A$1,3,26)</f>
        <v>43916</v>
      </c>
      <c r="C31" s="66"/>
      <c r="D31" s="66"/>
      <c r="E31" s="66"/>
      <c r="F31" s="66"/>
      <c r="G31" s="76"/>
      <c r="H31" s="107">
        <f t="shared" si="2"/>
        <v>0</v>
      </c>
      <c r="I31" s="112"/>
      <c r="J31" s="131"/>
    </row>
    <row r="32" spans="1:10" x14ac:dyDescent="0.2">
      <c r="A32" s="98" t="str">
        <f t="shared" si="1"/>
        <v>Fr</v>
      </c>
      <c r="B32" s="128">
        <f>DATE(Saldo!$A$1,3,27)</f>
        <v>43917</v>
      </c>
      <c r="C32" s="66"/>
      <c r="D32" s="66"/>
      <c r="E32" s="66"/>
      <c r="F32" s="66"/>
      <c r="G32" s="76"/>
      <c r="H32" s="107">
        <f t="shared" si="2"/>
        <v>0</v>
      </c>
      <c r="I32" s="112"/>
      <c r="J32" s="131"/>
    </row>
    <row r="33" spans="1:10" x14ac:dyDescent="0.2">
      <c r="A33" s="98" t="str">
        <f t="shared" si="1"/>
        <v>Sa</v>
      </c>
      <c r="B33" s="128">
        <f>DATE(Saldo!$A$1,3,28)</f>
        <v>43918</v>
      </c>
      <c r="C33" s="60"/>
      <c r="D33" s="61"/>
      <c r="E33" s="60"/>
      <c r="F33" s="60"/>
      <c r="G33" s="68"/>
      <c r="H33" s="107">
        <f t="shared" si="2"/>
        <v>0</v>
      </c>
      <c r="I33" s="112"/>
      <c r="J33" s="134"/>
    </row>
    <row r="34" spans="1:10" x14ac:dyDescent="0.2">
      <c r="A34" s="98" t="str">
        <f t="shared" si="1"/>
        <v>So</v>
      </c>
      <c r="B34" s="128">
        <f>DATE(Saldo!$A$1,3,29)</f>
        <v>43919</v>
      </c>
      <c r="C34" s="60"/>
      <c r="D34" s="61"/>
      <c r="E34" s="60"/>
      <c r="F34" s="60"/>
      <c r="G34" s="68"/>
      <c r="H34" s="107">
        <f t="shared" si="2"/>
        <v>0</v>
      </c>
      <c r="I34" s="157"/>
      <c r="J34" s="134"/>
    </row>
    <row r="35" spans="1:10" x14ac:dyDescent="0.2">
      <c r="A35" s="98" t="str">
        <f t="shared" si="1"/>
        <v>Mo</v>
      </c>
      <c r="B35" s="128">
        <f>DATE(Saldo!$A$1,3,30)</f>
        <v>43920</v>
      </c>
      <c r="C35" s="60"/>
      <c r="D35" s="61"/>
      <c r="E35" s="60"/>
      <c r="F35" s="60"/>
      <c r="G35" s="76"/>
      <c r="H35" s="107">
        <f t="shared" si="2"/>
        <v>0</v>
      </c>
      <c r="I35" s="112"/>
      <c r="J35" s="131"/>
    </row>
    <row r="36" spans="1:10" x14ac:dyDescent="0.2">
      <c r="A36" s="98" t="str">
        <f t="shared" si="1"/>
        <v>Di</v>
      </c>
      <c r="B36" s="128">
        <f>DATE(Saldo!$A$1,3,31)</f>
        <v>43921</v>
      </c>
      <c r="C36" s="60"/>
      <c r="D36" s="61"/>
      <c r="E36" s="60"/>
      <c r="F36" s="60"/>
      <c r="G36" s="76"/>
      <c r="H36" s="107">
        <f t="shared" si="2"/>
        <v>0</v>
      </c>
      <c r="I36" s="112"/>
      <c r="J36" s="131"/>
    </row>
    <row r="37" spans="1:10" x14ac:dyDescent="0.2">
      <c r="A37" s="100"/>
      <c r="B37" s="125"/>
      <c r="C37" s="107"/>
      <c r="D37" s="129"/>
      <c r="E37" s="107"/>
      <c r="F37" s="107"/>
      <c r="G37" s="135"/>
      <c r="H37" s="107"/>
      <c r="I37" s="112"/>
      <c r="J37" s="136"/>
    </row>
    <row r="38" spans="1:10" s="142" customFormat="1" ht="18.75" thickBot="1" x14ac:dyDescent="0.3">
      <c r="A38" s="102"/>
      <c r="B38" s="137" t="s">
        <v>10</v>
      </c>
      <c r="C38" s="138"/>
      <c r="D38" s="139"/>
      <c r="E38" s="138"/>
      <c r="F38" s="138"/>
      <c r="G38" s="140" t="s">
        <v>11</v>
      </c>
      <c r="H38" s="109">
        <f>SUM(H6:H37)</f>
        <v>0</v>
      </c>
      <c r="I38" s="110"/>
      <c r="J38" s="141"/>
    </row>
    <row r="39" spans="1:10" ht="13.5" thickBot="1" x14ac:dyDescent="0.25">
      <c r="A39" s="100"/>
      <c r="B39" s="143"/>
      <c r="C39" s="106"/>
      <c r="D39" s="97"/>
      <c r="E39" s="144"/>
      <c r="F39" s="144"/>
      <c r="G39" s="145" t="s">
        <v>12</v>
      </c>
      <c r="H39" s="114">
        <f>Monatssaldi!B8</f>
        <v>9.1666666666666661</v>
      </c>
      <c r="I39" s="146" t="s">
        <v>13</v>
      </c>
      <c r="J39" s="141"/>
    </row>
    <row r="40" spans="1:10" ht="13.5" thickBot="1" x14ac:dyDescent="0.25">
      <c r="A40" s="104"/>
      <c r="B40" s="147"/>
      <c r="C40" s="148"/>
      <c r="D40" s="149"/>
      <c r="E40" s="150"/>
      <c r="F40" s="260" t="s">
        <v>40</v>
      </c>
      <c r="G40" s="261"/>
      <c r="H40" s="117" t="str">
        <f>IF(H38&gt;$H$39,H38-$H$39,"")</f>
        <v/>
      </c>
      <c r="I40" s="116">
        <f>IF(H38&lt;$H$39,$H$39-H38,"")</f>
        <v>9.1666666666666661</v>
      </c>
      <c r="J40" s="141"/>
    </row>
    <row r="41" spans="1:10" ht="12.75" customHeight="1" x14ac:dyDescent="0.2">
      <c r="B41" s="253" t="s">
        <v>14</v>
      </c>
      <c r="C41" s="254"/>
      <c r="D41" s="254"/>
      <c r="E41" s="254"/>
      <c r="F41" s="254"/>
      <c r="G41" s="254"/>
      <c r="H41" s="254"/>
      <c r="I41" s="255"/>
      <c r="J41" s="141"/>
    </row>
    <row r="42" spans="1:10" x14ac:dyDescent="0.2">
      <c r="B42" s="256"/>
      <c r="C42" s="257"/>
      <c r="D42" s="257"/>
      <c r="E42" s="257"/>
      <c r="F42" s="257"/>
      <c r="G42" s="257"/>
      <c r="H42" s="257"/>
      <c r="I42" s="258"/>
      <c r="J42" s="141"/>
    </row>
    <row r="43" spans="1:10" x14ac:dyDescent="0.2">
      <c r="A43" s="121"/>
      <c r="C43" s="142"/>
      <c r="J43" s="141"/>
    </row>
    <row r="44" spans="1:10" x14ac:dyDescent="0.2">
      <c r="A44" s="121"/>
      <c r="C44" s="142"/>
      <c r="J44" s="141"/>
    </row>
    <row r="45" spans="1:10" x14ac:dyDescent="0.2">
      <c r="A45" s="121"/>
      <c r="C45" s="142"/>
      <c r="J45" s="141"/>
    </row>
    <row r="46" spans="1:10" x14ac:dyDescent="0.2">
      <c r="A46" s="121"/>
      <c r="C46" s="142"/>
      <c r="J46" s="141"/>
    </row>
    <row r="47" spans="1:10" x14ac:dyDescent="0.2">
      <c r="A47" s="121"/>
      <c r="C47" s="142"/>
      <c r="J47" s="141"/>
    </row>
    <row r="48" spans="1:10" x14ac:dyDescent="0.2">
      <c r="A48" s="121"/>
      <c r="C48" s="142"/>
      <c r="J48" s="141"/>
    </row>
    <row r="49" spans="1:10" x14ac:dyDescent="0.2">
      <c r="A49" s="121"/>
      <c r="C49" s="142"/>
      <c r="J49" s="141"/>
    </row>
    <row r="50" spans="1:10" x14ac:dyDescent="0.2">
      <c r="C50" s="142"/>
      <c r="J50" s="141"/>
    </row>
    <row r="51" spans="1:10" x14ac:dyDescent="0.2">
      <c r="C51" s="142"/>
      <c r="J51" s="141"/>
    </row>
    <row r="52" spans="1:10" x14ac:dyDescent="0.2">
      <c r="C52" s="142"/>
      <c r="J52" s="141"/>
    </row>
    <row r="53" spans="1:10" x14ac:dyDescent="0.2">
      <c r="C53" s="142"/>
      <c r="J53" s="141"/>
    </row>
    <row r="54" spans="1:10" x14ac:dyDescent="0.2">
      <c r="C54" s="142"/>
      <c r="J54" s="141"/>
    </row>
    <row r="55" spans="1:10" x14ac:dyDescent="0.2">
      <c r="C55" s="142"/>
      <c r="J55" s="141"/>
    </row>
    <row r="56" spans="1:10" x14ac:dyDescent="0.2">
      <c r="C56" s="142"/>
      <c r="J56" s="141"/>
    </row>
    <row r="57" spans="1:10" x14ac:dyDescent="0.2">
      <c r="J57" s="142"/>
    </row>
    <row r="58" spans="1:10" ht="15" x14ac:dyDescent="0.2">
      <c r="C58" s="151"/>
      <c r="D58" s="142"/>
      <c r="E58" s="142"/>
      <c r="F58" s="142"/>
      <c r="G58" s="142"/>
      <c r="H58" s="142"/>
      <c r="J58" s="141"/>
    </row>
  </sheetData>
  <sheetProtection algorithmName="SHA-512" hashValue="yqeHtYJ76ILqiL9dkk++7a5cfKceCgRdMY/3fqEVFzOdjh5EX/1maorZLhbzm6BdDvDfqyLoo23/5ZRZWt6yhQ==" saltValue="aITC/Yc1MLJxlOyL3PL6lw==" spinCount="100000" sheet="1" selectLockedCells="1"/>
  <mergeCells count="5">
    <mergeCell ref="B41:I42"/>
    <mergeCell ref="G2:I2"/>
    <mergeCell ref="B3:I3"/>
    <mergeCell ref="F40:G40"/>
    <mergeCell ref="A2:B2"/>
  </mergeCells>
  <phoneticPr fontId="0" type="noConversion"/>
  <conditionalFormatting sqref="A6:I36">
    <cfRule type="expression" dxfId="39" priority="1">
      <formula>AND($I6 &lt;&gt; "",$A6 &lt;&gt; "So",$A6&lt;&gt;"Sa")</formula>
    </cfRule>
    <cfRule type="expression" dxfId="38" priority="2">
      <formula>$I6 &lt;&gt; ""</formula>
    </cfRule>
    <cfRule type="expression" dxfId="37" priority="3">
      <formula>$A6 ="So"</formula>
    </cfRule>
    <cfRule type="expression" dxfId="36" priority="4">
      <formula>$A6 = "Sa"</formula>
    </cfRule>
  </conditionalFormatting>
  <pageMargins left="0.78740157480314965" right="0.39370078740157483" top="0.98425196850393704" bottom="0.98425196850393704" header="0.51181102362204722" footer="0.51181102362204722"/>
  <pageSetup paperSize="9" orientation="portrait" horizontalDpi="4294967292" verticalDpi="300" r:id="rId1"/>
  <headerFooter alignWithMargins="0">
    <oddHeader>&amp;L&amp;G</oddHeader>
  </headerFooter>
  <legacyDrawingHF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workbookViewId="0">
      <selection activeCell="F25" sqref="F25"/>
    </sheetView>
  </sheetViews>
  <sheetFormatPr baseColWidth="10" defaultColWidth="10.83203125" defaultRowHeight="12.75" x14ac:dyDescent="0.2"/>
  <cols>
    <col min="1" max="1" width="7.83203125" style="87" customWidth="1"/>
    <col min="2" max="2" width="10" style="87" customWidth="1"/>
    <col min="3" max="3" width="7.5" style="87" customWidth="1"/>
    <col min="4" max="6" width="8.83203125" style="87" customWidth="1"/>
    <col min="7" max="7" width="11.83203125" style="87" customWidth="1"/>
    <col min="8" max="8" width="11" style="87" customWidth="1"/>
    <col min="9" max="9" width="26" style="88" customWidth="1"/>
    <col min="10" max="16384" width="10.83203125" style="87"/>
  </cols>
  <sheetData>
    <row r="1" spans="1:10" ht="15.95" customHeight="1" x14ac:dyDescent="0.2">
      <c r="A1" s="86" t="s">
        <v>54</v>
      </c>
      <c r="B1" s="86"/>
    </row>
    <row r="2" spans="1:10" s="89" customFormat="1" ht="26.1" customHeight="1" x14ac:dyDescent="0.2">
      <c r="A2" s="252" t="s">
        <v>26</v>
      </c>
      <c r="B2" s="252"/>
      <c r="C2" s="89">
        <f>Saldo!A1</f>
        <v>2020</v>
      </c>
      <c r="D2" s="90"/>
      <c r="E2" s="90"/>
      <c r="F2" s="90"/>
      <c r="G2" s="242">
        <f>MA</f>
        <v>0</v>
      </c>
      <c r="H2" s="243"/>
      <c r="I2" s="243"/>
      <c r="J2" s="120"/>
    </row>
    <row r="3" spans="1:10" ht="13.5" thickBot="1" x14ac:dyDescent="0.25">
      <c r="B3" s="250"/>
      <c r="C3" s="251"/>
      <c r="D3" s="251"/>
      <c r="E3" s="251"/>
      <c r="F3" s="251"/>
      <c r="G3" s="251"/>
      <c r="H3" s="251"/>
      <c r="I3" s="251"/>
      <c r="J3" s="121"/>
    </row>
    <row r="4" spans="1:10" s="124" customFormat="1" ht="11.25" x14ac:dyDescent="0.15">
      <c r="A4" s="91"/>
      <c r="B4" s="122" t="s">
        <v>0</v>
      </c>
      <c r="C4" s="93" t="s">
        <v>1</v>
      </c>
      <c r="D4" s="94" t="s">
        <v>2</v>
      </c>
      <c r="E4" s="93" t="s">
        <v>3</v>
      </c>
      <c r="F4" s="94" t="s">
        <v>4</v>
      </c>
      <c r="G4" s="94" t="s">
        <v>5</v>
      </c>
      <c r="H4" s="92" t="s">
        <v>6</v>
      </c>
      <c r="I4" s="95" t="s">
        <v>7</v>
      </c>
      <c r="J4" s="123"/>
    </row>
    <row r="5" spans="1:10" x14ac:dyDescent="0.2">
      <c r="A5" s="100"/>
      <c r="B5" s="125"/>
      <c r="C5" s="126"/>
      <c r="D5" s="101"/>
      <c r="E5" s="126"/>
      <c r="F5" s="101"/>
      <c r="G5" s="101"/>
      <c r="H5" s="127"/>
      <c r="I5" s="112"/>
      <c r="J5" s="121"/>
    </row>
    <row r="6" spans="1:10" x14ac:dyDescent="0.2">
      <c r="A6" s="98" t="str">
        <f>TEXT((WEEKDAY(TEXT(B6,"TT")&amp;"."&amp;$A$2&amp;"."&amp;$C$2)),"TTT")</f>
        <v>Mi</v>
      </c>
      <c r="B6" s="128">
        <f>DATE(Saldo!$A$1,4,1)</f>
        <v>43922</v>
      </c>
      <c r="C6" s="60"/>
      <c r="D6" s="61"/>
      <c r="E6" s="60"/>
      <c r="F6" s="61"/>
      <c r="G6" s="68"/>
      <c r="H6" s="107">
        <f t="shared" ref="H6:H23" si="0">(D6-C6)+(F6-E6)+G6</f>
        <v>0</v>
      </c>
      <c r="I6" s="111"/>
      <c r="J6" s="131"/>
    </row>
    <row r="7" spans="1:10" x14ac:dyDescent="0.2">
      <c r="A7" s="98" t="str">
        <f t="shared" ref="A7:A35" si="1">TEXT((WEEKDAY(TEXT(B7,"TT")&amp;"."&amp;$A$2&amp;"."&amp;$C$2)),"TTT")</f>
        <v>Do</v>
      </c>
      <c r="B7" s="128">
        <f>DATE(Saldo!$A$1,4,2)</f>
        <v>43923</v>
      </c>
      <c r="C7" s="60"/>
      <c r="D7" s="60"/>
      <c r="E7" s="60"/>
      <c r="F7" s="60"/>
      <c r="G7" s="60"/>
      <c r="H7" s="107">
        <f t="shared" ref="H7" si="2">(D7-C7)+(F7-E7)+G7</f>
        <v>0</v>
      </c>
      <c r="I7" s="112"/>
      <c r="J7" s="131"/>
    </row>
    <row r="8" spans="1:10" x14ac:dyDescent="0.2">
      <c r="A8" s="98" t="str">
        <f t="shared" si="1"/>
        <v>Fr</v>
      </c>
      <c r="B8" s="128">
        <f>DATE(Saldo!$A$1,4,3)</f>
        <v>43924</v>
      </c>
      <c r="C8" s="60"/>
      <c r="D8" s="60"/>
      <c r="E8" s="60"/>
      <c r="F8" s="60"/>
      <c r="G8" s="60"/>
      <c r="H8" s="107">
        <f t="shared" si="0"/>
        <v>0</v>
      </c>
      <c r="I8" s="112"/>
      <c r="J8" s="121"/>
    </row>
    <row r="9" spans="1:10" x14ac:dyDescent="0.2">
      <c r="A9" s="98" t="str">
        <f t="shared" si="1"/>
        <v>Sa</v>
      </c>
      <c r="B9" s="128">
        <f>DATE(Saldo!$A$1,4,4)</f>
        <v>43925</v>
      </c>
      <c r="C9" s="60"/>
      <c r="D9" s="60"/>
      <c r="E9" s="60"/>
      <c r="F9" s="60"/>
      <c r="G9" s="60"/>
      <c r="H9" s="107">
        <f t="shared" si="0"/>
        <v>0</v>
      </c>
      <c r="I9" s="112"/>
      <c r="J9" s="121"/>
    </row>
    <row r="10" spans="1:10" x14ac:dyDescent="0.2">
      <c r="A10" s="98" t="str">
        <f t="shared" si="1"/>
        <v>So</v>
      </c>
      <c r="B10" s="128">
        <f>DATE(Saldo!$A$1,4,5)</f>
        <v>43926</v>
      </c>
      <c r="C10" s="60"/>
      <c r="D10" s="61"/>
      <c r="E10" s="60"/>
      <c r="F10" s="61"/>
      <c r="G10" s="68"/>
      <c r="H10" s="107">
        <f t="shared" si="0"/>
        <v>0</v>
      </c>
      <c r="I10" s="112"/>
      <c r="J10" s="121"/>
    </row>
    <row r="11" spans="1:10" x14ac:dyDescent="0.2">
      <c r="A11" s="98" t="str">
        <f t="shared" si="1"/>
        <v>Mo</v>
      </c>
      <c r="B11" s="128">
        <f>DATE(Saldo!$A$1,4,6)</f>
        <v>43927</v>
      </c>
      <c r="C11" s="60"/>
      <c r="D11" s="61"/>
      <c r="E11" s="60"/>
      <c r="F11" s="61"/>
      <c r="G11" s="68"/>
      <c r="H11" s="107">
        <f t="shared" si="0"/>
        <v>0</v>
      </c>
      <c r="I11" s="112"/>
      <c r="J11" s="121"/>
    </row>
    <row r="12" spans="1:10" x14ac:dyDescent="0.2">
      <c r="A12" s="98" t="str">
        <f t="shared" si="1"/>
        <v>Di</v>
      </c>
      <c r="B12" s="128">
        <f>DATE(Saldo!$A$1,4,7)</f>
        <v>43928</v>
      </c>
      <c r="C12" s="60"/>
      <c r="D12" s="61"/>
      <c r="E12" s="60"/>
      <c r="F12" s="61"/>
      <c r="G12" s="68"/>
      <c r="H12" s="107">
        <f>(D12-C12)+(F12-E12)+G12</f>
        <v>0</v>
      </c>
      <c r="I12" s="112"/>
      <c r="J12" s="131"/>
    </row>
    <row r="13" spans="1:10" x14ac:dyDescent="0.2">
      <c r="A13" s="98" t="str">
        <f t="shared" si="1"/>
        <v>Mi</v>
      </c>
      <c r="B13" s="128">
        <f>DATE(Saldo!$A$1,4,8)</f>
        <v>43929</v>
      </c>
      <c r="C13" s="60"/>
      <c r="D13" s="61"/>
      <c r="E13" s="60"/>
      <c r="F13" s="61"/>
      <c r="G13" s="68"/>
      <c r="H13" s="107">
        <f>(D13-C13)+(F13-E13)+G13</f>
        <v>0</v>
      </c>
      <c r="I13" s="159"/>
      <c r="J13" s="131"/>
    </row>
    <row r="14" spans="1:10" x14ac:dyDescent="0.2">
      <c r="A14" s="98" t="str">
        <f t="shared" si="1"/>
        <v>Do</v>
      </c>
      <c r="B14" s="128">
        <f>DATE(Saldo!$A$1,4,9)</f>
        <v>43930</v>
      </c>
      <c r="C14" s="60"/>
      <c r="D14" s="61"/>
      <c r="E14" s="60"/>
      <c r="F14" s="61"/>
      <c r="G14" s="68"/>
      <c r="H14" s="107">
        <f>(D14-C14)+(F14-E14)+G14</f>
        <v>0</v>
      </c>
      <c r="I14" s="112" t="s">
        <v>85</v>
      </c>
      <c r="J14" s="131"/>
    </row>
    <row r="15" spans="1:10" x14ac:dyDescent="0.2">
      <c r="A15" s="98" t="str">
        <f t="shared" si="1"/>
        <v>Fr</v>
      </c>
      <c r="B15" s="128">
        <f>DATE(Saldo!$A$1,4,10)</f>
        <v>43931</v>
      </c>
      <c r="C15" s="60"/>
      <c r="D15" s="61"/>
      <c r="E15" s="60"/>
      <c r="F15" s="61"/>
      <c r="G15" s="68"/>
      <c r="H15" s="107">
        <f t="shared" si="0"/>
        <v>0</v>
      </c>
      <c r="I15" s="111" t="s">
        <v>42</v>
      </c>
      <c r="J15" s="131"/>
    </row>
    <row r="16" spans="1:10" x14ac:dyDescent="0.2">
      <c r="A16" s="98" t="str">
        <f t="shared" si="1"/>
        <v>Sa</v>
      </c>
      <c r="B16" s="128">
        <f>DATE(Saldo!$A$1,4,11)</f>
        <v>43932</v>
      </c>
      <c r="C16" s="60"/>
      <c r="D16" s="61"/>
      <c r="E16" s="60"/>
      <c r="F16" s="61"/>
      <c r="G16" s="68"/>
      <c r="H16" s="107">
        <f t="shared" si="0"/>
        <v>0</v>
      </c>
      <c r="I16" s="112"/>
      <c r="J16" s="131"/>
    </row>
    <row r="17" spans="1:10" x14ac:dyDescent="0.2">
      <c r="A17" s="98" t="str">
        <f t="shared" si="1"/>
        <v>So</v>
      </c>
      <c r="B17" s="128">
        <f>DATE(Saldo!$A$1,4,12)</f>
        <v>43933</v>
      </c>
      <c r="C17" s="60"/>
      <c r="D17" s="61"/>
      <c r="E17" s="60"/>
      <c r="F17" s="61"/>
      <c r="G17" s="68"/>
      <c r="H17" s="107">
        <f t="shared" si="0"/>
        <v>0</v>
      </c>
      <c r="I17" s="112"/>
      <c r="J17" s="121"/>
    </row>
    <row r="18" spans="1:10" x14ac:dyDescent="0.2">
      <c r="A18" s="98" t="str">
        <f t="shared" si="1"/>
        <v>Mo</v>
      </c>
      <c r="B18" s="128">
        <f>DATE(Saldo!$A$1,4,13)</f>
        <v>43934</v>
      </c>
      <c r="C18" s="60"/>
      <c r="D18" s="61"/>
      <c r="E18" s="60"/>
      <c r="F18" s="61"/>
      <c r="G18" s="68"/>
      <c r="H18" s="107">
        <f t="shared" si="0"/>
        <v>0</v>
      </c>
      <c r="I18" s="112" t="s">
        <v>39</v>
      </c>
      <c r="J18" s="131"/>
    </row>
    <row r="19" spans="1:10" x14ac:dyDescent="0.2">
      <c r="A19" s="98" t="str">
        <f t="shared" si="1"/>
        <v>Di</v>
      </c>
      <c r="B19" s="128">
        <f>DATE(Saldo!$A$1,4,14)</f>
        <v>43935</v>
      </c>
      <c r="C19" s="60"/>
      <c r="D19" s="61"/>
      <c r="E19" s="60"/>
      <c r="F19" s="61"/>
      <c r="G19" s="68"/>
      <c r="H19" s="107">
        <f t="shared" si="0"/>
        <v>0</v>
      </c>
      <c r="I19" s="112"/>
      <c r="J19" s="131"/>
    </row>
    <row r="20" spans="1:10" x14ac:dyDescent="0.2">
      <c r="A20" s="98" t="str">
        <f t="shared" si="1"/>
        <v>Mi</v>
      </c>
      <c r="B20" s="128">
        <f>DATE(Saldo!$A$1,4,15)</f>
        <v>43936</v>
      </c>
      <c r="C20" s="60"/>
      <c r="D20" s="61"/>
      <c r="E20" s="60"/>
      <c r="F20" s="61"/>
      <c r="G20" s="68"/>
      <c r="H20" s="107">
        <f t="shared" si="0"/>
        <v>0</v>
      </c>
      <c r="I20" s="112"/>
      <c r="J20" s="131"/>
    </row>
    <row r="21" spans="1:10" x14ac:dyDescent="0.2">
      <c r="A21" s="98" t="str">
        <f t="shared" si="1"/>
        <v>Do</v>
      </c>
      <c r="B21" s="128">
        <f>DATE(Saldo!$A$1,4,16)</f>
        <v>43937</v>
      </c>
      <c r="C21" s="60"/>
      <c r="D21" s="61"/>
      <c r="E21" s="60"/>
      <c r="F21" s="61"/>
      <c r="G21" s="68"/>
      <c r="H21" s="107">
        <f t="shared" si="0"/>
        <v>0</v>
      </c>
      <c r="I21" s="159"/>
      <c r="J21" s="131"/>
    </row>
    <row r="22" spans="1:10" x14ac:dyDescent="0.2">
      <c r="A22" s="98" t="str">
        <f t="shared" si="1"/>
        <v>Fr</v>
      </c>
      <c r="B22" s="128">
        <f>DATE(Saldo!$A$1,4,17)</f>
        <v>43938</v>
      </c>
      <c r="C22" s="60"/>
      <c r="D22" s="61"/>
      <c r="E22" s="60"/>
      <c r="F22" s="61"/>
      <c r="G22" s="68"/>
      <c r="H22" s="107">
        <f t="shared" si="0"/>
        <v>0</v>
      </c>
      <c r="I22" s="111"/>
      <c r="J22" s="131"/>
    </row>
    <row r="23" spans="1:10" x14ac:dyDescent="0.2">
      <c r="A23" s="98" t="str">
        <f t="shared" si="1"/>
        <v>Sa</v>
      </c>
      <c r="B23" s="128">
        <f>DATE(Saldo!$A$1,4,18)</f>
        <v>43939</v>
      </c>
      <c r="C23" s="60"/>
      <c r="D23" s="61"/>
      <c r="E23" s="60"/>
      <c r="F23" s="61"/>
      <c r="G23" s="68"/>
      <c r="H23" s="107">
        <f t="shared" si="0"/>
        <v>0</v>
      </c>
      <c r="I23" s="159"/>
      <c r="J23" s="121"/>
    </row>
    <row r="24" spans="1:10" x14ac:dyDescent="0.2">
      <c r="A24" s="98" t="str">
        <f t="shared" si="1"/>
        <v>So</v>
      </c>
      <c r="B24" s="128">
        <f>DATE(Saldo!$A$1,4,19)</f>
        <v>43940</v>
      </c>
      <c r="C24" s="60"/>
      <c r="D24" s="61"/>
      <c r="E24" s="60"/>
      <c r="F24" s="61" t="s">
        <v>89</v>
      </c>
      <c r="G24" s="68"/>
      <c r="H24" s="107" t="e">
        <f t="shared" ref="H24:H35" si="3">(D24-C24)+(F24-E24)+G24</f>
        <v>#VALUE!</v>
      </c>
      <c r="I24" s="112"/>
      <c r="J24" s="158"/>
    </row>
    <row r="25" spans="1:10" x14ac:dyDescent="0.2">
      <c r="A25" s="98" t="str">
        <f t="shared" si="1"/>
        <v>Mo</v>
      </c>
      <c r="B25" s="128">
        <f>DATE(Saldo!$A$1,4,20)</f>
        <v>43941</v>
      </c>
      <c r="C25" s="60"/>
      <c r="D25" s="61"/>
      <c r="E25" s="60"/>
      <c r="F25" s="61" t="s">
        <v>90</v>
      </c>
      <c r="G25" s="68"/>
      <c r="H25" s="107" t="e">
        <f t="shared" si="3"/>
        <v>#VALUE!</v>
      </c>
      <c r="I25" s="112" t="s">
        <v>88</v>
      </c>
      <c r="J25" s="131"/>
    </row>
    <row r="26" spans="1:10" x14ac:dyDescent="0.2">
      <c r="A26" s="98" t="str">
        <f t="shared" si="1"/>
        <v>Di</v>
      </c>
      <c r="B26" s="128">
        <f>DATE(Saldo!$A$1,4,21)</f>
        <v>43942</v>
      </c>
      <c r="C26" s="60"/>
      <c r="D26" s="61"/>
      <c r="E26" s="60"/>
      <c r="F26" s="61"/>
      <c r="G26" s="68"/>
      <c r="H26" s="107">
        <f>(D26-C26)+(F26-E26)+G26</f>
        <v>0</v>
      </c>
      <c r="I26" s="111"/>
      <c r="J26" s="131"/>
    </row>
    <row r="27" spans="1:10" x14ac:dyDescent="0.2">
      <c r="A27" s="98" t="str">
        <f t="shared" si="1"/>
        <v>Mi</v>
      </c>
      <c r="B27" s="128">
        <f>DATE(Saldo!$A$1,4,22)</f>
        <v>43943</v>
      </c>
      <c r="C27" s="60"/>
      <c r="D27" s="61"/>
      <c r="E27" s="60"/>
      <c r="F27" s="61"/>
      <c r="G27" s="68"/>
      <c r="H27" s="107">
        <f t="shared" si="3"/>
        <v>0</v>
      </c>
      <c r="I27" s="111"/>
      <c r="J27" s="131"/>
    </row>
    <row r="28" spans="1:10" x14ac:dyDescent="0.2">
      <c r="A28" s="98" t="str">
        <f t="shared" si="1"/>
        <v>Do</v>
      </c>
      <c r="B28" s="128">
        <f>DATE(Saldo!$A$1,4,23)</f>
        <v>43944</v>
      </c>
      <c r="C28" s="60"/>
      <c r="D28" s="61"/>
      <c r="E28" s="60"/>
      <c r="F28" s="61"/>
      <c r="G28" s="68"/>
      <c r="H28" s="107">
        <f t="shared" si="3"/>
        <v>0</v>
      </c>
      <c r="I28" s="111"/>
      <c r="J28" s="131"/>
    </row>
    <row r="29" spans="1:10" x14ac:dyDescent="0.2">
      <c r="A29" s="98" t="str">
        <f t="shared" si="1"/>
        <v>Fr</v>
      </c>
      <c r="B29" s="128">
        <f>DATE(Saldo!$A$1,4,24)</f>
        <v>43945</v>
      </c>
      <c r="C29" s="60"/>
      <c r="D29" s="61"/>
      <c r="E29" s="60"/>
      <c r="F29" s="61"/>
      <c r="G29" s="68"/>
      <c r="H29" s="107">
        <f t="shared" si="3"/>
        <v>0</v>
      </c>
      <c r="I29" s="159"/>
      <c r="J29" s="131"/>
    </row>
    <row r="30" spans="1:10" x14ac:dyDescent="0.2">
      <c r="A30" s="98" t="str">
        <f t="shared" si="1"/>
        <v>Sa</v>
      </c>
      <c r="B30" s="128">
        <f>DATE(Saldo!$A$1,4,25)</f>
        <v>43946</v>
      </c>
      <c r="C30" s="60"/>
      <c r="D30" s="61"/>
      <c r="E30" s="60"/>
      <c r="F30" s="61"/>
      <c r="G30" s="68"/>
      <c r="H30" s="107">
        <f t="shared" si="3"/>
        <v>0</v>
      </c>
      <c r="I30" s="112"/>
      <c r="J30" s="131"/>
    </row>
    <row r="31" spans="1:10" x14ac:dyDescent="0.2">
      <c r="A31" s="98" t="str">
        <f t="shared" si="1"/>
        <v>So</v>
      </c>
      <c r="B31" s="128">
        <f>DATE(Saldo!$A$1,4,26)</f>
        <v>43947</v>
      </c>
      <c r="C31" s="60"/>
      <c r="D31" s="61"/>
      <c r="E31" s="60"/>
      <c r="F31" s="61"/>
      <c r="G31" s="68"/>
      <c r="H31" s="107">
        <f t="shared" si="3"/>
        <v>0</v>
      </c>
      <c r="I31" s="112"/>
      <c r="J31" s="134"/>
    </row>
    <row r="32" spans="1:10" x14ac:dyDescent="0.2">
      <c r="A32" s="98" t="str">
        <f t="shared" si="1"/>
        <v>Mo</v>
      </c>
      <c r="B32" s="128">
        <f>DATE(Saldo!$A$1,4,27)</f>
        <v>43948</v>
      </c>
      <c r="C32" s="60"/>
      <c r="D32" s="61"/>
      <c r="E32" s="60"/>
      <c r="F32" s="61"/>
      <c r="G32" s="68"/>
      <c r="H32" s="107">
        <f t="shared" si="3"/>
        <v>0</v>
      </c>
      <c r="I32" s="112"/>
      <c r="J32" s="131"/>
    </row>
    <row r="33" spans="1:16" x14ac:dyDescent="0.2">
      <c r="A33" s="98" t="str">
        <f t="shared" si="1"/>
        <v>Di</v>
      </c>
      <c r="B33" s="128">
        <f>DATE(Saldo!$A$1,4,28)</f>
        <v>43949</v>
      </c>
      <c r="C33" s="60"/>
      <c r="D33" s="61"/>
      <c r="E33" s="60"/>
      <c r="F33" s="61"/>
      <c r="G33" s="68"/>
      <c r="H33" s="107">
        <f>(D33-C33)+(F33-E33)+G33</f>
        <v>0</v>
      </c>
      <c r="I33" s="111"/>
      <c r="J33" s="131"/>
    </row>
    <row r="34" spans="1:16" x14ac:dyDescent="0.2">
      <c r="A34" s="98" t="str">
        <f t="shared" si="1"/>
        <v>Mi</v>
      </c>
      <c r="B34" s="128">
        <f>DATE(Saldo!$A$1,4,29)</f>
        <v>43950</v>
      </c>
      <c r="C34" s="60"/>
      <c r="D34" s="61"/>
      <c r="E34" s="60"/>
      <c r="F34" s="61"/>
      <c r="G34" s="68"/>
      <c r="H34" s="107">
        <f t="shared" si="3"/>
        <v>0</v>
      </c>
      <c r="I34" s="111"/>
      <c r="J34" s="131"/>
    </row>
    <row r="35" spans="1:16" x14ac:dyDescent="0.2">
      <c r="A35" s="98" t="str">
        <f t="shared" si="1"/>
        <v>Do</v>
      </c>
      <c r="B35" s="128">
        <f>DATE(Saldo!$A$1,4,30)</f>
        <v>43951</v>
      </c>
      <c r="C35" s="60"/>
      <c r="D35" s="61"/>
      <c r="E35" s="60"/>
      <c r="F35" s="61"/>
      <c r="G35" s="63"/>
      <c r="H35" s="107">
        <f t="shared" si="3"/>
        <v>0</v>
      </c>
      <c r="I35" s="112"/>
      <c r="J35" s="131"/>
    </row>
    <row r="36" spans="1:16" x14ac:dyDescent="0.2">
      <c r="A36" s="98"/>
      <c r="B36" s="154"/>
      <c r="C36" s="107"/>
      <c r="D36" s="129"/>
      <c r="E36" s="107"/>
      <c r="F36" s="129"/>
      <c r="G36" s="129"/>
      <c r="H36" s="107"/>
      <c r="I36" s="112"/>
      <c r="J36" s="136"/>
    </row>
    <row r="37" spans="1:16" x14ac:dyDescent="0.2">
      <c r="A37" s="100"/>
      <c r="B37" s="125"/>
      <c r="C37" s="107"/>
      <c r="D37" s="129"/>
      <c r="E37" s="107"/>
      <c r="F37" s="129"/>
      <c r="G37" s="135"/>
      <c r="H37" s="107"/>
      <c r="I37" s="112"/>
      <c r="J37" s="141"/>
    </row>
    <row r="38" spans="1:16" s="142" customFormat="1" ht="18.75" thickBot="1" x14ac:dyDescent="0.3">
      <c r="A38" s="102"/>
      <c r="B38" s="137" t="s">
        <v>10</v>
      </c>
      <c r="C38" s="138"/>
      <c r="D38" s="139"/>
      <c r="E38" s="138"/>
      <c r="F38" s="139"/>
      <c r="G38" s="129"/>
      <c r="H38" s="109" t="e">
        <f>SUM(H6:H37)</f>
        <v>#VALUE!</v>
      </c>
      <c r="I38" s="110"/>
      <c r="J38" s="141"/>
    </row>
    <row r="39" spans="1:16" ht="13.5" thickBot="1" x14ac:dyDescent="0.25">
      <c r="A39" s="100"/>
      <c r="B39" s="143"/>
      <c r="C39" s="106"/>
      <c r="D39" s="97"/>
      <c r="E39" s="144"/>
      <c r="F39" s="97"/>
      <c r="G39" s="145" t="s">
        <v>12</v>
      </c>
      <c r="H39" s="114">
        <f>Monatssaldi!B9</f>
        <v>8.0041666666666664</v>
      </c>
      <c r="I39" s="146" t="s">
        <v>13</v>
      </c>
      <c r="J39" s="141"/>
      <c r="P39" s="87" t="s">
        <v>53</v>
      </c>
    </row>
    <row r="40" spans="1:16" ht="13.5" thickBot="1" x14ac:dyDescent="0.25">
      <c r="A40" s="104"/>
      <c r="B40" s="147"/>
      <c r="C40" s="148"/>
      <c r="D40" s="149"/>
      <c r="E40" s="150"/>
      <c r="F40" s="260" t="s">
        <v>40</v>
      </c>
      <c r="G40" s="261"/>
      <c r="H40" s="117" t="e">
        <f>IF(H38&gt;$H$39,H38-$H$39,"")</f>
        <v>#VALUE!</v>
      </c>
      <c r="I40" s="116" t="e">
        <f>IF(H38&lt;$H$39,$H$39-H38,"")</f>
        <v>#VALUE!</v>
      </c>
      <c r="J40" s="141"/>
    </row>
    <row r="41" spans="1:16" ht="12.75" customHeight="1" x14ac:dyDescent="0.2">
      <c r="B41" s="253" t="s">
        <v>14</v>
      </c>
      <c r="C41" s="254"/>
      <c r="D41" s="254"/>
      <c r="E41" s="254"/>
      <c r="F41" s="254"/>
      <c r="G41" s="254"/>
      <c r="H41" s="254"/>
      <c r="I41" s="255"/>
      <c r="J41" s="141"/>
    </row>
    <row r="42" spans="1:16" x14ac:dyDescent="0.2">
      <c r="B42" s="256"/>
      <c r="C42" s="257"/>
      <c r="D42" s="257"/>
      <c r="E42" s="257"/>
      <c r="F42" s="257"/>
      <c r="G42" s="257"/>
      <c r="H42" s="257"/>
      <c r="I42" s="258"/>
      <c r="J42" s="141"/>
    </row>
    <row r="43" spans="1:16" x14ac:dyDescent="0.2">
      <c r="A43" s="121"/>
      <c r="C43" s="142"/>
      <c r="J43" s="141"/>
    </row>
    <row r="44" spans="1:16" x14ac:dyDescent="0.2">
      <c r="A44" s="121"/>
      <c r="C44" s="142"/>
      <c r="J44" s="141"/>
    </row>
    <row r="45" spans="1:16" x14ac:dyDescent="0.2">
      <c r="A45" s="121"/>
      <c r="C45" s="142"/>
      <c r="J45" s="141"/>
    </row>
    <row r="46" spans="1:16" x14ac:dyDescent="0.2">
      <c r="A46" s="121"/>
      <c r="C46" s="142"/>
      <c r="J46" s="141"/>
    </row>
    <row r="47" spans="1:16" x14ac:dyDescent="0.2">
      <c r="A47" s="121"/>
      <c r="C47" s="142"/>
      <c r="J47" s="141"/>
    </row>
    <row r="48" spans="1:16" x14ac:dyDescent="0.2">
      <c r="A48" s="121"/>
      <c r="C48" s="142"/>
      <c r="J48" s="141"/>
    </row>
    <row r="49" spans="1:10" x14ac:dyDescent="0.2">
      <c r="A49" s="121"/>
      <c r="C49" s="142"/>
      <c r="J49" s="141"/>
    </row>
    <row r="50" spans="1:10" x14ac:dyDescent="0.2">
      <c r="C50" s="142"/>
      <c r="J50" s="141"/>
    </row>
    <row r="51" spans="1:10" x14ac:dyDescent="0.2">
      <c r="C51" s="142"/>
      <c r="J51" s="141"/>
    </row>
    <row r="52" spans="1:10" x14ac:dyDescent="0.2">
      <c r="C52" s="142"/>
      <c r="J52" s="141"/>
    </row>
    <row r="53" spans="1:10" x14ac:dyDescent="0.2">
      <c r="C53" s="142"/>
      <c r="J53" s="141"/>
    </row>
    <row r="54" spans="1:10" x14ac:dyDescent="0.2">
      <c r="C54" s="142"/>
      <c r="J54" s="141"/>
    </row>
    <row r="55" spans="1:10" x14ac:dyDescent="0.2">
      <c r="C55" s="142"/>
      <c r="J55" s="141"/>
    </row>
    <row r="56" spans="1:10" x14ac:dyDescent="0.2">
      <c r="C56" s="142"/>
      <c r="J56" s="141"/>
    </row>
    <row r="57" spans="1:10" x14ac:dyDescent="0.2">
      <c r="J57" s="142"/>
    </row>
    <row r="58" spans="1:10" ht="15" x14ac:dyDescent="0.2">
      <c r="C58" s="151"/>
      <c r="D58" s="142"/>
      <c r="E58" s="142"/>
      <c r="F58" s="142"/>
      <c r="G58" s="142"/>
      <c r="H58" s="142"/>
      <c r="J58" s="141"/>
    </row>
  </sheetData>
  <sheetProtection algorithmName="SHA-512" hashValue="q6/4mQZ+YVAjErl62lZzEMhw8Q1JSqzXlga6nZs+rLUXzisylMd4D+gWp2L4X803wax9oiK8o75jjzyqwjW1/A==" saltValue="eGpehMCvZPPqNY4pOt/iGA==" spinCount="100000" sheet="1" objects="1" scenarios="1" selectLockedCells="1"/>
  <mergeCells count="5">
    <mergeCell ref="B41:I42"/>
    <mergeCell ref="G2:I2"/>
    <mergeCell ref="B3:I3"/>
    <mergeCell ref="F40:G40"/>
    <mergeCell ref="A2:B2"/>
  </mergeCells>
  <phoneticPr fontId="0" type="noConversion"/>
  <conditionalFormatting sqref="A6:I36">
    <cfRule type="expression" dxfId="35" priority="3">
      <formula>$A6 ="So"</formula>
    </cfRule>
    <cfRule type="expression" dxfId="34" priority="4">
      <formula>$A6 = "Sa"</formula>
    </cfRule>
  </conditionalFormatting>
  <conditionalFormatting sqref="A6:I35">
    <cfRule type="expression" dxfId="33" priority="1">
      <formula>AND($I6 &lt;&gt; "",$A6 &lt;&gt; "So",$A6&lt;&gt;"Sa")</formula>
    </cfRule>
    <cfRule type="expression" dxfId="32" priority="2">
      <formula>$I6 &lt;&gt; ""</formula>
    </cfRule>
  </conditionalFormatting>
  <pageMargins left="0.78740157480314965" right="0.39370078740157483" top="0.98425196850393704" bottom="0.98425196850393704" header="0.51181102362204722" footer="0.51181102362204722"/>
  <pageSetup paperSize="9" orientation="portrait" horizontalDpi="4294967292" verticalDpi="300"/>
  <headerFooter alignWithMargins="0">
    <oddHeader>&amp;L&amp;G</oddHeader>
  </headerFooter>
  <legacyDrawingHF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C6" sqref="C6"/>
    </sheetView>
  </sheetViews>
  <sheetFormatPr baseColWidth="10" defaultColWidth="10.83203125" defaultRowHeight="12.75" x14ac:dyDescent="0.2"/>
  <cols>
    <col min="1" max="1" width="5.5" style="87" customWidth="1"/>
    <col min="2" max="2" width="12.83203125" style="87" customWidth="1"/>
    <col min="3" max="6" width="8.83203125" style="87" customWidth="1"/>
    <col min="7" max="7" width="11.83203125" style="87" customWidth="1"/>
    <col min="8" max="8" width="11" style="87" customWidth="1"/>
    <col min="9" max="9" width="28.33203125" style="88" customWidth="1"/>
    <col min="10" max="16384" width="10.83203125" style="87"/>
  </cols>
  <sheetData>
    <row r="1" spans="1:10" ht="15.95" customHeight="1" x14ac:dyDescent="0.2">
      <c r="A1" s="86" t="s">
        <v>54</v>
      </c>
    </row>
    <row r="2" spans="1:10" s="89" customFormat="1" ht="26.1" customHeight="1" x14ac:dyDescent="0.2">
      <c r="A2" s="252" t="s">
        <v>27</v>
      </c>
      <c r="B2" s="252"/>
      <c r="C2" s="89">
        <f>Saldo!A1</f>
        <v>2020</v>
      </c>
      <c r="D2" s="90"/>
      <c r="E2" s="90"/>
      <c r="F2" s="90"/>
      <c r="G2" s="242">
        <f>MA</f>
        <v>0</v>
      </c>
      <c r="H2" s="243"/>
      <c r="I2" s="243"/>
      <c r="J2" s="120"/>
    </row>
    <row r="3" spans="1:10" ht="13.5" thickBot="1" x14ac:dyDescent="0.25">
      <c r="B3" s="250"/>
      <c r="C3" s="251"/>
      <c r="D3" s="251"/>
      <c r="E3" s="251"/>
      <c r="F3" s="251"/>
      <c r="G3" s="251"/>
      <c r="H3" s="251"/>
      <c r="I3" s="251"/>
      <c r="J3" s="121"/>
    </row>
    <row r="4" spans="1:10" s="124" customFormat="1" ht="11.25" x14ac:dyDescent="0.15">
      <c r="A4" s="91"/>
      <c r="B4" s="122" t="s">
        <v>0</v>
      </c>
      <c r="C4" s="93" t="s">
        <v>1</v>
      </c>
      <c r="D4" s="94" t="s">
        <v>2</v>
      </c>
      <c r="E4" s="93" t="s">
        <v>3</v>
      </c>
      <c r="F4" s="94" t="s">
        <v>4</v>
      </c>
      <c r="G4" s="94" t="s">
        <v>5</v>
      </c>
      <c r="H4" s="92" t="s">
        <v>6</v>
      </c>
      <c r="I4" s="95" t="s">
        <v>7</v>
      </c>
      <c r="J4" s="123"/>
    </row>
    <row r="5" spans="1:10" x14ac:dyDescent="0.2">
      <c r="A5" s="100"/>
      <c r="B5" s="125"/>
      <c r="C5" s="126"/>
      <c r="D5" s="101"/>
      <c r="E5" s="126"/>
      <c r="F5" s="101"/>
      <c r="G5" s="101"/>
      <c r="H5" s="127"/>
      <c r="I5" s="112"/>
      <c r="J5" s="121"/>
    </row>
    <row r="6" spans="1:10" x14ac:dyDescent="0.2">
      <c r="A6" s="98" t="str">
        <f>TEXT((WEEKDAY(TEXT(B6,"TT")&amp;"."&amp;$A$2&amp;"."&amp;$C$2)),"TTT")</f>
        <v>Fr</v>
      </c>
      <c r="B6" s="128">
        <f>DATE(Saldo!$A$1,5,1)</f>
        <v>43952</v>
      </c>
      <c r="C6" s="60"/>
      <c r="D6" s="61"/>
      <c r="E6" s="60"/>
      <c r="F6" s="61"/>
      <c r="G6" s="61"/>
      <c r="H6" s="107">
        <f t="shared" ref="H6:H24" si="0">(D6-C6)+(F6-E6)+G6</f>
        <v>0</v>
      </c>
      <c r="I6" s="111" t="s">
        <v>58</v>
      </c>
      <c r="J6" s="121"/>
    </row>
    <row r="7" spans="1:10" x14ac:dyDescent="0.2">
      <c r="A7" s="98" t="str">
        <f t="shared" ref="A7:A36" si="1">TEXT((WEEKDAY(TEXT(B7,"TT")&amp;"."&amp;$A$2&amp;"."&amp;$C$2)),"TTT")</f>
        <v>Sa</v>
      </c>
      <c r="B7" s="128">
        <f>DATE(Saldo!$A$1,5,2)</f>
        <v>43953</v>
      </c>
      <c r="C7" s="60"/>
      <c r="D7" s="61"/>
      <c r="E7" s="60"/>
      <c r="F7" s="61"/>
      <c r="G7" s="68"/>
      <c r="H7" s="107">
        <f t="shared" si="0"/>
        <v>0</v>
      </c>
      <c r="I7" s="111"/>
      <c r="J7" s="121"/>
    </row>
    <row r="8" spans="1:10" x14ac:dyDescent="0.2">
      <c r="A8" s="98" t="str">
        <f t="shared" si="1"/>
        <v>So</v>
      </c>
      <c r="B8" s="128">
        <f>DATE(Saldo!$A$1,5,3)</f>
        <v>43954</v>
      </c>
      <c r="C8" s="60"/>
      <c r="D8" s="61"/>
      <c r="E8" s="60"/>
      <c r="F8" s="61"/>
      <c r="G8" s="68"/>
      <c r="H8" s="107">
        <f t="shared" si="0"/>
        <v>0</v>
      </c>
      <c r="I8" s="112"/>
      <c r="J8" s="121"/>
    </row>
    <row r="9" spans="1:10" x14ac:dyDescent="0.2">
      <c r="A9" s="98" t="str">
        <f t="shared" si="1"/>
        <v>Mo</v>
      </c>
      <c r="B9" s="128">
        <f>DATE(Saldo!$A$1,5,4)</f>
        <v>43955</v>
      </c>
      <c r="C9" s="60"/>
      <c r="D9" s="61"/>
      <c r="E9" s="60"/>
      <c r="F9" s="61"/>
      <c r="G9" s="68"/>
      <c r="H9" s="107">
        <f t="shared" si="0"/>
        <v>0</v>
      </c>
      <c r="I9" s="112"/>
      <c r="J9" s="131"/>
    </row>
    <row r="10" spans="1:10" x14ac:dyDescent="0.2">
      <c r="A10" s="98" t="str">
        <f t="shared" si="1"/>
        <v>Di</v>
      </c>
      <c r="B10" s="128">
        <f>DATE(Saldo!$A$1,5,5)</f>
        <v>43956</v>
      </c>
      <c r="C10" s="60"/>
      <c r="D10" s="61"/>
      <c r="E10" s="60"/>
      <c r="F10" s="61"/>
      <c r="G10" s="76"/>
      <c r="H10" s="107">
        <f>(D10-C10)+(F10-E10)+G10</f>
        <v>0</v>
      </c>
      <c r="I10" s="112"/>
      <c r="J10" s="131"/>
    </row>
    <row r="11" spans="1:10" x14ac:dyDescent="0.2">
      <c r="A11" s="98" t="str">
        <f t="shared" si="1"/>
        <v>Mi</v>
      </c>
      <c r="B11" s="128">
        <f>DATE(Saldo!$A$1,5,6)</f>
        <v>43957</v>
      </c>
      <c r="C11" s="60"/>
      <c r="D11" s="61"/>
      <c r="E11" s="60"/>
      <c r="F11" s="61"/>
      <c r="G11" s="76"/>
      <c r="H11" s="107">
        <f t="shared" si="0"/>
        <v>0</v>
      </c>
      <c r="I11" s="112"/>
      <c r="J11" s="131"/>
    </row>
    <row r="12" spans="1:10" x14ac:dyDescent="0.2">
      <c r="A12" s="98" t="str">
        <f t="shared" si="1"/>
        <v>Do</v>
      </c>
      <c r="B12" s="128">
        <f>DATE(Saldo!$A$1,5,7)</f>
        <v>43958</v>
      </c>
      <c r="C12" s="60"/>
      <c r="D12" s="61"/>
      <c r="E12" s="60"/>
      <c r="F12" s="61"/>
      <c r="G12" s="76"/>
      <c r="H12" s="107">
        <f t="shared" si="0"/>
        <v>0</v>
      </c>
      <c r="I12" s="112"/>
      <c r="J12" s="131"/>
    </row>
    <row r="13" spans="1:10" x14ac:dyDescent="0.2">
      <c r="A13" s="98" t="str">
        <f t="shared" si="1"/>
        <v>Fr</v>
      </c>
      <c r="B13" s="128">
        <f>DATE(Saldo!$A$1,5,8)</f>
        <v>43959</v>
      </c>
      <c r="C13" s="60"/>
      <c r="D13" s="61"/>
      <c r="E13" s="60"/>
      <c r="F13" s="61"/>
      <c r="G13" s="76"/>
      <c r="H13" s="107">
        <f t="shared" si="0"/>
        <v>0</v>
      </c>
      <c r="I13" s="112"/>
      <c r="J13" s="131"/>
    </row>
    <row r="14" spans="1:10" x14ac:dyDescent="0.2">
      <c r="A14" s="98" t="str">
        <f t="shared" si="1"/>
        <v>Sa</v>
      </c>
      <c r="B14" s="128">
        <f>DATE(Saldo!$A$1,5,9)</f>
        <v>43960</v>
      </c>
      <c r="C14" s="60"/>
      <c r="D14" s="61"/>
      <c r="E14" s="60"/>
      <c r="F14" s="61"/>
      <c r="G14" s="68"/>
      <c r="H14" s="107">
        <f t="shared" si="0"/>
        <v>0</v>
      </c>
      <c r="I14" s="157"/>
      <c r="J14" s="121"/>
    </row>
    <row r="15" spans="1:10" x14ac:dyDescent="0.2">
      <c r="A15" s="98" t="str">
        <f t="shared" si="1"/>
        <v>So</v>
      </c>
      <c r="B15" s="128">
        <f>DATE(Saldo!$A$1,5,10)</f>
        <v>43961</v>
      </c>
      <c r="C15" s="60"/>
      <c r="D15" s="61"/>
      <c r="E15" s="60"/>
      <c r="F15" s="61"/>
      <c r="G15" s="68"/>
      <c r="H15" s="107">
        <f t="shared" si="0"/>
        <v>0</v>
      </c>
      <c r="I15" s="112"/>
      <c r="J15" s="121"/>
    </row>
    <row r="16" spans="1:10" x14ac:dyDescent="0.2">
      <c r="A16" s="98" t="str">
        <f t="shared" si="1"/>
        <v>Mo</v>
      </c>
      <c r="B16" s="128">
        <f>DATE(Saldo!$A$1,5,11)</f>
        <v>43962</v>
      </c>
      <c r="C16" s="60"/>
      <c r="D16" s="61"/>
      <c r="E16" s="60"/>
      <c r="F16" s="61"/>
      <c r="G16" s="68"/>
      <c r="H16" s="107">
        <f t="shared" si="0"/>
        <v>0</v>
      </c>
      <c r="I16" s="112"/>
      <c r="J16" s="131"/>
    </row>
    <row r="17" spans="1:10" x14ac:dyDescent="0.2">
      <c r="A17" s="98" t="str">
        <f t="shared" si="1"/>
        <v>Di</v>
      </c>
      <c r="B17" s="128">
        <f>DATE(Saldo!$A$1,5,12)</f>
        <v>43963</v>
      </c>
      <c r="C17" s="60"/>
      <c r="D17" s="61"/>
      <c r="E17" s="60"/>
      <c r="F17" s="61"/>
      <c r="G17" s="68"/>
      <c r="H17" s="107">
        <f>(D17-C17)+(F17-E17)+G17</f>
        <v>0</v>
      </c>
      <c r="I17" s="112"/>
      <c r="J17" s="131"/>
    </row>
    <row r="18" spans="1:10" x14ac:dyDescent="0.2">
      <c r="A18" s="98" t="str">
        <f t="shared" si="1"/>
        <v>Mi</v>
      </c>
      <c r="B18" s="128">
        <f>DATE(Saldo!$A$1,5,13)</f>
        <v>43964</v>
      </c>
      <c r="C18" s="60"/>
      <c r="D18" s="61"/>
      <c r="E18" s="60"/>
      <c r="F18" s="61"/>
      <c r="G18" s="68"/>
      <c r="H18" s="107">
        <f t="shared" si="0"/>
        <v>0</v>
      </c>
      <c r="I18" s="112"/>
      <c r="J18" s="131"/>
    </row>
    <row r="19" spans="1:10" x14ac:dyDescent="0.2">
      <c r="A19" s="98" t="str">
        <f t="shared" si="1"/>
        <v>Do</v>
      </c>
      <c r="B19" s="128">
        <f>DATE(Saldo!$A$1,5,14)</f>
        <v>43965</v>
      </c>
      <c r="C19" s="60"/>
      <c r="D19" s="61"/>
      <c r="E19" s="60"/>
      <c r="F19" s="61"/>
      <c r="G19" s="68"/>
      <c r="H19" s="107">
        <f t="shared" si="0"/>
        <v>0</v>
      </c>
      <c r="I19" s="112"/>
      <c r="J19" s="131"/>
    </row>
    <row r="20" spans="1:10" x14ac:dyDescent="0.2">
      <c r="A20" s="98" t="str">
        <f t="shared" si="1"/>
        <v>Fr</v>
      </c>
      <c r="B20" s="128">
        <f>DATE(Saldo!$A$1,5,15)</f>
        <v>43966</v>
      </c>
      <c r="C20" s="60"/>
      <c r="D20" s="61"/>
      <c r="E20" s="60"/>
      <c r="F20" s="61"/>
      <c r="G20" s="68"/>
      <c r="H20" s="107">
        <f t="shared" si="0"/>
        <v>0</v>
      </c>
      <c r="I20" s="112"/>
      <c r="J20" s="131"/>
    </row>
    <row r="21" spans="1:10" x14ac:dyDescent="0.2">
      <c r="A21" s="98" t="str">
        <f t="shared" si="1"/>
        <v>Sa</v>
      </c>
      <c r="B21" s="128">
        <f>DATE(Saldo!$A$1,5,16)</f>
        <v>43967</v>
      </c>
      <c r="C21" s="60"/>
      <c r="D21" s="61"/>
      <c r="E21" s="60"/>
      <c r="F21" s="61"/>
      <c r="G21" s="68"/>
      <c r="H21" s="107">
        <f t="shared" si="0"/>
        <v>0</v>
      </c>
      <c r="I21" s="112"/>
      <c r="J21" s="121"/>
    </row>
    <row r="22" spans="1:10" x14ac:dyDescent="0.2">
      <c r="A22" s="98" t="str">
        <f t="shared" si="1"/>
        <v>So</v>
      </c>
      <c r="B22" s="128">
        <f>DATE(Saldo!$A$1,5,17)</f>
        <v>43968</v>
      </c>
      <c r="C22" s="60"/>
      <c r="D22" s="61"/>
      <c r="E22" s="60"/>
      <c r="F22" s="61"/>
      <c r="G22" s="68"/>
      <c r="H22" s="107">
        <f t="shared" si="0"/>
        <v>0</v>
      </c>
      <c r="I22" s="112"/>
      <c r="J22" s="120"/>
    </row>
    <row r="23" spans="1:10" x14ac:dyDescent="0.2">
      <c r="A23" s="98" t="str">
        <f t="shared" si="1"/>
        <v>Mo</v>
      </c>
      <c r="B23" s="128">
        <f>DATE(Saldo!$A$1,5,18)</f>
        <v>43969</v>
      </c>
      <c r="C23" s="60"/>
      <c r="D23" s="61"/>
      <c r="E23" s="60"/>
      <c r="F23" s="61"/>
      <c r="G23" s="68"/>
      <c r="H23" s="107">
        <f t="shared" si="0"/>
        <v>0</v>
      </c>
      <c r="I23" s="112"/>
      <c r="J23" s="131"/>
    </row>
    <row r="24" spans="1:10" x14ac:dyDescent="0.2">
      <c r="A24" s="98" t="str">
        <f t="shared" si="1"/>
        <v>Di</v>
      </c>
      <c r="B24" s="128">
        <f>DATE(Saldo!$A$1,5,19)</f>
        <v>43970</v>
      </c>
      <c r="C24" s="60"/>
      <c r="D24" s="61"/>
      <c r="E24" s="60"/>
      <c r="F24" s="61"/>
      <c r="G24" s="68"/>
      <c r="H24" s="107">
        <f t="shared" si="0"/>
        <v>0</v>
      </c>
      <c r="I24" s="112"/>
      <c r="J24" s="131"/>
    </row>
    <row r="25" spans="1:10" x14ac:dyDescent="0.2">
      <c r="A25" s="98" t="str">
        <f t="shared" si="1"/>
        <v>Mi</v>
      </c>
      <c r="B25" s="128">
        <f>DATE(Saldo!$A$1,5,20)</f>
        <v>43971</v>
      </c>
      <c r="C25" s="60"/>
      <c r="D25" s="61"/>
      <c r="E25" s="60"/>
      <c r="F25" s="61"/>
      <c r="G25" s="68"/>
      <c r="H25" s="107">
        <f t="shared" ref="H25:H36" si="2">(D25-C25)+(F25-E25)+G25</f>
        <v>0</v>
      </c>
      <c r="I25" s="112" t="s">
        <v>77</v>
      </c>
      <c r="J25" s="131"/>
    </row>
    <row r="26" spans="1:10" x14ac:dyDescent="0.2">
      <c r="A26" s="98" t="str">
        <f t="shared" si="1"/>
        <v>Do</v>
      </c>
      <c r="B26" s="128">
        <f>DATE(Saldo!$A$1,5,21)</f>
        <v>43972</v>
      </c>
      <c r="C26" s="60"/>
      <c r="D26" s="61"/>
      <c r="E26" s="62"/>
      <c r="F26" s="61"/>
      <c r="G26" s="68"/>
      <c r="H26" s="107">
        <f t="shared" si="2"/>
        <v>0</v>
      </c>
      <c r="I26" s="112" t="s">
        <v>55</v>
      </c>
      <c r="J26" s="131"/>
    </row>
    <row r="27" spans="1:10" x14ac:dyDescent="0.2">
      <c r="A27" s="98" t="str">
        <f t="shared" si="1"/>
        <v>Fr</v>
      </c>
      <c r="B27" s="128">
        <f>DATE(Saldo!$A$1,5,22)</f>
        <v>43973</v>
      </c>
      <c r="C27" s="60"/>
      <c r="D27" s="61"/>
      <c r="E27" s="60"/>
      <c r="F27" s="61"/>
      <c r="G27" s="68"/>
      <c r="H27" s="107">
        <f t="shared" si="2"/>
        <v>0</v>
      </c>
      <c r="I27" s="112"/>
      <c r="J27" s="131"/>
    </row>
    <row r="28" spans="1:10" x14ac:dyDescent="0.2">
      <c r="A28" s="98" t="str">
        <f t="shared" si="1"/>
        <v>Sa</v>
      </c>
      <c r="B28" s="128">
        <f>DATE(Saldo!$A$1,5,23)</f>
        <v>43974</v>
      </c>
      <c r="C28" s="60"/>
      <c r="D28" s="61"/>
      <c r="E28" s="60"/>
      <c r="F28" s="61"/>
      <c r="G28" s="68"/>
      <c r="H28" s="107">
        <f t="shared" si="2"/>
        <v>0</v>
      </c>
      <c r="I28" s="112"/>
      <c r="J28" s="134"/>
    </row>
    <row r="29" spans="1:10" x14ac:dyDescent="0.2">
      <c r="A29" s="98" t="str">
        <f t="shared" si="1"/>
        <v>So</v>
      </c>
      <c r="B29" s="128">
        <f>DATE(Saldo!$A$1,5,24)</f>
        <v>43975</v>
      </c>
      <c r="C29" s="60"/>
      <c r="D29" s="61"/>
      <c r="E29" s="60"/>
      <c r="F29" s="61"/>
      <c r="G29" s="68"/>
      <c r="H29" s="107">
        <f t="shared" si="2"/>
        <v>0</v>
      </c>
      <c r="I29" s="157"/>
      <c r="J29" s="134"/>
    </row>
    <row r="30" spans="1:10" x14ac:dyDescent="0.2">
      <c r="A30" s="98" t="str">
        <f t="shared" si="1"/>
        <v>Mo</v>
      </c>
      <c r="B30" s="128">
        <f>DATE(Saldo!$A$1,5,25)</f>
        <v>43976</v>
      </c>
      <c r="C30" s="60"/>
      <c r="D30" s="61"/>
      <c r="E30" s="60"/>
      <c r="F30" s="61"/>
      <c r="G30" s="68"/>
      <c r="H30" s="107">
        <f t="shared" si="2"/>
        <v>0</v>
      </c>
      <c r="I30" s="112"/>
      <c r="J30" s="131"/>
    </row>
    <row r="31" spans="1:10" x14ac:dyDescent="0.2">
      <c r="A31" s="98" t="str">
        <f t="shared" si="1"/>
        <v>Di</v>
      </c>
      <c r="B31" s="128">
        <f>DATE(Saldo!$A$1,5,26)</f>
        <v>43977</v>
      </c>
      <c r="C31" s="60"/>
      <c r="D31" s="61"/>
      <c r="E31" s="60"/>
      <c r="F31" s="61"/>
      <c r="G31" s="68"/>
      <c r="H31" s="107">
        <f>(D31-C31)+(F31-E31)+G31</f>
        <v>0</v>
      </c>
      <c r="I31" s="112"/>
      <c r="J31" s="131"/>
    </row>
    <row r="32" spans="1:10" x14ac:dyDescent="0.2">
      <c r="A32" s="98" t="str">
        <f t="shared" si="1"/>
        <v>Mi</v>
      </c>
      <c r="B32" s="128">
        <f>DATE(Saldo!$A$1,5,27)</f>
        <v>43978</v>
      </c>
      <c r="C32" s="60"/>
      <c r="D32" s="61"/>
      <c r="E32" s="60"/>
      <c r="F32" s="61"/>
      <c r="G32" s="68"/>
      <c r="H32" s="107">
        <f t="shared" si="2"/>
        <v>0</v>
      </c>
      <c r="I32" s="112"/>
      <c r="J32" s="131"/>
    </row>
    <row r="33" spans="1:10" x14ac:dyDescent="0.2">
      <c r="A33" s="98" t="str">
        <f t="shared" si="1"/>
        <v>Do</v>
      </c>
      <c r="B33" s="128">
        <f>DATE(Saldo!$A$1,5,28)</f>
        <v>43979</v>
      </c>
      <c r="C33" s="60"/>
      <c r="D33" s="61"/>
      <c r="E33" s="60"/>
      <c r="F33" s="61"/>
      <c r="G33" s="68"/>
      <c r="H33" s="107">
        <f>(D33-C33)+(F33-E33)+G33</f>
        <v>0</v>
      </c>
      <c r="I33" s="112"/>
      <c r="J33" s="131"/>
    </row>
    <row r="34" spans="1:10" x14ac:dyDescent="0.2">
      <c r="A34" s="98" t="str">
        <f t="shared" si="1"/>
        <v>Fr</v>
      </c>
      <c r="B34" s="128">
        <f>DATE(Saldo!$A$1,5,29)</f>
        <v>43980</v>
      </c>
      <c r="C34" s="60"/>
      <c r="D34" s="61"/>
      <c r="E34" s="60"/>
      <c r="F34" s="61"/>
      <c r="G34" s="68"/>
      <c r="H34" s="107">
        <f t="shared" si="2"/>
        <v>0</v>
      </c>
      <c r="I34" s="157"/>
      <c r="J34" s="131"/>
    </row>
    <row r="35" spans="1:10" x14ac:dyDescent="0.2">
      <c r="A35" s="98" t="str">
        <f t="shared" si="1"/>
        <v>Sa</v>
      </c>
      <c r="B35" s="128">
        <f>DATE(Saldo!$A$1,5,30)</f>
        <v>43981</v>
      </c>
      <c r="C35" s="60"/>
      <c r="D35" s="61"/>
      <c r="E35" s="60"/>
      <c r="F35" s="61"/>
      <c r="G35" s="68"/>
      <c r="H35" s="107">
        <f t="shared" si="2"/>
        <v>0</v>
      </c>
      <c r="I35" s="112"/>
      <c r="J35" s="153"/>
    </row>
    <row r="36" spans="1:10" x14ac:dyDescent="0.2">
      <c r="A36" s="98" t="str">
        <f t="shared" si="1"/>
        <v>So</v>
      </c>
      <c r="B36" s="128">
        <f>DATE(Saldo!$A$1,5,31)</f>
        <v>43982</v>
      </c>
      <c r="C36" s="60"/>
      <c r="D36" s="61"/>
      <c r="E36" s="60"/>
      <c r="F36" s="61"/>
      <c r="G36" s="68"/>
      <c r="H36" s="107">
        <f t="shared" si="2"/>
        <v>0</v>
      </c>
      <c r="I36" s="112"/>
      <c r="J36" s="134"/>
    </row>
    <row r="37" spans="1:10" x14ac:dyDescent="0.2">
      <c r="A37" s="100"/>
      <c r="B37" s="125"/>
      <c r="C37" s="107"/>
      <c r="D37" s="129"/>
      <c r="E37" s="107"/>
      <c r="F37" s="129"/>
      <c r="G37" s="135"/>
      <c r="H37" s="107"/>
      <c r="I37" s="112"/>
      <c r="J37" s="134"/>
    </row>
    <row r="38" spans="1:10" s="142" customFormat="1" ht="18.75" thickBot="1" x14ac:dyDescent="0.3">
      <c r="A38" s="102"/>
      <c r="B38" s="160" t="s">
        <v>10</v>
      </c>
      <c r="C38" s="107"/>
      <c r="D38" s="129"/>
      <c r="E38" s="107"/>
      <c r="F38" s="129"/>
      <c r="G38" s="161" t="s">
        <v>11</v>
      </c>
      <c r="H38" s="162">
        <f>SUM(H6:H37)</f>
        <v>0</v>
      </c>
      <c r="I38" s="112"/>
      <c r="J38" s="134"/>
    </row>
    <row r="39" spans="1:10" ht="13.5" thickBot="1" x14ac:dyDescent="0.25">
      <c r="A39" s="100"/>
      <c r="B39" s="143"/>
      <c r="C39" s="106"/>
      <c r="D39" s="97"/>
      <c r="E39" s="144"/>
      <c r="F39" s="97"/>
      <c r="G39" s="145" t="s">
        <v>12</v>
      </c>
      <c r="H39" s="114">
        <f>Monatssaldi!B10</f>
        <v>7.7958333333333334</v>
      </c>
      <c r="I39" s="146" t="s">
        <v>13</v>
      </c>
      <c r="J39" s="141"/>
    </row>
    <row r="40" spans="1:10" ht="13.5" thickBot="1" x14ac:dyDescent="0.25">
      <c r="A40" s="104"/>
      <c r="B40" s="147"/>
      <c r="C40" s="148"/>
      <c r="D40" s="149"/>
      <c r="E40" s="150"/>
      <c r="F40" s="260" t="s">
        <v>40</v>
      </c>
      <c r="G40" s="261"/>
      <c r="H40" s="117" t="str">
        <f>IF(H38&gt;$H$39,H38-$H$39,"")</f>
        <v/>
      </c>
      <c r="I40" s="116">
        <f>IF(H38&lt;$H$39,$H$39-H38,"")</f>
        <v>7.7958333333333334</v>
      </c>
      <c r="J40" s="141"/>
    </row>
    <row r="41" spans="1:10" ht="12.75" customHeight="1" x14ac:dyDescent="0.2">
      <c r="B41" s="253" t="s">
        <v>14</v>
      </c>
      <c r="C41" s="254"/>
      <c r="D41" s="254"/>
      <c r="E41" s="254"/>
      <c r="F41" s="254"/>
      <c r="G41" s="254"/>
      <c r="H41" s="254"/>
      <c r="I41" s="255"/>
      <c r="J41" s="141"/>
    </row>
    <row r="42" spans="1:10" x14ac:dyDescent="0.2">
      <c r="B42" s="256"/>
      <c r="C42" s="257"/>
      <c r="D42" s="257"/>
      <c r="E42" s="257"/>
      <c r="F42" s="257"/>
      <c r="G42" s="257"/>
      <c r="H42" s="257"/>
      <c r="I42" s="258"/>
      <c r="J42" s="141"/>
    </row>
    <row r="43" spans="1:10" x14ac:dyDescent="0.2">
      <c r="A43" s="121"/>
      <c r="C43" s="142"/>
      <c r="J43" s="141"/>
    </row>
    <row r="44" spans="1:10" x14ac:dyDescent="0.2">
      <c r="A44" s="121"/>
      <c r="C44" s="142"/>
      <c r="J44" s="141"/>
    </row>
    <row r="45" spans="1:10" x14ac:dyDescent="0.2">
      <c r="A45" s="121"/>
      <c r="C45" s="142"/>
      <c r="J45" s="141"/>
    </row>
    <row r="46" spans="1:10" x14ac:dyDescent="0.2">
      <c r="A46" s="121"/>
      <c r="C46" s="142"/>
      <c r="J46" s="141"/>
    </row>
    <row r="47" spans="1:10" x14ac:dyDescent="0.2">
      <c r="A47" s="121"/>
      <c r="C47" s="142"/>
      <c r="J47" s="141"/>
    </row>
    <row r="48" spans="1:10" x14ac:dyDescent="0.2">
      <c r="A48" s="121"/>
      <c r="C48" s="142"/>
      <c r="J48" s="141"/>
    </row>
    <row r="49" spans="1:10" x14ac:dyDescent="0.2">
      <c r="A49" s="121"/>
      <c r="C49" s="142"/>
      <c r="J49" s="141"/>
    </row>
    <row r="50" spans="1:10" x14ac:dyDescent="0.2">
      <c r="C50" s="142"/>
      <c r="J50" s="141"/>
    </row>
    <row r="51" spans="1:10" x14ac:dyDescent="0.2">
      <c r="C51" s="142"/>
      <c r="J51" s="141"/>
    </row>
    <row r="52" spans="1:10" x14ac:dyDescent="0.2">
      <c r="C52" s="142"/>
      <c r="J52" s="141"/>
    </row>
    <row r="53" spans="1:10" x14ac:dyDescent="0.2">
      <c r="C53" s="142"/>
      <c r="J53" s="141"/>
    </row>
    <row r="54" spans="1:10" x14ac:dyDescent="0.2">
      <c r="C54" s="142"/>
      <c r="J54" s="141"/>
    </row>
    <row r="55" spans="1:10" x14ac:dyDescent="0.2">
      <c r="C55" s="142"/>
      <c r="J55" s="141"/>
    </row>
    <row r="56" spans="1:10" x14ac:dyDescent="0.2">
      <c r="C56" s="142"/>
      <c r="J56" s="141"/>
    </row>
    <row r="57" spans="1:10" x14ac:dyDescent="0.2">
      <c r="J57" s="142"/>
    </row>
    <row r="58" spans="1:10" ht="15" x14ac:dyDescent="0.2">
      <c r="C58" s="151"/>
      <c r="D58" s="142"/>
      <c r="E58" s="142"/>
      <c r="F58" s="142"/>
      <c r="G58" s="142"/>
      <c r="H58" s="142"/>
      <c r="J58" s="141"/>
    </row>
  </sheetData>
  <sheetProtection algorithmName="SHA-512" hashValue="/wwjges8DOqmvPPZagRYE7jcP3CkGSF59VJEBC6XWooAUf5Gpq2D9WLG9rSWCseSIA2hpYyvtqrPskQhLb5+9g==" saltValue="7d91oEg2jorPTWe4BX8Fyg==" spinCount="100000" sheet="1" objects="1" scenarios="1" selectLockedCells="1"/>
  <mergeCells count="5">
    <mergeCell ref="B41:I42"/>
    <mergeCell ref="G2:I2"/>
    <mergeCell ref="B3:I3"/>
    <mergeCell ref="F40:G40"/>
    <mergeCell ref="A2:B2"/>
  </mergeCells>
  <phoneticPr fontId="0" type="noConversion"/>
  <conditionalFormatting sqref="A6:I36">
    <cfRule type="expression" dxfId="31" priority="1">
      <formula>AND($I6 &lt;&gt; "",$A6 &lt;&gt; "So",$A6&lt;&gt;"Sa")</formula>
    </cfRule>
    <cfRule type="expression" dxfId="30" priority="2">
      <formula>$I6 &lt;&gt; ""</formula>
    </cfRule>
    <cfRule type="expression" dxfId="29" priority="3">
      <formula>$A6 ="So"</formula>
    </cfRule>
    <cfRule type="expression" dxfId="28" priority="4">
      <formula>$A6 = "Sa"</formula>
    </cfRule>
  </conditionalFormatting>
  <pageMargins left="0.78740157480314965" right="0.39370078740157483" top="0.98425196850393704" bottom="0.98425196850393704" header="0.51181102362204722" footer="0.51181102362204722"/>
  <pageSetup paperSize="9" orientation="portrait" horizontalDpi="4294967292" verticalDpi="300"/>
  <headerFooter alignWithMargins="0">
    <oddHeader>&amp;L&amp;G</oddHeader>
  </headerFooter>
  <legacyDrawingHF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C6" sqref="C6"/>
    </sheetView>
  </sheetViews>
  <sheetFormatPr baseColWidth="10" defaultColWidth="10.83203125" defaultRowHeight="12.75" x14ac:dyDescent="0.2"/>
  <cols>
    <col min="1" max="1" width="8.5" style="87" customWidth="1"/>
    <col min="2" max="2" width="10.1640625" style="87" customWidth="1"/>
    <col min="3" max="6" width="8.83203125" style="87" customWidth="1"/>
    <col min="7" max="7" width="11.83203125" style="87" customWidth="1"/>
    <col min="8" max="8" width="11" style="87" customWidth="1"/>
    <col min="9" max="9" width="22.5" style="88" customWidth="1"/>
    <col min="10" max="16384" width="10.83203125" style="87"/>
  </cols>
  <sheetData>
    <row r="1" spans="1:10" ht="15.95" customHeight="1" x14ac:dyDescent="0.2">
      <c r="A1" s="86" t="s">
        <v>54</v>
      </c>
      <c r="B1" s="86"/>
    </row>
    <row r="2" spans="1:10" s="89" customFormat="1" ht="26.1" customHeight="1" x14ac:dyDescent="0.2">
      <c r="A2" s="252" t="s">
        <v>28</v>
      </c>
      <c r="B2" s="252"/>
      <c r="C2" s="89">
        <f>Saldo!A1</f>
        <v>2020</v>
      </c>
      <c r="D2" s="90"/>
      <c r="E2" s="90"/>
      <c r="F2" s="90"/>
      <c r="G2" s="242">
        <f>MA</f>
        <v>0</v>
      </c>
      <c r="H2" s="243"/>
      <c r="I2" s="243"/>
      <c r="J2" s="120"/>
    </row>
    <row r="3" spans="1:10" ht="13.5" thickBot="1" x14ac:dyDescent="0.25">
      <c r="B3" s="250"/>
      <c r="C3" s="251"/>
      <c r="D3" s="251"/>
      <c r="E3" s="251"/>
      <c r="F3" s="251"/>
      <c r="G3" s="251"/>
      <c r="H3" s="251"/>
      <c r="I3" s="251"/>
      <c r="J3" s="121"/>
    </row>
    <row r="4" spans="1:10" s="124" customFormat="1" ht="11.25" x14ac:dyDescent="0.15">
      <c r="A4" s="91"/>
      <c r="B4" s="122" t="s">
        <v>0</v>
      </c>
      <c r="C4" s="93" t="s">
        <v>1</v>
      </c>
      <c r="D4" s="94" t="s">
        <v>2</v>
      </c>
      <c r="E4" s="93" t="s">
        <v>3</v>
      </c>
      <c r="F4" s="94" t="s">
        <v>4</v>
      </c>
      <c r="G4" s="94" t="s">
        <v>5</v>
      </c>
      <c r="H4" s="92" t="s">
        <v>6</v>
      </c>
      <c r="I4" s="95" t="s">
        <v>7</v>
      </c>
      <c r="J4" s="123"/>
    </row>
    <row r="5" spans="1:10" x14ac:dyDescent="0.2">
      <c r="A5" s="100"/>
      <c r="B5" s="125"/>
      <c r="C5" s="126"/>
      <c r="D5" s="101"/>
      <c r="E5" s="126"/>
      <c r="F5" s="101"/>
      <c r="G5" s="101"/>
      <c r="H5" s="127"/>
      <c r="I5" s="112"/>
      <c r="J5" s="121"/>
    </row>
    <row r="6" spans="1:10" x14ac:dyDescent="0.2">
      <c r="A6" s="98" t="str">
        <f>TEXT((WEEKDAY(TEXT(B6,"TT")&amp;"."&amp;$A$2&amp;"."&amp;$C$2)),"TTT")</f>
        <v>Mo</v>
      </c>
      <c r="B6" s="128">
        <f>DATE(Saldo!$A$1,6,1)</f>
        <v>43983</v>
      </c>
      <c r="C6" s="60"/>
      <c r="D6" s="61"/>
      <c r="E6" s="60"/>
      <c r="F6" s="61"/>
      <c r="G6" s="69"/>
      <c r="H6" s="107">
        <f t="shared" ref="H6:H13" si="0">(D6-C6)+(F6-E6)+G6</f>
        <v>0</v>
      </c>
      <c r="I6" s="111" t="s">
        <v>78</v>
      </c>
      <c r="J6" s="131"/>
    </row>
    <row r="7" spans="1:10" x14ac:dyDescent="0.2">
      <c r="A7" s="98" t="str">
        <f t="shared" ref="A7:A35" si="1">TEXT((WEEKDAY(TEXT(B7,"TT")&amp;"."&amp;$A$2&amp;"."&amp;$C$2)),"TTT")</f>
        <v>Di</v>
      </c>
      <c r="B7" s="128">
        <f>DATE(Saldo!$A$1,6,2)</f>
        <v>43984</v>
      </c>
      <c r="C7" s="60"/>
      <c r="D7" s="61"/>
      <c r="E7" s="60"/>
      <c r="F7" s="61"/>
      <c r="G7" s="69"/>
      <c r="H7" s="107">
        <f>(D7-C7)+(F7-E7)+G7</f>
        <v>0</v>
      </c>
      <c r="I7" s="112"/>
      <c r="J7" s="131"/>
    </row>
    <row r="8" spans="1:10" x14ac:dyDescent="0.2">
      <c r="A8" s="98" t="str">
        <f t="shared" si="1"/>
        <v>Mi</v>
      </c>
      <c r="B8" s="128">
        <f>DATE(Saldo!$A$1,6,3)</f>
        <v>43985</v>
      </c>
      <c r="C8" s="60"/>
      <c r="D8" s="61"/>
      <c r="E8" s="60"/>
      <c r="F8" s="61"/>
      <c r="G8" s="69"/>
      <c r="H8" s="107">
        <f t="shared" si="0"/>
        <v>0</v>
      </c>
      <c r="I8" s="112"/>
      <c r="J8" s="131"/>
    </row>
    <row r="9" spans="1:10" x14ac:dyDescent="0.2">
      <c r="A9" s="98" t="str">
        <f t="shared" si="1"/>
        <v>Do</v>
      </c>
      <c r="B9" s="128">
        <f>DATE(Saldo!$A$1,6,4)</f>
        <v>43986</v>
      </c>
      <c r="C9" s="60"/>
      <c r="D9" s="61"/>
      <c r="E9" s="60"/>
      <c r="F9" s="61"/>
      <c r="G9" s="69"/>
      <c r="H9" s="107">
        <f t="shared" si="0"/>
        <v>0</v>
      </c>
      <c r="I9" s="112"/>
      <c r="J9" s="131"/>
    </row>
    <row r="10" spans="1:10" x14ac:dyDescent="0.2">
      <c r="A10" s="98" t="str">
        <f t="shared" si="1"/>
        <v>Fr</v>
      </c>
      <c r="B10" s="128">
        <f>DATE(Saldo!$A$1,6,5)</f>
        <v>43987</v>
      </c>
      <c r="C10" s="60"/>
      <c r="D10" s="61"/>
      <c r="E10" s="60"/>
      <c r="F10" s="61"/>
      <c r="G10" s="69"/>
      <c r="H10" s="107">
        <f t="shared" si="0"/>
        <v>0</v>
      </c>
      <c r="I10" s="112"/>
      <c r="J10" s="131"/>
    </row>
    <row r="11" spans="1:10" x14ac:dyDescent="0.2">
      <c r="A11" s="98" t="str">
        <f t="shared" si="1"/>
        <v>Sa</v>
      </c>
      <c r="B11" s="128">
        <f>DATE(Saldo!$A$1,6,6)</f>
        <v>43988</v>
      </c>
      <c r="C11" s="60"/>
      <c r="D11" s="61"/>
      <c r="E11" s="60"/>
      <c r="F11" s="61"/>
      <c r="G11" s="69"/>
      <c r="H11" s="107">
        <f t="shared" si="0"/>
        <v>0</v>
      </c>
      <c r="I11" s="112"/>
      <c r="J11" s="121"/>
    </row>
    <row r="12" spans="1:10" x14ac:dyDescent="0.2">
      <c r="A12" s="98" t="str">
        <f t="shared" si="1"/>
        <v>So</v>
      </c>
      <c r="B12" s="128">
        <f>DATE(Saldo!$A$1,6,7)</f>
        <v>43989</v>
      </c>
      <c r="C12" s="60"/>
      <c r="D12" s="61"/>
      <c r="E12" s="60"/>
      <c r="F12" s="61"/>
      <c r="G12" s="69"/>
      <c r="H12" s="107">
        <f t="shared" si="0"/>
        <v>0</v>
      </c>
      <c r="I12" s="112"/>
      <c r="J12" s="121"/>
    </row>
    <row r="13" spans="1:10" x14ac:dyDescent="0.2">
      <c r="A13" s="98" t="str">
        <f t="shared" si="1"/>
        <v>Mo</v>
      </c>
      <c r="B13" s="128">
        <f>DATE(Saldo!$A$1,6,8)</f>
        <v>43990</v>
      </c>
      <c r="C13" s="60"/>
      <c r="D13" s="61"/>
      <c r="E13" s="60"/>
      <c r="F13" s="61"/>
      <c r="G13" s="69"/>
      <c r="H13" s="107">
        <f t="shared" si="0"/>
        <v>0</v>
      </c>
      <c r="I13" s="112"/>
      <c r="J13" s="131"/>
    </row>
    <row r="14" spans="1:10" x14ac:dyDescent="0.2">
      <c r="A14" s="98" t="str">
        <f t="shared" si="1"/>
        <v>Di</v>
      </c>
      <c r="B14" s="128">
        <f>DATE(Saldo!$A$1,6,9)</f>
        <v>43991</v>
      </c>
      <c r="C14" s="60"/>
      <c r="D14" s="61"/>
      <c r="E14" s="60"/>
      <c r="F14" s="61"/>
      <c r="G14" s="69"/>
      <c r="H14" s="107">
        <f>(D14-C14)+(F14-E14)+G14</f>
        <v>0</v>
      </c>
      <c r="I14" s="112"/>
      <c r="J14" s="131"/>
    </row>
    <row r="15" spans="1:10" x14ac:dyDescent="0.2">
      <c r="A15" s="98" t="str">
        <f t="shared" si="1"/>
        <v>Mi</v>
      </c>
      <c r="B15" s="128">
        <f>DATE(Saldo!$A$1,6,10)</f>
        <v>43992</v>
      </c>
      <c r="C15" s="60"/>
      <c r="D15" s="61"/>
      <c r="E15" s="60"/>
      <c r="F15" s="61"/>
      <c r="G15" s="69"/>
      <c r="H15" s="107">
        <f t="shared" ref="H15:H26" si="2">(D15-C15)+(F15-E15)+G15</f>
        <v>0</v>
      </c>
      <c r="I15" s="112"/>
      <c r="J15" s="131"/>
    </row>
    <row r="16" spans="1:10" x14ac:dyDescent="0.2">
      <c r="A16" s="98" t="str">
        <f t="shared" si="1"/>
        <v>Do</v>
      </c>
      <c r="B16" s="128">
        <f>DATE(Saldo!$A$1,6,11)</f>
        <v>43993</v>
      </c>
      <c r="C16" s="60"/>
      <c r="D16" s="61"/>
      <c r="E16" s="60"/>
      <c r="F16" s="61"/>
      <c r="G16" s="69"/>
      <c r="H16" s="107">
        <f t="shared" si="2"/>
        <v>0</v>
      </c>
      <c r="I16" s="112"/>
      <c r="J16" s="131"/>
    </row>
    <row r="17" spans="1:10" x14ac:dyDescent="0.2">
      <c r="A17" s="98" t="str">
        <f t="shared" si="1"/>
        <v>Fr</v>
      </c>
      <c r="B17" s="128">
        <f>DATE(Saldo!$A$1,6,12)</f>
        <v>43994</v>
      </c>
      <c r="C17" s="60"/>
      <c r="D17" s="61"/>
      <c r="E17" s="60"/>
      <c r="F17" s="61"/>
      <c r="G17" s="69"/>
      <c r="H17" s="107">
        <f t="shared" si="2"/>
        <v>0</v>
      </c>
      <c r="I17" s="112"/>
      <c r="J17" s="131"/>
    </row>
    <row r="18" spans="1:10" x14ac:dyDescent="0.2">
      <c r="A18" s="98" t="str">
        <f t="shared" si="1"/>
        <v>Sa</v>
      </c>
      <c r="B18" s="128">
        <f>DATE(Saldo!$A$1,6,13)</f>
        <v>43995</v>
      </c>
      <c r="C18" s="60"/>
      <c r="D18" s="61"/>
      <c r="E18" s="60"/>
      <c r="F18" s="61"/>
      <c r="G18" s="69"/>
      <c r="H18" s="107">
        <f t="shared" si="2"/>
        <v>0</v>
      </c>
      <c r="I18" s="112"/>
      <c r="J18" s="121"/>
    </row>
    <row r="19" spans="1:10" x14ac:dyDescent="0.2">
      <c r="A19" s="98" t="str">
        <f t="shared" si="1"/>
        <v>So</v>
      </c>
      <c r="B19" s="128">
        <f>DATE(Saldo!$A$1,6,14)</f>
        <v>43996</v>
      </c>
      <c r="C19" s="60"/>
      <c r="D19" s="61"/>
      <c r="E19" s="60"/>
      <c r="F19" s="61"/>
      <c r="G19" s="69"/>
      <c r="H19" s="107">
        <f t="shared" si="2"/>
        <v>0</v>
      </c>
      <c r="I19" s="112"/>
      <c r="J19" s="121"/>
    </row>
    <row r="20" spans="1:10" x14ac:dyDescent="0.2">
      <c r="A20" s="98" t="str">
        <f t="shared" si="1"/>
        <v>Mo</v>
      </c>
      <c r="B20" s="128">
        <f>DATE(Saldo!$A$1,6,15)</f>
        <v>43997</v>
      </c>
      <c r="C20" s="60"/>
      <c r="D20" s="61"/>
      <c r="E20" s="60"/>
      <c r="F20" s="61"/>
      <c r="G20" s="69"/>
      <c r="H20" s="107">
        <f t="shared" si="2"/>
        <v>0</v>
      </c>
      <c r="I20" s="112"/>
      <c r="J20" s="131"/>
    </row>
    <row r="21" spans="1:10" x14ac:dyDescent="0.2">
      <c r="A21" s="98" t="str">
        <f t="shared" si="1"/>
        <v>Di</v>
      </c>
      <c r="B21" s="128">
        <f>DATE(Saldo!$A$1,6,16)</f>
        <v>43998</v>
      </c>
      <c r="C21" s="60"/>
      <c r="D21" s="61"/>
      <c r="E21" s="60"/>
      <c r="F21" s="61"/>
      <c r="G21" s="69"/>
      <c r="H21" s="107">
        <f t="shared" si="2"/>
        <v>0</v>
      </c>
      <c r="I21" s="133"/>
      <c r="J21" s="131"/>
    </row>
    <row r="22" spans="1:10" x14ac:dyDescent="0.2">
      <c r="A22" s="98" t="str">
        <f t="shared" si="1"/>
        <v>Mi</v>
      </c>
      <c r="B22" s="128">
        <f>DATE(Saldo!$A$1,6,17)</f>
        <v>43999</v>
      </c>
      <c r="C22" s="60"/>
      <c r="D22" s="61"/>
      <c r="E22" s="60"/>
      <c r="F22" s="61"/>
      <c r="G22" s="69"/>
      <c r="H22" s="107">
        <f t="shared" si="2"/>
        <v>0</v>
      </c>
      <c r="I22" s="133"/>
      <c r="J22" s="131"/>
    </row>
    <row r="23" spans="1:10" x14ac:dyDescent="0.2">
      <c r="A23" s="98" t="str">
        <f t="shared" si="1"/>
        <v>Do</v>
      </c>
      <c r="B23" s="128">
        <f>DATE(Saldo!$A$1,6,18)</f>
        <v>44000</v>
      </c>
      <c r="C23" s="60"/>
      <c r="D23" s="61"/>
      <c r="E23" s="60"/>
      <c r="F23" s="61"/>
      <c r="G23" s="69"/>
      <c r="H23" s="107">
        <f t="shared" si="2"/>
        <v>0</v>
      </c>
      <c r="I23" s="112"/>
      <c r="J23" s="131"/>
    </row>
    <row r="24" spans="1:10" x14ac:dyDescent="0.2">
      <c r="A24" s="98" t="str">
        <f t="shared" si="1"/>
        <v>Fr</v>
      </c>
      <c r="B24" s="128">
        <f>DATE(Saldo!$A$1,6,19)</f>
        <v>44001</v>
      </c>
      <c r="C24" s="60"/>
      <c r="D24" s="61"/>
      <c r="E24" s="60"/>
      <c r="F24" s="61"/>
      <c r="G24" s="69"/>
      <c r="H24" s="107">
        <f t="shared" si="2"/>
        <v>0</v>
      </c>
      <c r="I24" s="112"/>
      <c r="J24" s="131"/>
    </row>
    <row r="25" spans="1:10" x14ac:dyDescent="0.2">
      <c r="A25" s="98" t="str">
        <f t="shared" si="1"/>
        <v>Sa</v>
      </c>
      <c r="B25" s="128">
        <f>DATE(Saldo!$A$1,6,20)</f>
        <v>44002</v>
      </c>
      <c r="C25" s="60"/>
      <c r="D25" s="61"/>
      <c r="E25" s="60"/>
      <c r="F25" s="61"/>
      <c r="G25" s="69"/>
      <c r="H25" s="107">
        <f t="shared" si="2"/>
        <v>0</v>
      </c>
      <c r="I25" s="112"/>
      <c r="J25" s="158"/>
    </row>
    <row r="26" spans="1:10" x14ac:dyDescent="0.2">
      <c r="A26" s="98" t="str">
        <f t="shared" si="1"/>
        <v>So</v>
      </c>
      <c r="B26" s="128">
        <f>DATE(Saldo!$A$1,6,21)</f>
        <v>44003</v>
      </c>
      <c r="C26" s="60"/>
      <c r="D26" s="61"/>
      <c r="E26" s="62"/>
      <c r="F26" s="61"/>
      <c r="G26" s="69"/>
      <c r="H26" s="107">
        <f t="shared" si="2"/>
        <v>0</v>
      </c>
      <c r="I26" s="112"/>
      <c r="J26" s="134"/>
    </row>
    <row r="27" spans="1:10" x14ac:dyDescent="0.2">
      <c r="A27" s="98" t="str">
        <f t="shared" si="1"/>
        <v>Mo</v>
      </c>
      <c r="B27" s="128">
        <f>DATE(Saldo!$A$1,6,22)</f>
        <v>44004</v>
      </c>
      <c r="C27" s="60"/>
      <c r="D27" s="61"/>
      <c r="E27" s="60"/>
      <c r="F27" s="61"/>
      <c r="G27" s="69"/>
      <c r="H27" s="107">
        <f t="shared" ref="H27:H35" si="3">(D27-C27)+(F27-E27)+G27</f>
        <v>0</v>
      </c>
      <c r="I27" s="112"/>
      <c r="J27" s="131"/>
    </row>
    <row r="28" spans="1:10" x14ac:dyDescent="0.2">
      <c r="A28" s="98" t="str">
        <f t="shared" si="1"/>
        <v>Di</v>
      </c>
      <c r="B28" s="128">
        <f>DATE(Saldo!$A$1,6,23)</f>
        <v>44005</v>
      </c>
      <c r="C28" s="60"/>
      <c r="D28" s="61"/>
      <c r="E28" s="60"/>
      <c r="F28" s="61"/>
      <c r="G28" s="69"/>
      <c r="H28" s="107">
        <f>(D28-C28)+(F28-E28)+G28</f>
        <v>0</v>
      </c>
      <c r="I28" s="112"/>
      <c r="J28" s="131"/>
    </row>
    <row r="29" spans="1:10" x14ac:dyDescent="0.2">
      <c r="A29" s="98" t="str">
        <f t="shared" si="1"/>
        <v>Mi</v>
      </c>
      <c r="B29" s="128">
        <f>DATE(Saldo!$A$1,6,24)</f>
        <v>44006</v>
      </c>
      <c r="C29" s="60"/>
      <c r="D29" s="61"/>
      <c r="E29" s="60"/>
      <c r="F29" s="61"/>
      <c r="G29" s="69"/>
      <c r="H29" s="107">
        <f t="shared" si="3"/>
        <v>0</v>
      </c>
      <c r="I29" s="112"/>
      <c r="J29" s="131"/>
    </row>
    <row r="30" spans="1:10" x14ac:dyDescent="0.2">
      <c r="A30" s="98" t="str">
        <f t="shared" si="1"/>
        <v>Do</v>
      </c>
      <c r="B30" s="128">
        <f>DATE(Saldo!$A$1,6,25)</f>
        <v>44007</v>
      </c>
      <c r="C30" s="60"/>
      <c r="D30" s="61"/>
      <c r="E30" s="60"/>
      <c r="F30" s="61"/>
      <c r="G30" s="69"/>
      <c r="H30" s="107">
        <f t="shared" si="3"/>
        <v>0</v>
      </c>
      <c r="I30" s="112"/>
      <c r="J30" s="131"/>
    </row>
    <row r="31" spans="1:10" x14ac:dyDescent="0.2">
      <c r="A31" s="98" t="str">
        <f t="shared" si="1"/>
        <v>Fr</v>
      </c>
      <c r="B31" s="128">
        <f>DATE(Saldo!$A$1,6,26)</f>
        <v>44008</v>
      </c>
      <c r="C31" s="60"/>
      <c r="D31" s="61"/>
      <c r="E31" s="60"/>
      <c r="F31" s="61"/>
      <c r="G31" s="69"/>
      <c r="H31" s="107">
        <f t="shared" si="3"/>
        <v>0</v>
      </c>
      <c r="I31" s="112"/>
      <c r="J31" s="131"/>
    </row>
    <row r="32" spans="1:10" x14ac:dyDescent="0.2">
      <c r="A32" s="98" t="str">
        <f t="shared" si="1"/>
        <v>Sa</v>
      </c>
      <c r="B32" s="128">
        <f>DATE(Saldo!$A$1,6,27)</f>
        <v>44009</v>
      </c>
      <c r="C32" s="60"/>
      <c r="D32" s="61"/>
      <c r="E32" s="60"/>
      <c r="F32" s="61"/>
      <c r="G32" s="69"/>
      <c r="H32" s="107">
        <f t="shared" si="3"/>
        <v>0</v>
      </c>
      <c r="I32" s="112"/>
      <c r="J32" s="134"/>
    </row>
    <row r="33" spans="1:10" x14ac:dyDescent="0.2">
      <c r="A33" s="98" t="str">
        <f t="shared" si="1"/>
        <v>So</v>
      </c>
      <c r="B33" s="128">
        <f>DATE(Saldo!$A$1,6,28)</f>
        <v>44010</v>
      </c>
      <c r="C33" s="60"/>
      <c r="D33" s="61"/>
      <c r="E33" s="60"/>
      <c r="F33" s="61"/>
      <c r="G33" s="69"/>
      <c r="H33" s="107">
        <f t="shared" si="3"/>
        <v>0</v>
      </c>
      <c r="I33" s="112"/>
      <c r="J33" s="134"/>
    </row>
    <row r="34" spans="1:10" x14ac:dyDescent="0.2">
      <c r="A34" s="98" t="str">
        <f t="shared" si="1"/>
        <v>Mo</v>
      </c>
      <c r="B34" s="128">
        <f>DATE(Saldo!$A$1,6,29)</f>
        <v>44011</v>
      </c>
      <c r="C34" s="60"/>
      <c r="D34" s="61"/>
      <c r="E34" s="60"/>
      <c r="F34" s="61"/>
      <c r="G34" s="69"/>
      <c r="H34" s="107">
        <f t="shared" si="3"/>
        <v>0</v>
      </c>
      <c r="I34" s="112"/>
      <c r="J34" s="131"/>
    </row>
    <row r="35" spans="1:10" x14ac:dyDescent="0.2">
      <c r="A35" s="98" t="str">
        <f t="shared" si="1"/>
        <v>Di</v>
      </c>
      <c r="B35" s="128">
        <f>DATE(Saldo!$A$1,6,30)</f>
        <v>44012</v>
      </c>
      <c r="C35" s="60"/>
      <c r="D35" s="61"/>
      <c r="E35" s="60"/>
      <c r="F35" s="61"/>
      <c r="G35" s="69"/>
      <c r="H35" s="107">
        <f t="shared" si="3"/>
        <v>0</v>
      </c>
      <c r="I35" s="112"/>
      <c r="J35" s="131"/>
    </row>
    <row r="36" spans="1:10" x14ac:dyDescent="0.2">
      <c r="A36" s="98"/>
      <c r="B36" s="143"/>
      <c r="C36" s="107"/>
      <c r="D36" s="129"/>
      <c r="E36" s="107"/>
      <c r="F36" s="129"/>
      <c r="G36" s="129"/>
      <c r="H36" s="107"/>
      <c r="I36" s="112"/>
      <c r="J36" s="153"/>
    </row>
    <row r="37" spans="1:10" x14ac:dyDescent="0.2">
      <c r="A37" s="100"/>
      <c r="B37" s="143"/>
      <c r="C37" s="138"/>
      <c r="D37" s="139"/>
      <c r="E37" s="138"/>
      <c r="F37" s="139"/>
      <c r="G37" s="163"/>
      <c r="H37" s="138"/>
      <c r="I37" s="110"/>
      <c r="J37" s="141"/>
    </row>
    <row r="38" spans="1:10" s="142" customFormat="1" ht="18.75" thickBot="1" x14ac:dyDescent="0.3">
      <c r="A38" s="102"/>
      <c r="B38" s="137" t="s">
        <v>10</v>
      </c>
      <c r="C38" s="138"/>
      <c r="D38" s="139"/>
      <c r="E38" s="138"/>
      <c r="F38" s="139"/>
      <c r="G38" s="140" t="s">
        <v>11</v>
      </c>
      <c r="H38" s="109">
        <f>SUM(H6:H37)</f>
        <v>0</v>
      </c>
      <c r="I38" s="110"/>
      <c r="J38" s="141"/>
    </row>
    <row r="39" spans="1:10" ht="13.5" thickBot="1" x14ac:dyDescent="0.25">
      <c r="A39" s="100"/>
      <c r="B39" s="143"/>
      <c r="C39" s="106"/>
      <c r="D39" s="97"/>
      <c r="E39" s="144"/>
      <c r="F39" s="97"/>
      <c r="G39" s="145" t="s">
        <v>12</v>
      </c>
      <c r="H39" s="114">
        <f>Monatssaldi!B11</f>
        <v>8.75</v>
      </c>
      <c r="I39" s="146" t="s">
        <v>13</v>
      </c>
      <c r="J39" s="141"/>
    </row>
    <row r="40" spans="1:10" ht="13.5" thickBot="1" x14ac:dyDescent="0.25">
      <c r="A40" s="104"/>
      <c r="B40" s="147"/>
      <c r="C40" s="148"/>
      <c r="D40" s="149"/>
      <c r="E40" s="150"/>
      <c r="F40" s="260" t="s">
        <v>40</v>
      </c>
      <c r="G40" s="261"/>
      <c r="H40" s="117" t="str">
        <f>IF(H38&gt;$H$39,H38-$H$39,"")</f>
        <v/>
      </c>
      <c r="I40" s="116">
        <f>IF(H38&lt;$H$39,$H$39-H38,"")</f>
        <v>8.75</v>
      </c>
      <c r="J40" s="141"/>
    </row>
    <row r="41" spans="1:10" ht="12.75" customHeight="1" x14ac:dyDescent="0.2">
      <c r="B41" s="253" t="s">
        <v>14</v>
      </c>
      <c r="C41" s="254"/>
      <c r="D41" s="254"/>
      <c r="E41" s="254"/>
      <c r="F41" s="254"/>
      <c r="G41" s="254"/>
      <c r="H41" s="254"/>
      <c r="I41" s="255"/>
      <c r="J41" s="141"/>
    </row>
    <row r="42" spans="1:10" x14ac:dyDescent="0.2">
      <c r="B42" s="256"/>
      <c r="C42" s="257"/>
      <c r="D42" s="257"/>
      <c r="E42" s="257"/>
      <c r="F42" s="257"/>
      <c r="G42" s="257"/>
      <c r="H42" s="257"/>
      <c r="I42" s="258"/>
      <c r="J42" s="141"/>
    </row>
    <row r="43" spans="1:10" x14ac:dyDescent="0.2">
      <c r="A43" s="121"/>
      <c r="C43" s="142"/>
      <c r="J43" s="141"/>
    </row>
    <row r="44" spans="1:10" x14ac:dyDescent="0.2">
      <c r="A44" s="121"/>
      <c r="C44" s="142"/>
      <c r="J44" s="141"/>
    </row>
    <row r="45" spans="1:10" x14ac:dyDescent="0.2">
      <c r="A45" s="121"/>
      <c r="C45" s="142"/>
      <c r="J45" s="141"/>
    </row>
    <row r="46" spans="1:10" x14ac:dyDescent="0.2">
      <c r="A46" s="121"/>
      <c r="C46" s="142"/>
      <c r="J46" s="141"/>
    </row>
    <row r="47" spans="1:10" x14ac:dyDescent="0.2">
      <c r="A47" s="121"/>
      <c r="C47" s="142"/>
      <c r="J47" s="141"/>
    </row>
    <row r="48" spans="1:10" x14ac:dyDescent="0.2">
      <c r="A48" s="121"/>
      <c r="C48" s="142"/>
      <c r="J48" s="141"/>
    </row>
    <row r="49" spans="1:10" x14ac:dyDescent="0.2">
      <c r="A49" s="121"/>
      <c r="C49" s="142"/>
      <c r="J49" s="141"/>
    </row>
    <row r="50" spans="1:10" x14ac:dyDescent="0.2">
      <c r="C50" s="142"/>
      <c r="J50" s="141"/>
    </row>
    <row r="51" spans="1:10" x14ac:dyDescent="0.2">
      <c r="C51" s="142"/>
      <c r="J51" s="141"/>
    </row>
    <row r="52" spans="1:10" x14ac:dyDescent="0.2">
      <c r="C52" s="142"/>
      <c r="J52" s="141"/>
    </row>
    <row r="53" spans="1:10" x14ac:dyDescent="0.2">
      <c r="C53" s="142"/>
      <c r="J53" s="141"/>
    </row>
    <row r="54" spans="1:10" x14ac:dyDescent="0.2">
      <c r="C54" s="142"/>
      <c r="J54" s="141"/>
    </row>
    <row r="55" spans="1:10" x14ac:dyDescent="0.2">
      <c r="C55" s="142"/>
      <c r="J55" s="141"/>
    </row>
    <row r="56" spans="1:10" x14ac:dyDescent="0.2">
      <c r="C56" s="142"/>
      <c r="J56" s="141"/>
    </row>
    <row r="57" spans="1:10" x14ac:dyDescent="0.2">
      <c r="J57" s="142"/>
    </row>
    <row r="58" spans="1:10" ht="15" x14ac:dyDescent="0.2">
      <c r="C58" s="151"/>
      <c r="D58" s="142"/>
      <c r="E58" s="142"/>
      <c r="F58" s="142"/>
      <c r="G58" s="142"/>
      <c r="H58" s="142"/>
      <c r="J58" s="141"/>
    </row>
  </sheetData>
  <sheetProtection algorithmName="SHA-512" hashValue="qRi49i+oN3GTqoNvOV9/8/h8dE7MvtvxgmJNI5IUMpCqLX69YmRf22wpUjMMhALDqbPW7JwqJJnEelqJbIl7dQ==" saltValue="G89Wztancw4npWFV5RI2fg==" spinCount="100000" sheet="1" objects="1" scenarios="1" selectLockedCells="1"/>
  <mergeCells count="5">
    <mergeCell ref="B41:I42"/>
    <mergeCell ref="G2:I2"/>
    <mergeCell ref="B3:I3"/>
    <mergeCell ref="F40:G40"/>
    <mergeCell ref="A2:B2"/>
  </mergeCells>
  <phoneticPr fontId="0" type="noConversion"/>
  <conditionalFormatting sqref="A6:I36">
    <cfRule type="expression" dxfId="27" priority="3">
      <formula>$A6 ="So"</formula>
    </cfRule>
    <cfRule type="expression" dxfId="26" priority="4">
      <formula>$A6 = "Sa"</formula>
    </cfRule>
  </conditionalFormatting>
  <conditionalFormatting sqref="A6:I35">
    <cfRule type="expression" dxfId="25" priority="1">
      <formula>AND($I6 &lt;&gt; "",$A6 &lt;&gt; "So",$A6&lt;&gt;"Sa")</formula>
    </cfRule>
    <cfRule type="expression" dxfId="24" priority="2">
      <formula>$I6 &lt;&gt; ""</formula>
    </cfRule>
  </conditionalFormatting>
  <pageMargins left="0.78740157480314965" right="0.39370078740157483" top="0.98425196850393704" bottom="0.98425196850393704" header="0.51181102362204722" footer="0.51181102362204722"/>
  <pageSetup paperSize="9" orientation="portrait" horizontalDpi="4294967292" verticalDpi="300"/>
  <headerFooter alignWithMargins="0">
    <oddHeader>&amp;L&amp;G</oddHeader>
  </headerFooter>
  <legacyDrawingHF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19</vt:i4>
      </vt:variant>
      <vt:variant>
        <vt:lpstr>Benannte Bereiche</vt:lpstr>
      </vt:variant>
      <vt:variant>
        <vt:i4>26</vt:i4>
      </vt:variant>
    </vt:vector>
  </HeadingPairs>
  <TitlesOfParts>
    <vt:vector size="45" baseType="lpstr">
      <vt:lpstr>Saldo</vt:lpstr>
      <vt:lpstr>Erklärungen</vt:lpstr>
      <vt:lpstr>Monatssaldi</vt:lpstr>
      <vt:lpstr>Januar</vt:lpstr>
      <vt:lpstr>Februar</vt:lpstr>
      <vt:lpstr>März</vt:lpstr>
      <vt:lpstr>April</vt:lpstr>
      <vt:lpstr>Mai</vt:lpstr>
      <vt:lpstr>Juni</vt:lpstr>
      <vt:lpstr>Juli</vt:lpstr>
      <vt:lpstr>August</vt:lpstr>
      <vt:lpstr>September</vt:lpstr>
      <vt:lpstr>Oktober</vt:lpstr>
      <vt:lpstr>November</vt:lpstr>
      <vt:lpstr>Dezember</vt:lpstr>
      <vt:lpstr>Ferientabelle 20 Tage</vt:lpstr>
      <vt:lpstr>Ferientabelle 25 Tage</vt:lpstr>
      <vt:lpstr>Ferientabelle 30 Tage</vt:lpstr>
      <vt:lpstr>Kompatibilitätsbericht</vt:lpstr>
      <vt:lpstr>Anstellungsprozent</vt:lpstr>
      <vt:lpstr>MA</vt:lpstr>
      <vt:lpstr>SApr</vt:lpstr>
      <vt:lpstr>SAug</vt:lpstr>
      <vt:lpstr>SDez</vt:lpstr>
      <vt:lpstr>SFeb</vt:lpstr>
      <vt:lpstr>SJan</vt:lpstr>
      <vt:lpstr>SJul</vt:lpstr>
      <vt:lpstr>SJun</vt:lpstr>
      <vt:lpstr>SMai</vt:lpstr>
      <vt:lpstr>SMar</vt:lpstr>
      <vt:lpstr>SNov</vt:lpstr>
      <vt:lpstr>SOkt</vt:lpstr>
      <vt:lpstr>SollApr</vt:lpstr>
      <vt:lpstr>SollAug</vt:lpstr>
      <vt:lpstr>SollDez</vt:lpstr>
      <vt:lpstr>SollFeb</vt:lpstr>
      <vt:lpstr>SollJan</vt:lpstr>
      <vt:lpstr>SollJul</vt:lpstr>
      <vt:lpstr>SollJun</vt:lpstr>
      <vt:lpstr>SollMai</vt:lpstr>
      <vt:lpstr>SollMar</vt:lpstr>
      <vt:lpstr>SollNov</vt:lpstr>
      <vt:lpstr>SollOkt</vt:lpstr>
      <vt:lpstr>SollSep</vt:lpstr>
      <vt:lpstr>SSep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Zeiterfassung</dc:title>
  <dc:creator>René Schürmann</dc:creator>
  <cp:lastModifiedBy>.</cp:lastModifiedBy>
  <cp:lastPrinted>2016-12-14T10:59:31Z</cp:lastPrinted>
  <dcterms:created xsi:type="dcterms:W3CDTF">1998-11-06T10:43:44Z</dcterms:created>
  <dcterms:modified xsi:type="dcterms:W3CDTF">2020-03-11T08:26:09Z</dcterms:modified>
</cp:coreProperties>
</file>