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de\MobaXterm\home\Thekla_Project\Data\"/>
    </mc:Choice>
  </mc:AlternateContent>
  <xr:revisionPtr revIDLastSave="0" documentId="13_ncr:1_{82034838-03B0-48C5-9588-CDFFC1371050}" xr6:coauthVersionLast="47" xr6:coauthVersionMax="47" xr10:uidLastSave="{00000000-0000-0000-0000-000000000000}"/>
  <bookViews>
    <workbookView xWindow="22932" yWindow="-108" windowWidth="23256" windowHeight="14016" xr2:uid="{C3AF60EF-955C-417A-A656-D4E6655038A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" i="1" l="1"/>
  <c r="D41" i="1"/>
  <c r="K34" i="1"/>
  <c r="K29" i="1"/>
  <c r="K8" i="1"/>
  <c r="K7" i="1"/>
  <c r="K9" i="1"/>
  <c r="K21" i="1"/>
  <c r="K4" i="1"/>
  <c r="K30" i="1"/>
  <c r="K27" i="1"/>
  <c r="K12" i="1"/>
  <c r="K2" i="1"/>
  <c r="K19" i="1"/>
  <c r="K3" i="1"/>
  <c r="K16" i="1"/>
  <c r="J53" i="1"/>
  <c r="J34" i="1"/>
  <c r="J52" i="1"/>
  <c r="J32" i="1"/>
  <c r="J31" i="1"/>
  <c r="J42" i="1"/>
  <c r="J30" i="1"/>
  <c r="J29" i="1"/>
  <c r="J4" i="1"/>
  <c r="J5" i="1"/>
  <c r="J28" i="1"/>
  <c r="J27" i="1"/>
  <c r="J26" i="1"/>
  <c r="J25" i="1"/>
  <c r="J24" i="1"/>
  <c r="J23" i="1"/>
  <c r="J22" i="1"/>
  <c r="J21" i="1"/>
  <c r="J50" i="1"/>
  <c r="I81" i="1"/>
  <c r="J41" i="1"/>
  <c r="J20" i="1"/>
  <c r="I80" i="1"/>
  <c r="J43" i="1"/>
  <c r="J19" i="1"/>
  <c r="J37" i="1"/>
  <c r="J18" i="1"/>
  <c r="J9" i="1"/>
  <c r="J17" i="1"/>
  <c r="J54" i="1"/>
  <c r="I79" i="1"/>
  <c r="J16" i="1"/>
  <c r="J8" i="1"/>
  <c r="J14" i="1"/>
  <c r="J2" i="1"/>
  <c r="J49" i="1"/>
  <c r="J12" i="1"/>
  <c r="I78" i="1"/>
  <c r="J3" i="1"/>
  <c r="J48" i="1"/>
  <c r="J47" i="1"/>
  <c r="J39" i="1"/>
  <c r="J46" i="1"/>
  <c r="J44" i="1"/>
  <c r="J7" i="1"/>
  <c r="J45" i="1"/>
  <c r="J10" i="1"/>
  <c r="J51" i="1"/>
  <c r="J13" i="1"/>
  <c r="I33" i="1"/>
  <c r="I77" i="1"/>
  <c r="I4" i="1"/>
  <c r="I29" i="1"/>
  <c r="I76" i="1"/>
  <c r="I75" i="1"/>
  <c r="I74" i="1"/>
  <c r="I73" i="1"/>
  <c r="I25" i="1"/>
  <c r="I72" i="1"/>
  <c r="I71" i="1"/>
  <c r="I50" i="1"/>
  <c r="I70" i="1"/>
  <c r="I69" i="1"/>
  <c r="I19" i="1"/>
  <c r="I68" i="1"/>
  <c r="I15" i="1"/>
  <c r="I8" i="1"/>
  <c r="I2" i="1"/>
  <c r="I67" i="1"/>
  <c r="I66" i="1"/>
  <c r="I3" i="1"/>
  <c r="I65" i="1"/>
  <c r="I64" i="1"/>
  <c r="I63" i="1"/>
  <c r="I62" i="1"/>
  <c r="I39" i="1"/>
  <c r="I7" i="1"/>
  <c r="I61" i="1"/>
  <c r="I60" i="1"/>
  <c r="I59" i="1"/>
  <c r="I58" i="1"/>
  <c r="I57" i="1"/>
  <c r="I28" i="1"/>
  <c r="H4" i="1"/>
  <c r="H5" i="1"/>
  <c r="H6" i="1"/>
  <c r="H19" i="1"/>
  <c r="H2" i="1"/>
  <c r="H12" i="1"/>
  <c r="H3" i="1"/>
  <c r="G56" i="1"/>
  <c r="G34" i="1"/>
  <c r="G32" i="1"/>
  <c r="G21" i="1"/>
  <c r="G31" i="1"/>
  <c r="G20" i="1"/>
  <c r="G30" i="1"/>
  <c r="G17" i="1"/>
  <c r="G37" i="1"/>
  <c r="G13" i="1"/>
  <c r="G14" i="1"/>
  <c r="G18" i="1"/>
  <c r="G10" i="1"/>
  <c r="G45" i="1"/>
  <c r="G27" i="1"/>
  <c r="G16" i="1"/>
  <c r="G9" i="1"/>
  <c r="G7" i="1"/>
  <c r="G8" i="1"/>
  <c r="G12" i="1"/>
  <c r="G19" i="1"/>
  <c r="G3" i="1"/>
  <c r="G2" i="1"/>
  <c r="G4" i="1"/>
  <c r="G5" i="1"/>
  <c r="F55" i="1"/>
  <c r="F54" i="1"/>
  <c r="F53" i="1"/>
  <c r="F34" i="1"/>
  <c r="F52" i="1"/>
  <c r="F32" i="1"/>
  <c r="F31" i="1"/>
  <c r="F42" i="1"/>
  <c r="F30" i="1"/>
  <c r="F29" i="1"/>
  <c r="F28" i="1"/>
  <c r="F27" i="1"/>
  <c r="F26" i="1"/>
  <c r="F25" i="1"/>
  <c r="F24" i="1"/>
  <c r="F23" i="1"/>
  <c r="F51" i="1"/>
  <c r="F21" i="1"/>
  <c r="F20" i="1"/>
  <c r="F43" i="1"/>
  <c r="F37" i="1"/>
  <c r="F18" i="1"/>
  <c r="F17" i="1"/>
  <c r="F41" i="1"/>
  <c r="F16" i="1"/>
  <c r="F15" i="1"/>
  <c r="E50" i="1"/>
  <c r="F14" i="1"/>
  <c r="F8" i="1"/>
  <c r="E49" i="1"/>
  <c r="F12" i="1"/>
  <c r="E48" i="1"/>
  <c r="E47" i="1"/>
  <c r="F39" i="1"/>
  <c r="F13" i="1"/>
  <c r="E46" i="1"/>
  <c r="F7" i="1"/>
  <c r="E45" i="1"/>
  <c r="F10" i="1"/>
  <c r="F9" i="1"/>
  <c r="E44" i="1"/>
  <c r="F5" i="1"/>
  <c r="F4" i="1"/>
  <c r="F3" i="1"/>
  <c r="F2" i="1"/>
  <c r="E26" i="1"/>
  <c r="E43" i="1"/>
  <c r="E42" i="1"/>
  <c r="E4" i="1"/>
  <c r="E41" i="1"/>
  <c r="E2" i="1"/>
  <c r="E40" i="1"/>
  <c r="E3" i="1"/>
  <c r="E39" i="1"/>
  <c r="E19" i="1"/>
  <c r="E12" i="1"/>
  <c r="E15" i="1"/>
  <c r="E29" i="1"/>
  <c r="E38" i="1"/>
  <c r="E31" i="1"/>
  <c r="E21" i="1"/>
  <c r="E18" i="1"/>
  <c r="E17" i="1"/>
  <c r="E37" i="1"/>
  <c r="E36" i="1"/>
  <c r="E20" i="1"/>
  <c r="E34" i="1"/>
  <c r="E32" i="1"/>
  <c r="E35" i="1"/>
  <c r="E13" i="1"/>
  <c r="E23" i="1"/>
  <c r="E9" i="1"/>
  <c r="E14" i="1"/>
  <c r="E16" i="1"/>
  <c r="E8" i="1"/>
  <c r="E7" i="1"/>
  <c r="D34" i="1"/>
  <c r="D33" i="1"/>
  <c r="D32" i="1"/>
  <c r="D31" i="1"/>
  <c r="D30" i="1"/>
  <c r="D4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8" i="1"/>
  <c r="D2" i="1"/>
  <c r="D13" i="1"/>
  <c r="D12" i="1"/>
  <c r="D3" i="1"/>
  <c r="D9" i="1"/>
  <c r="D10" i="1"/>
  <c r="D11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<sst xmlns="http://schemas.openxmlformats.org/spreadsheetml/2006/main" count="93" uniqueCount="93">
  <si>
    <t>Glucose</t>
  </si>
  <si>
    <t>Fructose</t>
  </si>
  <si>
    <t>Sucrose</t>
  </si>
  <si>
    <t>Starch</t>
  </si>
  <si>
    <t>Nitrate</t>
  </si>
  <si>
    <t>Aspartate</t>
  </si>
  <si>
    <t>Glutamate</t>
  </si>
  <si>
    <t>Cross2006</t>
  </si>
  <si>
    <t>Usadel2008</t>
  </si>
  <si>
    <t>Alanine</t>
  </si>
  <si>
    <t>FW/DW</t>
  </si>
  <si>
    <t>Arginine</t>
  </si>
  <si>
    <t>Citrulline</t>
  </si>
  <si>
    <t>Fumarate</t>
  </si>
  <si>
    <t>GABA</t>
  </si>
  <si>
    <t>Glutamine</t>
  </si>
  <si>
    <t>Glycerate</t>
  </si>
  <si>
    <t>Glycine</t>
  </si>
  <si>
    <t>Isoleucine</t>
  </si>
  <si>
    <t>Leucine</t>
  </si>
  <si>
    <t>Malate</t>
  </si>
  <si>
    <t>Methionine</t>
  </si>
  <si>
    <t>Phenylalanine</t>
  </si>
  <si>
    <t>Phosphate</t>
  </si>
  <si>
    <t>Proline</t>
  </si>
  <si>
    <t>Putrescine</t>
  </si>
  <si>
    <t>Pyruvate</t>
  </si>
  <si>
    <t>Raffinose</t>
  </si>
  <si>
    <t>Serine</t>
  </si>
  <si>
    <t>Shikimate</t>
  </si>
  <si>
    <t>Succinate</t>
  </si>
  <si>
    <t>Threonine</t>
  </si>
  <si>
    <t>Tryptophan</t>
  </si>
  <si>
    <t>Tyrosine</t>
  </si>
  <si>
    <t>UDP-Glucose</t>
  </si>
  <si>
    <t>Valine</t>
  </si>
  <si>
    <t>Lugan2009</t>
  </si>
  <si>
    <t>Cysteine</t>
  </si>
  <si>
    <t>Ornithine</t>
  </si>
  <si>
    <t>Lysine</t>
  </si>
  <si>
    <t>Glycolate</t>
  </si>
  <si>
    <t>Citrate</t>
  </si>
  <si>
    <t>Galactose</t>
  </si>
  <si>
    <t>Myoinositol</t>
  </si>
  <si>
    <t>Trehalose</t>
  </si>
  <si>
    <t>Maltose</t>
  </si>
  <si>
    <t>Sulpice2009</t>
  </si>
  <si>
    <t>beta-alanine</t>
  </si>
  <si>
    <t>Asparagine</t>
  </si>
  <si>
    <t>Benzoate</t>
  </si>
  <si>
    <t>Dihydroxyacetone</t>
  </si>
  <si>
    <t>Erythritol</t>
  </si>
  <si>
    <t>Galactinol</t>
  </si>
  <si>
    <t>2-Oxoglutarate</t>
  </si>
  <si>
    <t>4-Hydroxyproline</t>
  </si>
  <si>
    <t>Urea</t>
  </si>
  <si>
    <t>Xylose</t>
  </si>
  <si>
    <t>Guanidine</t>
  </si>
  <si>
    <t>Salicylate</t>
  </si>
  <si>
    <t>Tschoep2009</t>
  </si>
  <si>
    <t>Histidine</t>
  </si>
  <si>
    <t>Gibon2009</t>
  </si>
  <si>
    <t>Arrivault2009</t>
  </si>
  <si>
    <t>Aconitate</t>
  </si>
  <si>
    <t>ATP</t>
  </si>
  <si>
    <t>ADP</t>
  </si>
  <si>
    <t>AMP</t>
  </si>
  <si>
    <t>ADP-Glucose</t>
  </si>
  <si>
    <t>Dihydroxyacetonephosphate</t>
  </si>
  <si>
    <t>Fructose-6-phosphate</t>
  </si>
  <si>
    <t>Fructose-1,6-bisphosphate</t>
  </si>
  <si>
    <t>Glucose-1-phosphate</t>
  </si>
  <si>
    <t>Glyceraldehyde 3-phosphate</t>
  </si>
  <si>
    <t>Isocitrate</t>
  </si>
  <si>
    <t>NAD</t>
  </si>
  <si>
    <t>NADP</t>
  </si>
  <si>
    <t>3-Phosphoglyceric acid</t>
  </si>
  <si>
    <t>Ribose 5-phosphate</t>
  </si>
  <si>
    <t>Ribulose-1,5-Bisphosphate</t>
  </si>
  <si>
    <t>Sedoheptulose 7-phosphate</t>
  </si>
  <si>
    <t>Sedoheptulose 1,7-bisphosphate</t>
  </si>
  <si>
    <t>Trehalose 6-phosphate</t>
  </si>
  <si>
    <t>Sulpice2010</t>
  </si>
  <si>
    <t>Fucose</t>
  </si>
  <si>
    <t>Glycerol</t>
  </si>
  <si>
    <t>Mannose</t>
  </si>
  <si>
    <t>Nicotinate</t>
  </si>
  <si>
    <t>Ishihara2015</t>
  </si>
  <si>
    <t>Glucose 6-phosphate</t>
  </si>
  <si>
    <t>Phosphoenolpyruvate</t>
  </si>
  <si>
    <t>MW</t>
  </si>
  <si>
    <r>
      <t xml:space="preserve">assumed </t>
    </r>
    <r>
      <rPr>
        <sz val="11"/>
        <color theme="1"/>
        <rFont val="Calibri"/>
        <family val="2"/>
      </rPr>
      <t>µmol instead of nmol</t>
    </r>
  </si>
  <si>
    <t>Conversion factor from gFW^-1 to gDW^-1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</si>
</sst>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2" borderId="0" xfId="0" applyNumberFormat="1" applyFill="1"/>
    <xf numFmtId="0" fontId="0" fillId="0" borderId="0" xfId="0" applyFill="1"/>
    <xf numFmtId="164" fontId="0" fillId="0" borderId="0" xfId="0" applyNumberForma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D016F-374B-4C8C-84ED-1D4DC4679510}">
  <dimension ref="A1:M89"/>
  <sheetViews>
    <sheetView tabSelected="1" workbookViewId="0">
      <pane ySplit="1" topLeftCell="A59" activePane="bottomLeft" state="frozen"/>
      <selection pane="bottomLeft" activeCell="A89" sqref="A89"/>
    </sheetView>
  </sheetViews>
  <sheetFormatPr baseColWidth="10" defaultRowHeight="14.5" x14ac:dyDescent="0.35"/>
  <cols>
    <col min="1" max="1" width="25" style="2" bestFit="1" customWidth="1"/>
    <col min="2" max="6" width="10.90625" style="2"/>
    <col min="7" max="7" width="11.7265625" style="2" bestFit="1" customWidth="1"/>
    <col min="8" max="10" width="11.81640625" style="2" bestFit="1" customWidth="1"/>
    <col min="11" max="16384" width="10.90625" style="2"/>
  </cols>
  <sheetData>
    <row r="1" spans="1:13" x14ac:dyDescent="0.35">
      <c r="B1" s="2" t="s">
        <v>90</v>
      </c>
      <c r="C1" s="2" t="s">
        <v>7</v>
      </c>
      <c r="D1" s="2" t="s">
        <v>8</v>
      </c>
      <c r="E1" s="2" t="s">
        <v>36</v>
      </c>
      <c r="F1" s="2" t="s">
        <v>46</v>
      </c>
      <c r="G1" s="2" t="s">
        <v>59</v>
      </c>
      <c r="H1" s="2" t="s">
        <v>61</v>
      </c>
      <c r="I1" s="2" t="s">
        <v>62</v>
      </c>
      <c r="J1" s="2" t="s">
        <v>82</v>
      </c>
      <c r="K1" s="2" t="s">
        <v>87</v>
      </c>
    </row>
    <row r="2" spans="1:13" x14ac:dyDescent="0.35">
      <c r="A2" s="2" t="s">
        <v>0</v>
      </c>
      <c r="B2" s="3">
        <v>180.0634</v>
      </c>
      <c r="C2" s="2">
        <f>(9.3/1000000)*B2</f>
        <v>1.6745896200000001E-3</v>
      </c>
      <c r="D2" s="2">
        <f>0.72*B89*0.000001*B2</f>
        <v>1.2964564799999999E-3</v>
      </c>
      <c r="E2" s="2">
        <f>6.94*0.000001*B2</f>
        <v>1.249639996E-3</v>
      </c>
      <c r="F2" s="2">
        <f>3*B89*0.000001*B2</f>
        <v>5.4019019999999992E-3</v>
      </c>
      <c r="G2" s="2">
        <f>3.9*B89*0.000001*B2</f>
        <v>7.0224726000000003E-3</v>
      </c>
      <c r="H2" s="2">
        <f>3.1*B89*0.000001*B2</f>
        <v>5.5819654000000005E-3</v>
      </c>
      <c r="I2" s="2">
        <f>1168*B89*0.000000001*B2</f>
        <v>2.103140512E-3</v>
      </c>
      <c r="J2" s="2">
        <f>2.9787*B89*0.000001*B2</f>
        <v>5.3635484957999992E-3</v>
      </c>
      <c r="K2" s="2">
        <f>2.62*B89*0.000001*B2</f>
        <v>4.7176610800000003E-3</v>
      </c>
      <c r="M2" s="4" t="s">
        <v>91</v>
      </c>
    </row>
    <row r="3" spans="1:13" x14ac:dyDescent="0.35">
      <c r="A3" s="2" t="s">
        <v>1</v>
      </c>
      <c r="B3" s="3">
        <v>180.0634</v>
      </c>
      <c r="C3" s="2">
        <f>(4.4/1000000)*B3</f>
        <v>7.9227896000000006E-4</v>
      </c>
      <c r="D3" s="2">
        <f>0.77*B89*0.000001*B3</f>
        <v>1.3864881799999999E-3</v>
      </c>
      <c r="E3" s="2">
        <f>3.93*0.000001*B3</f>
        <v>7.0764916199999998E-4</v>
      </c>
      <c r="F3" s="2">
        <f>1.3*B89*0.000001*B3</f>
        <v>2.3408241999999997E-3</v>
      </c>
      <c r="G3" s="2">
        <f>0.7*B89*0.000001*B3</f>
        <v>1.2604438E-3</v>
      </c>
      <c r="H3" s="2">
        <f>0.0276*B89*0.000001*B3</f>
        <v>4.9697498400000004E-5</v>
      </c>
      <c r="I3" s="2">
        <f>374*B89*0.000000001*B3</f>
        <v>6.7343711600000001E-4</v>
      </c>
      <c r="J3" s="2">
        <f>1.3001*B89*0.000001*B3</f>
        <v>2.3410042634000004E-3</v>
      </c>
      <c r="K3" s="2">
        <f>0.61*B89*0.000001*B3</f>
        <v>1.0983867399999999E-3</v>
      </c>
    </row>
    <row r="4" spans="1:13" x14ac:dyDescent="0.35">
      <c r="A4" s="2" t="s">
        <v>2</v>
      </c>
      <c r="B4" s="3">
        <v>342.11619999999999</v>
      </c>
      <c r="C4" s="2">
        <f>(36/1000000)*B4</f>
        <v>1.2316183200000001E-2</v>
      </c>
      <c r="D4" s="2">
        <f>0.93*B89*0.000001*B4</f>
        <v>3.1816806600000001E-3</v>
      </c>
      <c r="E4" s="2">
        <f>10.8*0.000001*B4</f>
        <v>3.6948549600000001E-3</v>
      </c>
      <c r="F4" s="2">
        <f>4*B89*0.000001*B4</f>
        <v>1.3684647999999999E-2</v>
      </c>
      <c r="G4" s="2">
        <f>3.8*B89*0.000001*B4</f>
        <v>1.3000415599999999E-2</v>
      </c>
      <c r="H4" s="2">
        <f>2.5*B89*0.000001*B4</f>
        <v>8.5529049999999995E-3</v>
      </c>
      <c r="I4" s="2">
        <f>3510*B89*0.000000001*B4</f>
        <v>1.200827862E-2</v>
      </c>
      <c r="J4" s="2">
        <f>3.995*B89*0.000001*B4</f>
        <v>1.366754219E-2</v>
      </c>
      <c r="K4" s="2">
        <f>2.26*B89*0.000001*B4</f>
        <v>7.7318261199999985E-3</v>
      </c>
    </row>
    <row r="5" spans="1:13" x14ac:dyDescent="0.35">
      <c r="A5" s="2" t="s">
        <v>3</v>
      </c>
      <c r="B5" s="3">
        <v>342.11619999999999</v>
      </c>
      <c r="C5" s="2">
        <f>(495/1000000)*B5</f>
        <v>0.169347519</v>
      </c>
      <c r="F5" s="2">
        <f>40*B89*0.000001*B5</f>
        <v>0.13684647999999999</v>
      </c>
      <c r="G5" s="2">
        <f>43.8*B89*0.000001*B5</f>
        <v>0.14984689559999997</v>
      </c>
      <c r="H5" s="2">
        <f>30.6*B89*0.000001*B5</f>
        <v>0.1046875572</v>
      </c>
      <c r="I5" s="4">
        <f>38.3*B89*0.000001*B5</f>
        <v>0.13103050459999999</v>
      </c>
      <c r="J5" s="2">
        <f>40.013*B89*0.000001*B5</f>
        <v>0.13689095510599997</v>
      </c>
    </row>
    <row r="6" spans="1:13" x14ac:dyDescent="0.35">
      <c r="A6" s="2" t="s">
        <v>4</v>
      </c>
      <c r="B6" s="2">
        <v>62.005000000000003</v>
      </c>
      <c r="C6" s="2">
        <f>(1695/1000000)*B6</f>
        <v>0.105098475</v>
      </c>
      <c r="H6" s="2">
        <f>131.4*B89*0.000001*B6</f>
        <v>8.1474569999999996E-2</v>
      </c>
    </row>
    <row r="7" spans="1:13" x14ac:dyDescent="0.35">
      <c r="A7" s="2" t="s">
        <v>5</v>
      </c>
      <c r="B7" s="3">
        <v>132.02969999999999</v>
      </c>
      <c r="C7" s="2">
        <f>(22.7/1000000)*B7</f>
        <v>2.9970741899999999E-3</v>
      </c>
      <c r="E7" s="2">
        <f>22.52*0.000001*B7</f>
        <v>2.9733088439999997E-3</v>
      </c>
      <c r="F7" s="2">
        <f>1.9*B89*0.000001*B7</f>
        <v>2.5085642999999997E-3</v>
      </c>
      <c r="G7" s="2">
        <f>2.2*B89*0.000001*B7</f>
        <v>2.9046533999999998E-3</v>
      </c>
      <c r="I7" s="2">
        <f>1642*B89*0.000000001*B7</f>
        <v>2.167927674E-3</v>
      </c>
      <c r="J7" s="2">
        <f>1.8739*B89*0.000001*B7</f>
        <v>2.4741045482999996E-3</v>
      </c>
      <c r="K7" s="2">
        <f>0.12*B89*0.000001*B7</f>
        <v>1.5843563999999997E-4</v>
      </c>
    </row>
    <row r="8" spans="1:13" x14ac:dyDescent="0.35">
      <c r="A8" s="2" t="s">
        <v>6</v>
      </c>
      <c r="B8" s="3">
        <v>146.0453</v>
      </c>
      <c r="C8" s="2">
        <f>(28.3/1000000)*B8</f>
        <v>4.1330819899999998E-3</v>
      </c>
      <c r="D8" s="2">
        <f>0.65*B89*0.000001*B8</f>
        <v>9.4929444999999988E-4</v>
      </c>
      <c r="E8" s="2">
        <f>76.16*0.000001*B8</f>
        <v>1.1122810047999998E-2</v>
      </c>
      <c r="F8" s="2">
        <f>1.7*B89*0.000001*B8</f>
        <v>2.4827701000000001E-3</v>
      </c>
      <c r="G8" s="2">
        <f>5.2*B89*0.000001*B8</f>
        <v>7.594355599999999E-3</v>
      </c>
      <c r="I8" s="2">
        <f>4424*B89*0.000000001*B8</f>
        <v>6.4610440720000006E-3</v>
      </c>
      <c r="J8" s="2">
        <f>1.7009*B89*0.000001*B8</f>
        <v>2.4840845076999998E-3</v>
      </c>
      <c r="K8" s="2">
        <f>2.09*B89*0.000001*B8</f>
        <v>3.0523467699999996E-3</v>
      </c>
    </row>
    <row r="9" spans="1:13" x14ac:dyDescent="0.35">
      <c r="A9" s="2" t="s">
        <v>9</v>
      </c>
      <c r="B9" s="1">
        <v>89.047700000000006</v>
      </c>
      <c r="D9" s="2">
        <f>(1.22*B89*0.000001*B9)</f>
        <v>1.0863819399999999E-3</v>
      </c>
      <c r="E9" s="2">
        <f>11.33*0.000001*B9</f>
        <v>1.008910441E-3</v>
      </c>
      <c r="F9" s="2">
        <f>5.6*0.000001*B89*B9</f>
        <v>4.9866711999999999E-3</v>
      </c>
      <c r="G9" s="2">
        <f>0.33*B89*0.000001*B9</f>
        <v>2.9385741000000006E-4</v>
      </c>
      <c r="J9" s="2">
        <f>5.5716*B89*0.000001*B9</f>
        <v>4.9613816532000001E-3</v>
      </c>
      <c r="K9" s="2">
        <f>1.42*B89*0.000001*B9</f>
        <v>1.2644773399999999E-3</v>
      </c>
    </row>
    <row r="10" spans="1:13" x14ac:dyDescent="0.35">
      <c r="A10" s="2" t="s">
        <v>11</v>
      </c>
      <c r="B10" s="1">
        <v>175.11949999999999</v>
      </c>
      <c r="D10" s="2">
        <f>(0.78*B89*0.000001*B10)</f>
        <v>1.3659320999999999E-3</v>
      </c>
      <c r="F10" s="2">
        <f>1.3*B89*0.000001*B10</f>
        <v>2.2765534999999999E-3</v>
      </c>
      <c r="G10" s="2">
        <f>0.38*B89*0.000001*B10</f>
        <v>6.6545409999999993E-4</v>
      </c>
      <c r="J10" s="2">
        <f>1.3*B89*0.000001*B10</f>
        <v>2.2765534999999999E-3</v>
      </c>
    </row>
    <row r="11" spans="1:13" x14ac:dyDescent="0.35">
      <c r="A11" s="2" t="s">
        <v>12</v>
      </c>
      <c r="B11">
        <v>175.19</v>
      </c>
      <c r="D11" s="2">
        <f>1.17*B89*0.000001*B11</f>
        <v>2.0497229999999998E-3</v>
      </c>
    </row>
    <row r="12" spans="1:13" x14ac:dyDescent="0.35">
      <c r="A12" s="2" t="s">
        <v>13</v>
      </c>
      <c r="B12">
        <v>114.06</v>
      </c>
      <c r="D12" s="2">
        <f>0.92*B89*0.000001*B12</f>
        <v>1.0493519999999999E-3</v>
      </c>
      <c r="E12" s="2">
        <f>49.63*0.000001*B12</f>
        <v>5.6607977999999998E-3</v>
      </c>
      <c r="F12" s="2">
        <f>7.9*B89*0.000001*B12</f>
        <v>9.0107399999999997E-3</v>
      </c>
      <c r="G12" s="2">
        <f>4.4*B89*0.000001*B12</f>
        <v>5.0186399999999996E-3</v>
      </c>
      <c r="H12" s="2">
        <f>10.1*B89*0.000001*B12</f>
        <v>1.152006E-2</v>
      </c>
      <c r="J12" s="2">
        <f>3.1668*B89*0.000001*B12</f>
        <v>3.6120520799999994E-3</v>
      </c>
      <c r="K12" s="2">
        <f>5.11*B89*0.000001*B12</f>
        <v>5.828466E-3</v>
      </c>
    </row>
    <row r="13" spans="1:13" x14ac:dyDescent="0.35">
      <c r="A13" s="2" t="s">
        <v>14</v>
      </c>
      <c r="B13">
        <v>103.12</v>
      </c>
      <c r="D13" s="2">
        <f>1.15*B89*0.000001*B13</f>
        <v>1.1858800000000001E-3</v>
      </c>
      <c r="E13" s="2">
        <f>1.86*0.000001*B13</f>
        <v>1.9180320000000001E-4</v>
      </c>
      <c r="F13" s="2">
        <f>0.7*B89*0.000001*B13</f>
        <v>7.2184000000000007E-4</v>
      </c>
      <c r="G13" s="2">
        <f>0.018*B89*0.000001*B13</f>
        <v>1.8561600000000002E-5</v>
      </c>
      <c r="J13" s="2">
        <f>0.6944*B89*0.000001*B13</f>
        <v>7.1606528000000007E-4</v>
      </c>
    </row>
    <row r="14" spans="1:13" x14ac:dyDescent="0.35">
      <c r="A14" s="2" t="s">
        <v>15</v>
      </c>
      <c r="B14">
        <v>146.13999999999999</v>
      </c>
      <c r="D14" s="2">
        <f>0.95*B89*0.000001*B14</f>
        <v>1.3883299999999997E-3</v>
      </c>
      <c r="E14" s="2">
        <f>40.05*0.000001*B14</f>
        <v>5.8529069999999992E-3</v>
      </c>
      <c r="F14" s="2">
        <f>1*B89*0.000001*B14</f>
        <v>1.4613999999999996E-3</v>
      </c>
      <c r="G14" s="2">
        <f>4*B89*0.000001*B14</f>
        <v>5.8455999999999985E-3</v>
      </c>
      <c r="J14" s="2">
        <f>0.9513*B89*0.000001*B14</f>
        <v>1.39022982E-3</v>
      </c>
    </row>
    <row r="15" spans="1:13" x14ac:dyDescent="0.35">
      <c r="A15" s="2" t="s">
        <v>16</v>
      </c>
      <c r="B15">
        <v>106.08</v>
      </c>
      <c r="D15" s="2">
        <f>0.98*B89*0.000001*B15</f>
        <v>1.0395840000000001E-3</v>
      </c>
      <c r="E15" s="2">
        <f>1.81*0.000001*B15</f>
        <v>1.9200479999999999E-4</v>
      </c>
      <c r="F15" s="2">
        <f>1.2*B89*0.000001*B15</f>
        <v>1.2729600000000001E-3</v>
      </c>
      <c r="I15" s="2">
        <f>290*B89*0.000000001*B15</f>
        <v>3.0763200000000001E-4</v>
      </c>
    </row>
    <row r="16" spans="1:13" x14ac:dyDescent="0.35">
      <c r="A16" s="2" t="s">
        <v>17</v>
      </c>
      <c r="B16">
        <v>75.069999999999993</v>
      </c>
      <c r="D16" s="2">
        <f>1.1*B89*0.000001*B16</f>
        <v>8.2576999999999987E-4</v>
      </c>
      <c r="E16" s="2">
        <f>2.8*0.000001*B16</f>
        <v>2.1019599999999998E-4</v>
      </c>
      <c r="F16" s="2">
        <f>6.7*B89*B16*0.000001</f>
        <v>5.029689999999999E-3</v>
      </c>
      <c r="G16" s="2">
        <f>0.77*B89*0.000001*B16</f>
        <v>5.7803899999999992E-4</v>
      </c>
      <c r="J16" s="2">
        <f>6.6571*B89*0.000001*B16</f>
        <v>4.9974849699999995E-3</v>
      </c>
      <c r="K16" s="2">
        <f>2.76*B89*0.000001*B16</f>
        <v>2.0719319999999994E-3</v>
      </c>
    </row>
    <row r="17" spans="1:11" x14ac:dyDescent="0.35">
      <c r="A17" s="2" t="s">
        <v>18</v>
      </c>
      <c r="B17">
        <v>131.16999999999999</v>
      </c>
      <c r="D17" s="2">
        <f>0.66*B89*0.000001*B17</f>
        <v>8.6572199999999998E-4</v>
      </c>
      <c r="E17" s="2">
        <f>0.6*0.000001*B17</f>
        <v>7.8701999999999993E-5</v>
      </c>
      <c r="F17" s="2">
        <f>0.5*B89*0.000001*B17</f>
        <v>6.5584999999999992E-4</v>
      </c>
      <c r="G17" s="2">
        <f>0.029*B89*0.000001*B17</f>
        <v>3.80393E-5</v>
      </c>
      <c r="J17" s="2">
        <f>0.5275*B89*0.000001*B17</f>
        <v>6.9192174999999989E-4</v>
      </c>
    </row>
    <row r="18" spans="1:11" x14ac:dyDescent="0.35">
      <c r="A18" s="2" t="s">
        <v>19</v>
      </c>
      <c r="B18">
        <v>131.16999999999999</v>
      </c>
      <c r="D18" s="2">
        <f>0.57*B89*0.000001*B18</f>
        <v>7.4766899999999974E-4</v>
      </c>
      <c r="E18" s="2">
        <f>0.71*0.000001*B18</f>
        <v>9.3130699999999992E-5</v>
      </c>
      <c r="F18" s="2">
        <f>0.5*B89*0.000001*B18</f>
        <v>6.5584999999999992E-4</v>
      </c>
      <c r="G18" s="2">
        <f>0.037*B89*0.000001*B18</f>
        <v>4.8532899999999997E-5</v>
      </c>
      <c r="J18" s="2">
        <f>0.5114*B89*0.000001*B18</f>
        <v>6.7080337999999987E-4</v>
      </c>
    </row>
    <row r="19" spans="1:11" x14ac:dyDescent="0.35">
      <c r="A19" s="2" t="s">
        <v>20</v>
      </c>
      <c r="B19">
        <v>134.09</v>
      </c>
      <c r="D19" s="2">
        <f>0.69*B89*0.000001*B19</f>
        <v>9.2522099999999994E-4</v>
      </c>
      <c r="E19" s="2">
        <f>71.61*0.000001*B19</f>
        <v>9.6021848999999996E-3</v>
      </c>
      <c r="G19" s="2">
        <f>3.7*B89*0.000001*B19</f>
        <v>4.9613299999999999E-3</v>
      </c>
      <c r="H19" s="2">
        <f>2.6*B89*0.000001*B19</f>
        <v>3.4863399999999997E-3</v>
      </c>
      <c r="I19" s="2">
        <f>3222*B89*0.000000001*B19</f>
        <v>4.3203798000000003E-3</v>
      </c>
      <c r="J19" s="2">
        <f>3.3539*B89*0.000001*B19</f>
        <v>4.4972445099999998E-3</v>
      </c>
      <c r="K19" s="2">
        <f>0.66*B89*0.000001*B19</f>
        <v>8.8499400000000006E-4</v>
      </c>
    </row>
    <row r="20" spans="1:11" x14ac:dyDescent="0.35">
      <c r="A20" s="2" t="s">
        <v>21</v>
      </c>
      <c r="B20">
        <v>149.21</v>
      </c>
      <c r="D20" s="2">
        <f>1.13*B89*0.000001*B20</f>
        <v>1.686073E-3</v>
      </c>
      <c r="E20" s="2">
        <f>0.36*0.000001*B20</f>
        <v>5.3715600000000005E-5</v>
      </c>
      <c r="F20" s="2">
        <f>1.3*B89*0.000001*B20</f>
        <v>1.93973E-3</v>
      </c>
      <c r="G20" s="2">
        <f>0.019*B89*0.000001*B20</f>
        <v>2.8349899999999998E-5</v>
      </c>
      <c r="J20" s="2">
        <f>1.315*B89*0.000001*B20</f>
        <v>1.9621114999999996E-3</v>
      </c>
    </row>
    <row r="21" spans="1:11" x14ac:dyDescent="0.35">
      <c r="A21" s="2" t="s">
        <v>22</v>
      </c>
      <c r="B21">
        <v>165.19</v>
      </c>
      <c r="D21" s="2">
        <f>1.16*B89*0.000001*B21</f>
        <v>1.9162039999999999E-3</v>
      </c>
      <c r="E21" s="2">
        <f>0.93*0.000001*B21</f>
        <v>1.5362669999999999E-4</v>
      </c>
      <c r="F21" s="2">
        <f>1.4*B89*0.000001*B21</f>
        <v>2.3126599999999998E-3</v>
      </c>
      <c r="G21" s="2">
        <f>0.09*B89*0.000001*B21</f>
        <v>1.4867099999999999E-4</v>
      </c>
      <c r="J21" s="2">
        <f>1.3563*B89*0.000001*B21</f>
        <v>2.24047197E-3</v>
      </c>
      <c r="K21" s="2">
        <f>0.35*B89*0.000001*B21</f>
        <v>5.7816499999999995E-4</v>
      </c>
    </row>
    <row r="22" spans="1:11" x14ac:dyDescent="0.35">
      <c r="A22" s="2" t="s">
        <v>23</v>
      </c>
      <c r="B22">
        <v>94.971000000000004</v>
      </c>
      <c r="D22" s="2">
        <f>0.98*B89*0.000001*B22</f>
        <v>9.3071580000000009E-4</v>
      </c>
      <c r="J22" s="2">
        <f>2.3432*B89*0.000001*B22</f>
        <v>2.2253604719999999E-3</v>
      </c>
    </row>
    <row r="23" spans="1:11" x14ac:dyDescent="0.35">
      <c r="A23" s="2" t="s">
        <v>24</v>
      </c>
      <c r="B23">
        <v>115.13</v>
      </c>
      <c r="D23" s="2">
        <f>0.72*B89*0.000001*B23</f>
        <v>8.2893599999999984E-4</v>
      </c>
      <c r="E23" s="2">
        <f>10.9*0.000001*B23</f>
        <v>1.2549169999999999E-3</v>
      </c>
      <c r="F23" s="2">
        <f>3.8*B89*0.000001*B23</f>
        <v>4.374939999999999E-3</v>
      </c>
      <c r="J23" s="2">
        <f>3.8452*B89*0.000001*B23</f>
        <v>4.4269787599999994E-3</v>
      </c>
    </row>
    <row r="24" spans="1:11" x14ac:dyDescent="0.35">
      <c r="A24" s="2" t="s">
        <v>25</v>
      </c>
      <c r="B24">
        <v>88.15</v>
      </c>
      <c r="D24" s="2">
        <f>0.69*B89*0.000001*B24</f>
        <v>6.0823499999999994E-4</v>
      </c>
      <c r="F24" s="2">
        <f>0.9*B89*0.000001*B24</f>
        <v>7.9335000000000007E-4</v>
      </c>
      <c r="J24" s="2">
        <f>0.8543*B89*0.000001*B24</f>
        <v>7.5306544999999996E-4</v>
      </c>
    </row>
    <row r="25" spans="1:11" x14ac:dyDescent="0.35">
      <c r="A25" s="2" t="s">
        <v>26</v>
      </c>
      <c r="B25">
        <v>87.05</v>
      </c>
      <c r="D25" s="2">
        <f>1.08*B89*0.000001*B25</f>
        <v>9.4014000000000001E-4</v>
      </c>
      <c r="F25" s="2">
        <f>0.8*B89*0.000001*B25</f>
        <v>6.9639999999999991E-4</v>
      </c>
      <c r="I25" s="2">
        <f>25.8*B89*0.000000001*B25</f>
        <v>2.2458899999999999E-5</v>
      </c>
      <c r="J25" s="2">
        <f>0.8028*B89*0.000001*B25</f>
        <v>6.9883739999999982E-4</v>
      </c>
    </row>
    <row r="26" spans="1:11" x14ac:dyDescent="0.35">
      <c r="A26" s="2" t="s">
        <v>27</v>
      </c>
      <c r="B26">
        <v>504.4</v>
      </c>
      <c r="D26" s="2">
        <f>0.22*B89*0.000001*B26</f>
        <v>1.10968E-3</v>
      </c>
      <c r="E26" s="2">
        <f>0.04*0.000001*B26</f>
        <v>2.0175999999999998E-5</v>
      </c>
      <c r="F26" s="2">
        <f>2.1*B89*0.000001*B26</f>
        <v>1.0592399999999998E-2</v>
      </c>
      <c r="J26" s="2">
        <f>2.073*B89*0.000001*B26</f>
        <v>1.0456211999999999E-2</v>
      </c>
    </row>
    <row r="27" spans="1:11" x14ac:dyDescent="0.35">
      <c r="A27" s="2" t="s">
        <v>28</v>
      </c>
      <c r="B27">
        <v>105.09</v>
      </c>
      <c r="D27" s="2">
        <f>0.68*B89*0.000001*B27</f>
        <v>7.1461199999999999E-4</v>
      </c>
      <c r="F27" s="2">
        <f>3.8*B89*0.000001*B27</f>
        <v>3.9934199999999993E-3</v>
      </c>
      <c r="G27" s="2">
        <f>4.54*B89*0.000001*B27</f>
        <v>4.7710859999999999E-3</v>
      </c>
      <c r="J27" s="2">
        <f>3.8199*B89*0.000001*B27</f>
        <v>4.0143329099999996E-3</v>
      </c>
      <c r="K27" s="2">
        <f>1.88*B89*0.000001*B27</f>
        <v>1.9756919999999998E-3</v>
      </c>
    </row>
    <row r="28" spans="1:11" x14ac:dyDescent="0.35">
      <c r="A28" s="2" t="s">
        <v>29</v>
      </c>
      <c r="B28">
        <v>174.15</v>
      </c>
      <c r="D28" s="2">
        <f>0.99*B89*0.000001*B28</f>
        <v>1.724085E-3</v>
      </c>
      <c r="F28" s="2">
        <f>1.6*B89*0.000001*B28</f>
        <v>2.7864000000000001E-3</v>
      </c>
      <c r="I28" s="2">
        <f>38.7*B89*0.000000001*B28</f>
        <v>6.7396050000000007E-5</v>
      </c>
      <c r="J28" s="2">
        <f>1.5933*B89*0.000001*B28</f>
        <v>2.7747319499999996E-3</v>
      </c>
    </row>
    <row r="29" spans="1:11" x14ac:dyDescent="0.35">
      <c r="A29" s="2" t="s">
        <v>30</v>
      </c>
      <c r="B29">
        <v>116.07</v>
      </c>
      <c r="D29" s="2">
        <f>0.79*B89*0.000001*B29</f>
        <v>9.1695299999999997E-4</v>
      </c>
      <c r="E29" s="2">
        <f>4.49*0.000001*B29</f>
        <v>5.2115430000000001E-4</v>
      </c>
      <c r="F29" s="2">
        <f>0.6*B89*0.000001*B29</f>
        <v>6.9642E-4</v>
      </c>
      <c r="I29" s="2">
        <f>122*B89*0.000000001*B29</f>
        <v>1.4160540000000002E-4</v>
      </c>
      <c r="J29" s="2">
        <f>0.5877*B89*0.000001*B29</f>
        <v>6.8214338999999992E-4</v>
      </c>
      <c r="K29" s="2">
        <f>0.12*B89*0.000001*B29</f>
        <v>1.3928399999999999E-4</v>
      </c>
    </row>
    <row r="30" spans="1:11" x14ac:dyDescent="0.35">
      <c r="A30" s="2" t="s">
        <v>31</v>
      </c>
      <c r="B30">
        <v>119.12</v>
      </c>
      <c r="D30" s="2">
        <f>0.94*B89*0.000001*B30</f>
        <v>1.1197279999999997E-3</v>
      </c>
      <c r="F30" s="2">
        <f>2.2*B89*0.000001*B30</f>
        <v>2.62064E-3</v>
      </c>
      <c r="G30" s="2">
        <f>0.59*B89*0.000001*B30</f>
        <v>7.0280799999999997E-4</v>
      </c>
      <c r="J30" s="2">
        <f>2.2326*B89*0.000001*B30</f>
        <v>2.6594731199999998E-3</v>
      </c>
      <c r="K30" s="2">
        <f>0.67*B89*0.000001*B30</f>
        <v>7.9810400000000011E-4</v>
      </c>
    </row>
    <row r="31" spans="1:11" x14ac:dyDescent="0.35">
      <c r="A31" s="2" t="s">
        <v>32</v>
      </c>
      <c r="B31">
        <v>204.22</v>
      </c>
      <c r="D31" s="2">
        <f>0.69*B89*0.000001*B31</f>
        <v>1.4091179999999998E-3</v>
      </c>
      <c r="E31" s="2">
        <f>0.3*0.000001*B31</f>
        <v>6.1265999999999992E-5</v>
      </c>
      <c r="F31" s="2">
        <f>0.7*B89*0.000001*B31</f>
        <v>1.42954E-3</v>
      </c>
      <c r="G31" s="2">
        <f>0.02*B89*0.000001*B31</f>
        <v>4.0843999999999997E-5</v>
      </c>
      <c r="J31" s="2">
        <f>0.7284*B89*0.000001*B31</f>
        <v>1.4875384800000001E-3</v>
      </c>
    </row>
    <row r="32" spans="1:11" x14ac:dyDescent="0.35">
      <c r="A32" s="2" t="s">
        <v>33</v>
      </c>
      <c r="B32">
        <v>181.19</v>
      </c>
      <c r="D32" s="2">
        <f>0.72*B89*0.000001*B32</f>
        <v>1.3045679999999999E-3</v>
      </c>
      <c r="E32" s="2">
        <f>0.75*0.000001*B32</f>
        <v>1.3589250000000001E-4</v>
      </c>
      <c r="F32" s="2">
        <f>1.5*B89*0.000001*B32</f>
        <v>2.7178499999999995E-3</v>
      </c>
      <c r="G32" s="2">
        <f>0.008*B89*0.000001*B32</f>
        <v>1.44952E-5</v>
      </c>
      <c r="J32" s="2">
        <f>1.463*B89*0.000001*B32</f>
        <v>2.6508096999999999E-3</v>
      </c>
    </row>
    <row r="33" spans="1:11" x14ac:dyDescent="0.35">
      <c r="A33" s="2" t="s">
        <v>34</v>
      </c>
      <c r="B33">
        <v>566.29999999999995</v>
      </c>
      <c r="D33" s="2">
        <f>1.25*B89*0.000001*B33</f>
        <v>7.0787499999999991E-3</v>
      </c>
      <c r="I33" s="2">
        <f>151*0.000000001*B89*B33</f>
        <v>8.5511300000000001E-4</v>
      </c>
    </row>
    <row r="34" spans="1:11" x14ac:dyDescent="0.35">
      <c r="A34" s="2" t="s">
        <v>35</v>
      </c>
      <c r="B34">
        <v>117.15</v>
      </c>
      <c r="D34" s="2">
        <f>0.83*B89*0.000001*B34</f>
        <v>9.7234499999999989E-4</v>
      </c>
      <c r="E34" s="2">
        <f>1.13*0.000001*B34</f>
        <v>1.3237949999999997E-4</v>
      </c>
      <c r="F34" s="2">
        <f>1*B89*0.000001*B34</f>
        <v>1.1715E-3</v>
      </c>
      <c r="G34" s="2">
        <f>0.1*B89*0.000001*B34</f>
        <v>1.1715E-4</v>
      </c>
      <c r="J34" s="2">
        <f>0.9901*B89*0.000001*B34</f>
        <v>1.15990215E-3</v>
      </c>
      <c r="K34" s="2">
        <f>0.05*B89*0.000001*B34</f>
        <v>5.8575000000000001E-5</v>
      </c>
    </row>
    <row r="35" spans="1:11" x14ac:dyDescent="0.35">
      <c r="A35" s="2" t="s">
        <v>37</v>
      </c>
      <c r="B35">
        <v>121.16</v>
      </c>
      <c r="E35" s="2">
        <f>0.17*0.000001*B35</f>
        <v>2.05972E-5</v>
      </c>
    </row>
    <row r="36" spans="1:11" x14ac:dyDescent="0.35">
      <c r="A36" s="2" t="s">
        <v>38</v>
      </c>
      <c r="B36">
        <v>132.16</v>
      </c>
      <c r="E36" s="2">
        <f>0.13*0.000001*B36</f>
        <v>1.71808E-5</v>
      </c>
    </row>
    <row r="37" spans="1:11" x14ac:dyDescent="0.35">
      <c r="A37" s="2" t="s">
        <v>39</v>
      </c>
      <c r="B37">
        <v>146.19</v>
      </c>
      <c r="E37" s="2">
        <f>0.91*0.000001*B37</f>
        <v>1.330329E-4</v>
      </c>
      <c r="F37" s="2">
        <f>0.4*B89*0.000001*B37</f>
        <v>5.8475999999999992E-4</v>
      </c>
      <c r="G37" s="2">
        <f>0.026*B89*0.000001*B37</f>
        <v>3.8009400000000002E-5</v>
      </c>
      <c r="J37" s="2">
        <f>0.4365*B89*0.000001*B37</f>
        <v>6.3811934999999994E-4</v>
      </c>
    </row>
    <row r="38" spans="1:11" x14ac:dyDescent="0.35">
      <c r="A38" s="2" t="s">
        <v>40</v>
      </c>
      <c r="B38">
        <v>76.05</v>
      </c>
      <c r="E38" s="2">
        <f>0.45*0.000001*B38</f>
        <v>3.42225E-5</v>
      </c>
    </row>
    <row r="39" spans="1:11" x14ac:dyDescent="0.35">
      <c r="A39" s="2" t="s">
        <v>41</v>
      </c>
      <c r="B39">
        <v>189.1</v>
      </c>
      <c r="E39" s="2">
        <f>146.94*0.000001*B39</f>
        <v>2.7786353999999999E-2</v>
      </c>
      <c r="F39" s="2">
        <f>1.5*B89*0.000001*B39</f>
        <v>2.8364999999999996E-3</v>
      </c>
      <c r="I39" s="2">
        <f>1688*B89*0.000000001*B39</f>
        <v>3.1920080000000001E-3</v>
      </c>
      <c r="J39" s="2">
        <f>1.5277*B89*0.000001*B39</f>
        <v>2.8888806999999997E-3</v>
      </c>
    </row>
    <row r="40" spans="1:11" x14ac:dyDescent="0.35">
      <c r="A40" s="2" t="s">
        <v>42</v>
      </c>
      <c r="B40">
        <v>180.16</v>
      </c>
      <c r="E40" s="2">
        <f>0.48*0.000001*B40</f>
        <v>8.6476799999999992E-5</v>
      </c>
    </row>
    <row r="41" spans="1:11" x14ac:dyDescent="0.35">
      <c r="A41" s="2" t="s">
        <v>43</v>
      </c>
      <c r="B41">
        <v>180.16</v>
      </c>
      <c r="D41" s="2">
        <f>0.58*B89*0.000001*B41</f>
        <v>1.0449279999999999E-3</v>
      </c>
      <c r="E41" s="2">
        <f>5.25*0.000001*B41</f>
        <v>9.4583999999999998E-4</v>
      </c>
      <c r="F41" s="2">
        <f>2.8*B89*0.000001*B41</f>
        <v>5.0444799999999996E-3</v>
      </c>
      <c r="J41" s="2">
        <f>2.8213*B89*0.000001*B41</f>
        <v>5.08285408E-3</v>
      </c>
    </row>
    <row r="42" spans="1:11" x14ac:dyDescent="0.35">
      <c r="A42" s="2" t="s">
        <v>44</v>
      </c>
      <c r="B42">
        <v>342.3</v>
      </c>
      <c r="E42" s="2">
        <f>0.12*0.000001*B42</f>
        <v>4.1075999999999998E-5</v>
      </c>
      <c r="F42" s="2">
        <f>0.5*B89*0.000001*B42</f>
        <v>1.7114999999999999E-3</v>
      </c>
      <c r="J42" s="2">
        <f>0.5195*B89*0.000001*B42</f>
        <v>1.7782484999999998E-3</v>
      </c>
    </row>
    <row r="43" spans="1:11" x14ac:dyDescent="0.35">
      <c r="A43" s="2" t="s">
        <v>45</v>
      </c>
      <c r="B43">
        <v>342.3</v>
      </c>
      <c r="E43" s="2">
        <f>0.13*0.000001*B43</f>
        <v>4.4499000000000002E-5</v>
      </c>
      <c r="F43" s="2">
        <f>1*B89*0.000001*B43</f>
        <v>3.4229999999999998E-3</v>
      </c>
      <c r="J43" s="2">
        <f>1.0012*B89*0.000001*B43</f>
        <v>3.4271076000000002E-3</v>
      </c>
    </row>
    <row r="44" spans="1:11" x14ac:dyDescent="0.35">
      <c r="A44" s="2" t="s">
        <v>47</v>
      </c>
      <c r="B44">
        <v>89.09</v>
      </c>
      <c r="E44" s="2">
        <f>0.5*B89*0.000001*B44</f>
        <v>4.4544999999999996E-4</v>
      </c>
      <c r="J44" s="2">
        <f>0.5434*B89*0.000001*B44</f>
        <v>4.8411506E-4</v>
      </c>
    </row>
    <row r="45" spans="1:11" x14ac:dyDescent="0.35">
      <c r="A45" s="2" t="s">
        <v>48</v>
      </c>
      <c r="B45">
        <v>132.12</v>
      </c>
      <c r="E45" s="2">
        <f>1*B89*0.000001*B45</f>
        <v>1.3212E-3</v>
      </c>
      <c r="G45" s="2">
        <f>0.93*B89*0.000001*B45</f>
        <v>1.2287160000000001E-3</v>
      </c>
      <c r="J45" s="2">
        <f>1.0089*B89*0.000001*B45</f>
        <v>1.3329586799999999E-3</v>
      </c>
    </row>
    <row r="46" spans="1:11" x14ac:dyDescent="0.35">
      <c r="A46" s="2" t="s">
        <v>49</v>
      </c>
      <c r="B46">
        <v>121.11</v>
      </c>
      <c r="E46" s="2">
        <f>0.9*B89*0.000001*B46</f>
        <v>1.0899900000000001E-3</v>
      </c>
      <c r="J46" s="2">
        <f>0.9028*B89*0.000001*B46</f>
        <v>1.0933810800000002E-3</v>
      </c>
    </row>
    <row r="47" spans="1:11" x14ac:dyDescent="0.35">
      <c r="A47" s="2" t="s">
        <v>50</v>
      </c>
      <c r="B47">
        <v>90.08</v>
      </c>
      <c r="E47" s="2">
        <f>3.3*B89*0.000001*B47</f>
        <v>2.9726399999999995E-3</v>
      </c>
      <c r="J47" s="2">
        <f>3.2629*B89*0.000001*B47</f>
        <v>2.9392203200000002E-3</v>
      </c>
    </row>
    <row r="48" spans="1:11" x14ac:dyDescent="0.35">
      <c r="A48" s="2" t="s">
        <v>51</v>
      </c>
      <c r="B48">
        <v>122.12</v>
      </c>
      <c r="E48" s="2">
        <f>0.9*B89*0.000001*B48</f>
        <v>1.0990800000000001E-3</v>
      </c>
      <c r="J48" s="2">
        <f>0.9487*B89*0.000001*B48</f>
        <v>1.15855244E-3</v>
      </c>
    </row>
    <row r="49" spans="1:10" x14ac:dyDescent="0.35">
      <c r="A49" s="2" t="s">
        <v>52</v>
      </c>
      <c r="B49">
        <v>342.3</v>
      </c>
      <c r="E49" s="2">
        <f>1.4*B89*0.000001*B49</f>
        <v>4.7921999999999999E-3</v>
      </c>
      <c r="J49" s="2">
        <f>1.4342*B89*0.000001*B49</f>
        <v>4.9092665999999991E-3</v>
      </c>
    </row>
    <row r="50" spans="1:10" x14ac:dyDescent="0.35">
      <c r="A50" s="2" t="s">
        <v>53</v>
      </c>
      <c r="B50">
        <v>146.1</v>
      </c>
      <c r="E50" s="2">
        <f>0.7*B89*0.000001*B50</f>
        <v>1.0226999999999999E-3</v>
      </c>
      <c r="I50" s="2">
        <f>90.4*B89*0.000000001*B50</f>
        <v>1.3207440000000001E-4</v>
      </c>
      <c r="J50" s="2">
        <f>0.6603*B89*0.000001*B50</f>
        <v>9.6469829999999983E-4</v>
      </c>
    </row>
    <row r="51" spans="1:10" x14ac:dyDescent="0.35">
      <c r="A51" s="2" t="s">
        <v>54</v>
      </c>
      <c r="B51">
        <v>131.13</v>
      </c>
      <c r="F51" s="2">
        <f>1.1*B89*0.000001*B51</f>
        <v>1.44243E-3</v>
      </c>
      <c r="J51" s="2">
        <f>1.0618*B89*0.000001*B51</f>
        <v>1.3923383400000001E-3</v>
      </c>
    </row>
    <row r="52" spans="1:10" x14ac:dyDescent="0.35">
      <c r="A52" s="2" t="s">
        <v>55</v>
      </c>
      <c r="B52">
        <v>60.055999999999997</v>
      </c>
      <c r="F52" s="2">
        <f>1.2*B89*0.000001*B52</f>
        <v>7.20672E-4</v>
      </c>
      <c r="J52" s="2">
        <f>1.2239*B89*0.000001*B52</f>
        <v>7.3502538400000003E-4</v>
      </c>
    </row>
    <row r="53" spans="1:10" x14ac:dyDescent="0.35">
      <c r="A53" s="2" t="s">
        <v>56</v>
      </c>
      <c r="B53">
        <v>150.13</v>
      </c>
      <c r="F53" s="2">
        <f>1*B89*0.000001*B53</f>
        <v>1.5012999999999999E-3</v>
      </c>
      <c r="J53" s="2">
        <f>0.9813*B89*0.000001*B53</f>
        <v>1.4732256899999997E-3</v>
      </c>
    </row>
    <row r="54" spans="1:10" x14ac:dyDescent="0.35">
      <c r="A54" s="2" t="s">
        <v>57</v>
      </c>
      <c r="B54">
        <v>59.07</v>
      </c>
      <c r="F54" s="2">
        <f>2*B89*0.000001*B54</f>
        <v>1.1814E-3</v>
      </c>
      <c r="J54" s="2">
        <f>2.03*B89*0.000001*B54</f>
        <v>1.1991209999999998E-3</v>
      </c>
    </row>
    <row r="55" spans="1:10" x14ac:dyDescent="0.35">
      <c r="A55" s="2" t="s">
        <v>58</v>
      </c>
      <c r="B55">
        <v>137.11000000000001</v>
      </c>
      <c r="F55" s="2">
        <f>0.2*B89*0.000001*B55</f>
        <v>2.7422000000000004E-4</v>
      </c>
    </row>
    <row r="56" spans="1:10" x14ac:dyDescent="0.35">
      <c r="A56" s="2" t="s">
        <v>60</v>
      </c>
      <c r="B56">
        <v>155.15</v>
      </c>
      <c r="G56" s="2">
        <f>0.032*B89*0.000001*B56</f>
        <v>4.9648000000000003E-5</v>
      </c>
    </row>
    <row r="57" spans="1:10" x14ac:dyDescent="0.35">
      <c r="A57" s="2" t="s">
        <v>63</v>
      </c>
      <c r="B57">
        <v>174.11</v>
      </c>
      <c r="I57" s="2">
        <f>22.8*B89*0.000000001*B57</f>
        <v>3.9697080000000002E-5</v>
      </c>
    </row>
    <row r="58" spans="1:10" x14ac:dyDescent="0.35">
      <c r="A58" s="2" t="s">
        <v>64</v>
      </c>
      <c r="B58">
        <v>507.18</v>
      </c>
      <c r="I58" s="2">
        <f>101*B89*0.000000001*B58</f>
        <v>5.1225180000000008E-4</v>
      </c>
    </row>
    <row r="59" spans="1:10" x14ac:dyDescent="0.35">
      <c r="A59" s="2" t="s">
        <v>65</v>
      </c>
      <c r="B59">
        <v>427.2</v>
      </c>
      <c r="I59" s="2">
        <f>24.3*B89*0.000000001*B59</f>
        <v>1.038096E-4</v>
      </c>
    </row>
    <row r="60" spans="1:10" x14ac:dyDescent="0.35">
      <c r="A60" s="2" t="s">
        <v>66</v>
      </c>
      <c r="B60">
        <v>347.22</v>
      </c>
      <c r="I60" s="2">
        <f>8.66*B89*0.000000001*B60</f>
        <v>3.0069251999999999E-5</v>
      </c>
    </row>
    <row r="61" spans="1:10" x14ac:dyDescent="0.35">
      <c r="A61" s="2" t="s">
        <v>67</v>
      </c>
      <c r="B61">
        <v>589.29999999999995</v>
      </c>
      <c r="I61" s="2">
        <f>1.02*B89*0.000000001*B61</f>
        <v>6.0108600000000001E-6</v>
      </c>
    </row>
    <row r="62" spans="1:10" x14ac:dyDescent="0.35">
      <c r="A62" s="2" t="s">
        <v>68</v>
      </c>
      <c r="B62">
        <v>170.06</v>
      </c>
      <c r="I62" s="2">
        <f>57.3*B89*0.000000001*B62</f>
        <v>9.744438000000001E-5</v>
      </c>
    </row>
    <row r="63" spans="1:10" x14ac:dyDescent="0.35">
      <c r="A63" s="2" t="s">
        <v>69</v>
      </c>
      <c r="B63">
        <v>260.14</v>
      </c>
      <c r="I63" s="2">
        <f>128*B89*0.000000001*B63</f>
        <v>3.3297919999999997E-4</v>
      </c>
    </row>
    <row r="64" spans="1:10" x14ac:dyDescent="0.35">
      <c r="A64" s="2" t="s">
        <v>70</v>
      </c>
      <c r="B64">
        <v>340.12</v>
      </c>
      <c r="I64" s="2">
        <f>31.2*B89*0.000000001*B64</f>
        <v>1.0611744000000002E-4</v>
      </c>
    </row>
    <row r="65" spans="1:9" x14ac:dyDescent="0.35">
      <c r="A65" s="2" t="s">
        <v>71</v>
      </c>
      <c r="B65">
        <v>260.14</v>
      </c>
      <c r="I65" s="2">
        <f>11.4*B89*0.000000001*B65</f>
        <v>2.9655959999999999E-5</v>
      </c>
    </row>
    <row r="66" spans="1:9" x14ac:dyDescent="0.35">
      <c r="A66" s="2" t="s">
        <v>72</v>
      </c>
      <c r="B66">
        <v>170.06</v>
      </c>
      <c r="I66" s="2">
        <f>47.5*B89*0.000000001*B66</f>
        <v>8.0778499999999999E-5</v>
      </c>
    </row>
    <row r="67" spans="1:9" x14ac:dyDescent="0.35">
      <c r="A67" s="2" t="s">
        <v>88</v>
      </c>
      <c r="B67">
        <v>260.14</v>
      </c>
      <c r="I67" s="2">
        <f>272*B89*0.000000001*B67</f>
        <v>7.0758080000000003E-4</v>
      </c>
    </row>
    <row r="68" spans="1:9" x14ac:dyDescent="0.35">
      <c r="A68" s="2" t="s">
        <v>73</v>
      </c>
      <c r="B68">
        <v>192.12</v>
      </c>
      <c r="I68" s="2">
        <f>49.9*B89*0.000000001*B68</f>
        <v>9.5867880000000003E-5</v>
      </c>
    </row>
    <row r="69" spans="1:9" x14ac:dyDescent="0.35">
      <c r="A69" s="2" t="s">
        <v>74</v>
      </c>
      <c r="B69">
        <v>663.4</v>
      </c>
      <c r="I69" s="2">
        <f>14*B89*0.000000001*B69</f>
        <v>9.2875999999999996E-5</v>
      </c>
    </row>
    <row r="70" spans="1:9" x14ac:dyDescent="0.35">
      <c r="A70" s="2" t="s">
        <v>75</v>
      </c>
      <c r="B70">
        <v>743.4</v>
      </c>
      <c r="I70" s="2">
        <f>3.16*B89*0.000000001*B70</f>
        <v>2.3491440000000003E-5</v>
      </c>
    </row>
    <row r="71" spans="1:9" x14ac:dyDescent="0.35">
      <c r="A71" s="2" t="s">
        <v>76</v>
      </c>
      <c r="B71">
        <v>186.06</v>
      </c>
      <c r="I71" s="2">
        <f>168*B89*0.000000001*B71</f>
        <v>3.1258080000000002E-4</v>
      </c>
    </row>
    <row r="72" spans="1:9" x14ac:dyDescent="0.35">
      <c r="A72" s="2" t="s">
        <v>89</v>
      </c>
      <c r="B72">
        <v>168.04</v>
      </c>
      <c r="I72" s="2">
        <f>43.5*B89*0.000000001*B72</f>
        <v>7.3097399999999996E-5</v>
      </c>
    </row>
    <row r="73" spans="1:9" x14ac:dyDescent="0.35">
      <c r="A73" s="2" t="s">
        <v>77</v>
      </c>
      <c r="B73">
        <v>230.11</v>
      </c>
      <c r="I73" s="2">
        <f>3.28*B89*0.000000001*B73</f>
        <v>7.5476079999999998E-6</v>
      </c>
    </row>
    <row r="74" spans="1:9" x14ac:dyDescent="0.35">
      <c r="A74" s="2" t="s">
        <v>78</v>
      </c>
      <c r="B74">
        <v>310.08999999999997</v>
      </c>
      <c r="I74" s="2">
        <f>118*B89*0.000000001*B74</f>
        <v>3.659062E-4</v>
      </c>
    </row>
    <row r="75" spans="1:9" x14ac:dyDescent="0.35">
      <c r="A75" t="s">
        <v>79</v>
      </c>
      <c r="B75">
        <v>290.16000000000003</v>
      </c>
      <c r="I75" s="2">
        <f>87.5*B89*0.000000001*B75</f>
        <v>2.5389000000000005E-4</v>
      </c>
    </row>
    <row r="76" spans="1:9" x14ac:dyDescent="0.35">
      <c r="A76" s="2" t="s">
        <v>80</v>
      </c>
      <c r="B76">
        <v>370.14</v>
      </c>
      <c r="I76" s="2">
        <f>34.1*B89*0.000000001*B76</f>
        <v>1.2621774E-4</v>
      </c>
    </row>
    <row r="77" spans="1:9" x14ac:dyDescent="0.35">
      <c r="A77" s="2" t="s">
        <v>81</v>
      </c>
      <c r="B77">
        <v>422.28</v>
      </c>
      <c r="I77" s="2">
        <f>0.12*B89*0.000000001*B77</f>
        <v>5.0673599999999999E-7</v>
      </c>
    </row>
    <row r="78" spans="1:9" x14ac:dyDescent="0.35">
      <c r="A78" s="2" t="s">
        <v>83</v>
      </c>
      <c r="B78">
        <v>164.16</v>
      </c>
      <c r="I78" s="2">
        <f>0.8044*B89*0.000001*B78</f>
        <v>1.3205030399999998E-3</v>
      </c>
    </row>
    <row r="79" spans="1:9" x14ac:dyDescent="0.35">
      <c r="A79" s="2" t="s">
        <v>84</v>
      </c>
      <c r="B79">
        <v>92.09</v>
      </c>
      <c r="I79" s="2">
        <f>1.0903*B89*0.000001*B79</f>
        <v>1.00405727E-3</v>
      </c>
    </row>
    <row r="80" spans="1:9" x14ac:dyDescent="0.35">
      <c r="A80" s="2" t="s">
        <v>85</v>
      </c>
      <c r="B80">
        <v>180.16</v>
      </c>
      <c r="I80" s="2">
        <f>1.454*B89*0.000001*B80</f>
        <v>2.6195263999999998E-3</v>
      </c>
    </row>
    <row r="81" spans="1:9" x14ac:dyDescent="0.35">
      <c r="A81" s="2" t="s">
        <v>86</v>
      </c>
      <c r="B81">
        <v>122.1</v>
      </c>
      <c r="I81" s="2">
        <f>0.2143*B89*0.000001*B81</f>
        <v>2.6166029999999992E-4</v>
      </c>
    </row>
    <row r="88" spans="1:9" x14ac:dyDescent="0.35">
      <c r="A88" s="2" t="s">
        <v>92</v>
      </c>
    </row>
    <row r="89" spans="1:9" x14ac:dyDescent="0.35">
      <c r="A89" s="2" t="s">
        <v>10</v>
      </c>
      <c r="B89" s="2">
        <v>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Wendering</dc:creator>
  <cp:lastModifiedBy>Philipp Wendering</cp:lastModifiedBy>
  <dcterms:created xsi:type="dcterms:W3CDTF">2022-04-13T16:16:16Z</dcterms:created>
  <dcterms:modified xsi:type="dcterms:W3CDTF">2022-04-14T09:26:19Z</dcterms:modified>
</cp:coreProperties>
</file>