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1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ul\Documents\Sun direction\"/>
    </mc:Choice>
  </mc:AlternateContent>
  <xr:revisionPtr revIDLastSave="0" documentId="13_ncr:1_{3D7CB9EC-13F5-430A-8948-6BE9557976CA}" xr6:coauthVersionLast="47" xr6:coauthVersionMax="47" xr10:uidLastSave="{00000000-0000-0000-0000-000000000000}"/>
  <bookViews>
    <workbookView xWindow="-120" yWindow="-120" windowWidth="29040" windowHeight="15840" tabRatio="776" activeTab="10" xr2:uid="{E642E7AF-51B8-4D95-B221-626245ED2FDE}"/>
  </bookViews>
  <sheets>
    <sheet name="TimeScales" sheetId="26" r:id="rId1"/>
    <sheet name="RightAscensionDecl" sheetId="27" r:id="rId2"/>
    <sheet name="Nutation" sheetId="29" r:id="rId3"/>
    <sheet name="AzimuthAlt" sheetId="28" r:id="rId4"/>
    <sheet name="SunRiseSet" sheetId="30" r:id="rId5"/>
    <sheet name="Moon1" sheetId="32" r:id="rId6"/>
    <sheet name="Moon2" sheetId="33" r:id="rId7"/>
    <sheet name="MoonRiseSet" sheetId="34" r:id="rId8"/>
    <sheet name="Planets" sheetId="36" r:id="rId9"/>
    <sheet name="PhaseOfMoon" sheetId="35" r:id="rId10"/>
    <sheet name="Summary" sheetId="31" r:id="rId11"/>
    <sheet name="Chart" sheetId="37" r:id="rId12"/>
    <sheet name="Orbits" sheetId="38" r:id="rId13"/>
    <sheet name="Sheet2" sheetId="40" r:id="rId14"/>
  </sheets>
  <definedNames>
    <definedName name="deg2rad">#REF!</definedName>
    <definedName name="solver_adj" localSheetId="7" hidden="1">MoonRiseSet!$B$5</definedName>
    <definedName name="solver_adj" localSheetId="1" hidden="1">RightAscensionDecl!$E$30</definedName>
    <definedName name="solver_cvg" localSheetId="7" hidden="1">0.0001</definedName>
    <definedName name="solver_cvg" localSheetId="1" hidden="1">0.0001</definedName>
    <definedName name="solver_drv" localSheetId="7" hidden="1">1</definedName>
    <definedName name="solver_drv" localSheetId="1" hidden="1">1</definedName>
    <definedName name="solver_eng" localSheetId="7" hidden="1">1</definedName>
    <definedName name="solver_eng" localSheetId="1" hidden="1">1</definedName>
    <definedName name="solver_est" localSheetId="7" hidden="1">1</definedName>
    <definedName name="solver_est" localSheetId="1" hidden="1">1</definedName>
    <definedName name="solver_itr" localSheetId="7" hidden="1">2147483647</definedName>
    <definedName name="solver_itr" localSheetId="1" hidden="1">2147483647</definedName>
    <definedName name="solver_mip" localSheetId="7" hidden="1">2147483647</definedName>
    <definedName name="solver_mip" localSheetId="1" hidden="1">2147483647</definedName>
    <definedName name="solver_mni" localSheetId="7" hidden="1">30</definedName>
    <definedName name="solver_mni" localSheetId="1" hidden="1">30</definedName>
    <definedName name="solver_mrt" localSheetId="7" hidden="1">0.075</definedName>
    <definedName name="solver_mrt" localSheetId="1" hidden="1">0.075</definedName>
    <definedName name="solver_msl" localSheetId="7" hidden="1">2</definedName>
    <definedName name="solver_msl" localSheetId="1" hidden="1">2</definedName>
    <definedName name="solver_neg" localSheetId="7" hidden="1">1</definedName>
    <definedName name="solver_neg" localSheetId="1" hidden="1">1</definedName>
    <definedName name="solver_nod" localSheetId="7" hidden="1">2147483647</definedName>
    <definedName name="solver_nod" localSheetId="1" hidden="1">2147483647</definedName>
    <definedName name="solver_num" localSheetId="7" hidden="1">0</definedName>
    <definedName name="solver_num" localSheetId="1" hidden="1">0</definedName>
    <definedName name="solver_nwt" localSheetId="7" hidden="1">1</definedName>
    <definedName name="solver_nwt" localSheetId="1" hidden="1">1</definedName>
    <definedName name="solver_opt" localSheetId="7" hidden="1">MoonRiseSet!$T$10</definedName>
    <definedName name="solver_opt" localSheetId="1" hidden="1">RightAscensionDecl!$C$38</definedName>
    <definedName name="solver_pre" localSheetId="7" hidden="1">0.000001</definedName>
    <definedName name="solver_pre" localSheetId="1" hidden="1">0.000001</definedName>
    <definedName name="solver_rbv" localSheetId="7" hidden="1">1</definedName>
    <definedName name="solver_rbv" localSheetId="1" hidden="1">1</definedName>
    <definedName name="solver_rlx" localSheetId="7" hidden="1">2</definedName>
    <definedName name="solver_rlx" localSheetId="1" hidden="1">2</definedName>
    <definedName name="solver_rsd" localSheetId="7" hidden="1">0</definedName>
    <definedName name="solver_rsd" localSheetId="1" hidden="1">0</definedName>
    <definedName name="solver_scl" localSheetId="7" hidden="1">1</definedName>
    <definedName name="solver_scl" localSheetId="1" hidden="1">1</definedName>
    <definedName name="solver_sho" localSheetId="7" hidden="1">2</definedName>
    <definedName name="solver_sho" localSheetId="1" hidden="1">2</definedName>
    <definedName name="solver_ssz" localSheetId="7" hidden="1">100</definedName>
    <definedName name="solver_ssz" localSheetId="1" hidden="1">100</definedName>
    <definedName name="solver_tim" localSheetId="7" hidden="1">2147483647</definedName>
    <definedName name="solver_tim" localSheetId="1" hidden="1">2147483647</definedName>
    <definedName name="solver_tol" localSheetId="7" hidden="1">0.01</definedName>
    <definedName name="solver_tol" localSheetId="1" hidden="1">0.01</definedName>
    <definedName name="solver_typ" localSheetId="7" hidden="1">3</definedName>
    <definedName name="solver_typ" localSheetId="1" hidden="1">3</definedName>
    <definedName name="solver_val" localSheetId="7" hidden="1">-0.2115</definedName>
    <definedName name="solver_val" localSheetId="1" hidden="1">270</definedName>
    <definedName name="solver_ver" localSheetId="7" hidden="1">3</definedName>
    <definedName name="solver_ver" localSheetId="1" hidden="1">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" i="26" l="1"/>
  <c r="D5" i="31"/>
  <c r="AR6" i="30"/>
  <c r="AI6" i="30"/>
  <c r="Z6" i="30"/>
  <c r="Q6" i="30"/>
  <c r="H6" i="30"/>
  <c r="G5" i="37"/>
  <c r="G6" i="37"/>
  <c r="G7" i="37"/>
  <c r="G8" i="37"/>
  <c r="G9" i="37"/>
  <c r="G17" i="37" s="1"/>
  <c r="G10" i="37"/>
  <c r="G23" i="37" s="1"/>
  <c r="G11" i="37"/>
  <c r="G12" i="37"/>
  <c r="G4" i="37"/>
  <c r="G21" i="37" s="1"/>
  <c r="G18" i="37" l="1"/>
  <c r="G16" i="37"/>
  <c r="G22" i="37"/>
  <c r="AK15" i="38"/>
  <c r="AK16" i="38" s="1"/>
  <c r="AK17" i="38" s="1"/>
  <c r="AF15" i="38"/>
  <c r="AF16" i="38" s="1"/>
  <c r="AF17" i="38" s="1"/>
  <c r="AF18" i="38" s="1"/>
  <c r="AF19" i="38" s="1"/>
  <c r="AF20" i="38" s="1"/>
  <c r="AF21" i="38" s="1"/>
  <c r="AF22" i="38" s="1"/>
  <c r="AF23" i="38" s="1"/>
  <c r="AF24" i="38" s="1"/>
  <c r="AF25" i="38" s="1"/>
  <c r="AF26" i="38" s="1"/>
  <c r="AF27" i="38" s="1"/>
  <c r="AF28" i="38" s="1"/>
  <c r="AF29" i="38" s="1"/>
  <c r="AF30" i="38" s="1"/>
  <c r="AF31" i="38" s="1"/>
  <c r="AF32" i="38" s="1"/>
  <c r="AF33" i="38" s="1"/>
  <c r="AF34" i="38" s="1"/>
  <c r="AF35" i="38" s="1"/>
  <c r="AF36" i="38" s="1"/>
  <c r="AF37" i="38" s="1"/>
  <c r="AF38" i="38" s="1"/>
  <c r="AF39" i="38" s="1"/>
  <c r="AF40" i="38" s="1"/>
  <c r="AF41" i="38" s="1"/>
  <c r="AF42" i="38" s="1"/>
  <c r="AF43" i="38" s="1"/>
  <c r="AF44" i="38" s="1"/>
  <c r="AF45" i="38" s="1"/>
  <c r="AF46" i="38" s="1"/>
  <c r="AF47" i="38" s="1"/>
  <c r="AF48" i="38" s="1"/>
  <c r="AF49" i="38" s="1"/>
  <c r="AF50" i="38" s="1"/>
  <c r="AD4" i="38"/>
  <c r="AA15" i="38"/>
  <c r="AA16" i="38" s="1"/>
  <c r="AA17" i="38" s="1"/>
  <c r="AA18" i="38" s="1"/>
  <c r="AA19" i="38" s="1"/>
  <c r="AA20" i="38" s="1"/>
  <c r="AA21" i="38" s="1"/>
  <c r="AA22" i="38" s="1"/>
  <c r="AA23" i="38" s="1"/>
  <c r="AA24" i="38" s="1"/>
  <c r="AA25" i="38" s="1"/>
  <c r="AA26" i="38" s="1"/>
  <c r="AA27" i="38" s="1"/>
  <c r="AA28" i="38" s="1"/>
  <c r="AA29" i="38" s="1"/>
  <c r="AA30" i="38" s="1"/>
  <c r="AA31" i="38" s="1"/>
  <c r="AA32" i="38" s="1"/>
  <c r="AA33" i="38" s="1"/>
  <c r="AA34" i="38" s="1"/>
  <c r="AA35" i="38" s="1"/>
  <c r="AA36" i="38" s="1"/>
  <c r="AA37" i="38" s="1"/>
  <c r="AA38" i="38" s="1"/>
  <c r="AA39" i="38" s="1"/>
  <c r="AA40" i="38" s="1"/>
  <c r="AA41" i="38" s="1"/>
  <c r="AA42" i="38" s="1"/>
  <c r="AA43" i="38" s="1"/>
  <c r="AA44" i="38" s="1"/>
  <c r="AA45" i="38" s="1"/>
  <c r="AA46" i="38" s="1"/>
  <c r="AA47" i="38" s="1"/>
  <c r="AA48" i="38" s="1"/>
  <c r="AA49" i="38" s="1"/>
  <c r="AA50" i="38" s="1"/>
  <c r="Y4" i="38"/>
  <c r="V15" i="38"/>
  <c r="V16" i="38" s="1"/>
  <c r="V17" i="38" s="1"/>
  <c r="V18" i="38" s="1"/>
  <c r="V19" i="38" s="1"/>
  <c r="V20" i="38" s="1"/>
  <c r="V21" i="38" s="1"/>
  <c r="V22" i="38" s="1"/>
  <c r="V23" i="38" s="1"/>
  <c r="V24" i="38" s="1"/>
  <c r="V25" i="38" s="1"/>
  <c r="V26" i="38" s="1"/>
  <c r="V27" i="38" s="1"/>
  <c r="V28" i="38" s="1"/>
  <c r="V29" i="38" s="1"/>
  <c r="V30" i="38" s="1"/>
  <c r="V31" i="38" s="1"/>
  <c r="V32" i="38" s="1"/>
  <c r="V33" i="38" s="1"/>
  <c r="V34" i="38" s="1"/>
  <c r="V35" i="38" s="1"/>
  <c r="V36" i="38" s="1"/>
  <c r="V37" i="38" s="1"/>
  <c r="V38" i="38" s="1"/>
  <c r="V39" i="38" s="1"/>
  <c r="V40" i="38" s="1"/>
  <c r="V41" i="38" s="1"/>
  <c r="V42" i="38" s="1"/>
  <c r="V43" i="38" s="1"/>
  <c r="V44" i="38" s="1"/>
  <c r="V45" i="38" s="1"/>
  <c r="V46" i="38" s="1"/>
  <c r="V47" i="38" s="1"/>
  <c r="V48" i="38" s="1"/>
  <c r="V49" i="38" s="1"/>
  <c r="V50" i="38" s="1"/>
  <c r="E4" i="38"/>
  <c r="J4" i="38"/>
  <c r="T6" i="38"/>
  <c r="R50" i="38" s="1"/>
  <c r="Q15" i="38"/>
  <c r="Q16" i="38" s="1"/>
  <c r="Q17" i="38" s="1"/>
  <c r="Q18" i="38" s="1"/>
  <c r="Q19" i="38" s="1"/>
  <c r="Q20" i="38" s="1"/>
  <c r="Q21" i="38" s="1"/>
  <c r="Q22" i="38" s="1"/>
  <c r="Q23" i="38" s="1"/>
  <c r="Q24" i="38" s="1"/>
  <c r="Q25" i="38" s="1"/>
  <c r="Q26" i="38" s="1"/>
  <c r="Q27" i="38" s="1"/>
  <c r="Q28" i="38" s="1"/>
  <c r="Q29" i="38" s="1"/>
  <c r="Q30" i="38" s="1"/>
  <c r="Q31" i="38" s="1"/>
  <c r="Q32" i="38" s="1"/>
  <c r="Q33" i="38" s="1"/>
  <c r="Q34" i="38" s="1"/>
  <c r="Q35" i="38" s="1"/>
  <c r="Q36" i="38" s="1"/>
  <c r="Q37" i="38" s="1"/>
  <c r="Q38" i="38" s="1"/>
  <c r="Q39" i="38" s="1"/>
  <c r="Q40" i="38" s="1"/>
  <c r="Q41" i="38" s="1"/>
  <c r="Q42" i="38" s="1"/>
  <c r="Q43" i="38" s="1"/>
  <c r="Q44" i="38" s="1"/>
  <c r="Q45" i="38" s="1"/>
  <c r="Q46" i="38" s="1"/>
  <c r="Q47" i="38" s="1"/>
  <c r="Q48" i="38" s="1"/>
  <c r="Q49" i="38" s="1"/>
  <c r="Q50" i="38" s="1"/>
  <c r="O4" i="38"/>
  <c r="L15" i="38"/>
  <c r="L16" i="38" s="1"/>
  <c r="L17" i="38" s="1"/>
  <c r="L18" i="38" s="1"/>
  <c r="L19" i="38" s="1"/>
  <c r="L20" i="38" s="1"/>
  <c r="L21" i="38" s="1"/>
  <c r="L22" i="38" s="1"/>
  <c r="L23" i="38" s="1"/>
  <c r="L24" i="38" s="1"/>
  <c r="L25" i="38" s="1"/>
  <c r="L26" i="38" s="1"/>
  <c r="L27" i="38" s="1"/>
  <c r="L28" i="38" s="1"/>
  <c r="L29" i="38" s="1"/>
  <c r="L30" i="38" s="1"/>
  <c r="L31" i="38" s="1"/>
  <c r="L32" i="38" s="1"/>
  <c r="L33" i="38" s="1"/>
  <c r="L34" i="38" s="1"/>
  <c r="L35" i="38" s="1"/>
  <c r="L36" i="38" s="1"/>
  <c r="L37" i="38" s="1"/>
  <c r="L38" i="38" s="1"/>
  <c r="L39" i="38" s="1"/>
  <c r="L40" i="38" s="1"/>
  <c r="L41" i="38" s="1"/>
  <c r="L42" i="38" s="1"/>
  <c r="L43" i="38" s="1"/>
  <c r="L44" i="38" s="1"/>
  <c r="L45" i="38" s="1"/>
  <c r="L46" i="38" s="1"/>
  <c r="L47" i="38" s="1"/>
  <c r="L48" i="38" s="1"/>
  <c r="L49" i="38" s="1"/>
  <c r="L50" i="38" s="1"/>
  <c r="G15" i="38"/>
  <c r="G16" i="38" s="1"/>
  <c r="B15" i="38"/>
  <c r="B16" i="38" s="1"/>
  <c r="B17" i="38" s="1"/>
  <c r="B18" i="38" s="1"/>
  <c r="B19" i="38" s="1"/>
  <c r="B20" i="38" s="1"/>
  <c r="B21" i="38" s="1"/>
  <c r="B22" i="38" s="1"/>
  <c r="B23" i="38" s="1"/>
  <c r="B24" i="38" s="1"/>
  <c r="B25" i="38" s="1"/>
  <c r="B26" i="38" s="1"/>
  <c r="B27" i="38" s="1"/>
  <c r="B28" i="38" s="1"/>
  <c r="B29" i="38" s="1"/>
  <c r="B30" i="38" s="1"/>
  <c r="B31" i="38" s="1"/>
  <c r="B32" i="38" s="1"/>
  <c r="B33" i="38" s="1"/>
  <c r="B34" i="38" s="1"/>
  <c r="B35" i="38" s="1"/>
  <c r="B36" i="38" s="1"/>
  <c r="B37" i="38" s="1"/>
  <c r="B38" i="38" s="1"/>
  <c r="B39" i="38" s="1"/>
  <c r="B40" i="38" s="1"/>
  <c r="B41" i="38" s="1"/>
  <c r="B42" i="38" s="1"/>
  <c r="B43" i="38" s="1"/>
  <c r="B44" i="38" s="1"/>
  <c r="B45" i="38" s="1"/>
  <c r="B46" i="38" s="1"/>
  <c r="B47" i="38" s="1"/>
  <c r="B48" i="38" s="1"/>
  <c r="B49" i="38" s="1"/>
  <c r="B50" i="38" s="1"/>
  <c r="R22" i="38" l="1"/>
  <c r="R30" i="38"/>
  <c r="R38" i="38"/>
  <c r="R46" i="38"/>
  <c r="R16" i="38"/>
  <c r="R24" i="38"/>
  <c r="R32" i="38"/>
  <c r="R40" i="38"/>
  <c r="R48" i="38"/>
  <c r="R19" i="38"/>
  <c r="R27" i="38"/>
  <c r="R35" i="38"/>
  <c r="R43" i="38"/>
  <c r="R20" i="38"/>
  <c r="R28" i="38"/>
  <c r="R36" i="38"/>
  <c r="R44" i="38"/>
  <c r="R21" i="38"/>
  <c r="R29" i="38"/>
  <c r="R37" i="38"/>
  <c r="R45" i="38"/>
  <c r="R14" i="38"/>
  <c r="R15" i="38"/>
  <c r="R23" i="38"/>
  <c r="R31" i="38"/>
  <c r="R39" i="38"/>
  <c r="R47" i="38"/>
  <c r="R17" i="38"/>
  <c r="R25" i="38"/>
  <c r="R33" i="38"/>
  <c r="R41" i="38"/>
  <c r="R49" i="38"/>
  <c r="R18" i="38"/>
  <c r="R26" i="38"/>
  <c r="R34" i="38"/>
  <c r="R42" i="38"/>
  <c r="AK18" i="38"/>
  <c r="AK19" i="38" s="1"/>
  <c r="G17" i="38"/>
  <c r="AK20" i="38" l="1"/>
  <c r="G18" i="38"/>
  <c r="C21" i="36"/>
  <c r="AY104" i="36"/>
  <c r="AB43" i="31" s="1"/>
  <c r="AY96" i="36"/>
  <c r="AB41" i="31" s="1"/>
  <c r="AZ92" i="36"/>
  <c r="BB92" i="36" s="1"/>
  <c r="AZ90" i="36"/>
  <c r="BB90" i="36" s="1"/>
  <c r="AY87" i="36"/>
  <c r="U43" i="31" s="1"/>
  <c r="AY85" i="36"/>
  <c r="U41" i="31" s="1"/>
  <c r="AR104" i="36"/>
  <c r="AB37" i="31" s="1"/>
  <c r="AR96" i="36"/>
  <c r="AB35" i="31" s="1"/>
  <c r="AS92" i="36"/>
  <c r="AU92" i="36" s="1"/>
  <c r="AS90" i="36"/>
  <c r="AU90" i="36" s="1"/>
  <c r="AR87" i="36"/>
  <c r="U37" i="31" s="1"/>
  <c r="AR85" i="36"/>
  <c r="U35" i="31" s="1"/>
  <c r="AK104" i="36"/>
  <c r="AB31" i="31" s="1"/>
  <c r="AK96" i="36"/>
  <c r="AB29" i="31" s="1"/>
  <c r="AL92" i="36"/>
  <c r="AN92" i="36" s="1"/>
  <c r="AL90" i="36"/>
  <c r="AN90" i="36" s="1"/>
  <c r="AK87" i="36"/>
  <c r="U31" i="31" s="1"/>
  <c r="AK85" i="36"/>
  <c r="U29" i="31" s="1"/>
  <c r="AL21" i="36"/>
  <c r="AD104" i="36"/>
  <c r="AB25" i="31" s="1"/>
  <c r="AD96" i="36"/>
  <c r="AB23" i="31" s="1"/>
  <c r="AE92" i="36"/>
  <c r="AG92" i="36" s="1"/>
  <c r="AE90" i="36"/>
  <c r="AG90" i="36" s="1"/>
  <c r="AD87" i="36"/>
  <c r="U25" i="31" s="1"/>
  <c r="AD85" i="36"/>
  <c r="U23" i="31" s="1"/>
  <c r="AE21" i="36"/>
  <c r="W104" i="36"/>
  <c r="AB19" i="31" s="1"/>
  <c r="W96" i="36"/>
  <c r="AB17" i="31" s="1"/>
  <c r="X92" i="36"/>
  <c r="Z92" i="36" s="1"/>
  <c r="X90" i="36"/>
  <c r="Z90" i="36" s="1"/>
  <c r="W87" i="36"/>
  <c r="U19" i="31" s="1"/>
  <c r="W85" i="36"/>
  <c r="U17" i="31" s="1"/>
  <c r="X21" i="36"/>
  <c r="P104" i="36"/>
  <c r="AB13" i="31" s="1"/>
  <c r="P96" i="36"/>
  <c r="AB11" i="31" s="1"/>
  <c r="Q92" i="36"/>
  <c r="S92" i="36" s="1"/>
  <c r="Q90" i="36"/>
  <c r="S90" i="36" s="1"/>
  <c r="P87" i="36"/>
  <c r="U13" i="31" s="1"/>
  <c r="P85" i="36"/>
  <c r="U11" i="31" s="1"/>
  <c r="Q21" i="36"/>
  <c r="J21" i="36"/>
  <c r="J92" i="36"/>
  <c r="L92" i="36" s="1"/>
  <c r="J90" i="36"/>
  <c r="L90" i="36" s="1"/>
  <c r="I104" i="36"/>
  <c r="I96" i="36"/>
  <c r="I87" i="36"/>
  <c r="I85" i="36"/>
  <c r="AK21" i="38" l="1"/>
  <c r="G19" i="38"/>
  <c r="AK22" i="38" l="1"/>
  <c r="G20" i="38"/>
  <c r="E32" i="32"/>
  <c r="E10" i="32"/>
  <c r="AK23" i="38" l="1"/>
  <c r="G21" i="38"/>
  <c r="O24" i="31"/>
  <c r="O20" i="31"/>
  <c r="O18" i="31"/>
  <c r="H2" i="34"/>
  <c r="AK24" i="38" l="1"/>
  <c r="G22" i="38"/>
  <c r="J3" i="34"/>
  <c r="J2" i="34"/>
  <c r="AK25" i="38" l="1"/>
  <c r="G23" i="38"/>
  <c r="C61" i="33"/>
  <c r="E61" i="33" s="1"/>
  <c r="C59" i="33"/>
  <c r="E59" i="33" s="1"/>
  <c r="C11" i="33"/>
  <c r="AK26" i="38" l="1"/>
  <c r="G24" i="38"/>
  <c r="C12" i="32"/>
  <c r="AK27" i="38" l="1"/>
  <c r="G25" i="38"/>
  <c r="D13" i="31"/>
  <c r="D11" i="31"/>
  <c r="K21" i="31"/>
  <c r="J5" i="31"/>
  <c r="AK28" i="38" l="1"/>
  <c r="G26" i="38"/>
  <c r="AQ32" i="30"/>
  <c r="AQ30" i="30"/>
  <c r="AT4" i="30"/>
  <c r="Y32" i="30"/>
  <c r="Y30" i="30"/>
  <c r="AH32" i="30"/>
  <c r="AH30" i="30"/>
  <c r="AK4" i="30"/>
  <c r="AB4" i="30"/>
  <c r="AK29" i="38" l="1"/>
  <c r="G27" i="38"/>
  <c r="P19" i="30"/>
  <c r="AK30" i="38" l="1"/>
  <c r="G28" i="38"/>
  <c r="H10" i="30"/>
  <c r="H8" i="30"/>
  <c r="AK31" i="38" l="1"/>
  <c r="G29" i="38"/>
  <c r="J8" i="30"/>
  <c r="Q8" i="30"/>
  <c r="J10" i="30"/>
  <c r="Q10" i="30"/>
  <c r="H26" i="30"/>
  <c r="L26" i="30" s="1"/>
  <c r="AK32" i="38" l="1"/>
  <c r="G30" i="38"/>
  <c r="S8" i="30"/>
  <c r="Z8" i="30"/>
  <c r="S10" i="30"/>
  <c r="Z10" i="30"/>
  <c r="AI10" i="30" s="1"/>
  <c r="Q26" i="30"/>
  <c r="U26" i="30" s="1"/>
  <c r="AK33" i="38" l="1"/>
  <c r="G31" i="38"/>
  <c r="H5" i="26"/>
  <c r="AI26" i="30"/>
  <c r="AM26" i="30" s="1"/>
  <c r="AR10" i="30"/>
  <c r="AK10" i="30"/>
  <c r="AB8" i="30"/>
  <c r="AI8" i="30"/>
  <c r="Z26" i="30"/>
  <c r="AD26" i="30" s="1"/>
  <c r="AB10" i="30"/>
  <c r="C39" i="29"/>
  <c r="C38" i="29"/>
  <c r="C37" i="29"/>
  <c r="C36" i="29"/>
  <c r="C17" i="29"/>
  <c r="C25" i="29"/>
  <c r="C24" i="29"/>
  <c r="C23" i="29"/>
  <c r="C22" i="29"/>
  <c r="C14" i="29"/>
  <c r="E14" i="29" s="1"/>
  <c r="AK34" i="38" l="1"/>
  <c r="G32" i="38"/>
  <c r="AK8" i="30"/>
  <c r="AR8" i="30"/>
  <c r="AT8" i="30" s="1"/>
  <c r="AR26" i="30"/>
  <c r="AV26" i="30" s="1"/>
  <c r="AT10" i="30"/>
  <c r="C18" i="28"/>
  <c r="E38" i="28"/>
  <c r="E36" i="28"/>
  <c r="AK35" i="38" l="1"/>
  <c r="G33" i="38"/>
  <c r="K20" i="28"/>
  <c r="K19" i="28"/>
  <c r="AK36" i="38" l="1"/>
  <c r="G34" i="38"/>
  <c r="H9" i="26"/>
  <c r="D5" i="26"/>
  <c r="F35" i="26"/>
  <c r="AK37" i="38" l="1"/>
  <c r="G35" i="38"/>
  <c r="F9" i="26"/>
  <c r="G9" i="26"/>
  <c r="D9" i="26"/>
  <c r="E9" i="26"/>
  <c r="C9" i="26"/>
  <c r="AK38" i="38" l="1"/>
  <c r="G36" i="38"/>
  <c r="M17" i="26"/>
  <c r="C4" i="32" s="1"/>
  <c r="M16" i="26"/>
  <c r="J17" i="26"/>
  <c r="E14" i="26"/>
  <c r="B33" i="34" l="1"/>
  <c r="B8" i="34"/>
  <c r="AK39" i="38"/>
  <c r="G37" i="38"/>
  <c r="B5" i="36"/>
  <c r="C19" i="36"/>
  <c r="C17" i="36"/>
  <c r="AZ19" i="36"/>
  <c r="AZ17" i="36"/>
  <c r="AS19" i="36"/>
  <c r="AS17" i="36"/>
  <c r="AL19" i="36"/>
  <c r="AL17" i="36"/>
  <c r="AE19" i="36"/>
  <c r="AE17" i="36"/>
  <c r="X19" i="36"/>
  <c r="X17" i="36"/>
  <c r="J19" i="36"/>
  <c r="Q19" i="36"/>
  <c r="Q17" i="36"/>
  <c r="J17" i="36"/>
  <c r="N17" i="26"/>
  <c r="C6" i="32"/>
  <c r="C16" i="32" s="1"/>
  <c r="J21" i="26"/>
  <c r="K21" i="26" s="1"/>
  <c r="V4" i="27" s="1"/>
  <c r="V10" i="27" s="1"/>
  <c r="E17" i="26"/>
  <c r="D17" i="26" s="1"/>
  <c r="K17" i="26"/>
  <c r="E23" i="26"/>
  <c r="E29" i="26"/>
  <c r="D29" i="26" s="1"/>
  <c r="G29" i="26" s="1"/>
  <c r="H29" i="26" s="1"/>
  <c r="D14" i="26"/>
  <c r="E26" i="26"/>
  <c r="D26" i="26" s="1"/>
  <c r="AK40" i="38" l="1"/>
  <c r="G38" i="38"/>
  <c r="C28" i="32"/>
  <c r="C33" i="34"/>
  <c r="V14" i="27"/>
  <c r="X14" i="27" s="1"/>
  <c r="D23" i="26"/>
  <c r="G23" i="26" s="1"/>
  <c r="H23" i="26" s="1"/>
  <c r="E32" i="26"/>
  <c r="C17" i="26"/>
  <c r="D7" i="31" s="1"/>
  <c r="G17" i="26"/>
  <c r="C4" i="28"/>
  <c r="H4" i="28"/>
  <c r="K22" i="28" s="1"/>
  <c r="J20" i="28"/>
  <c r="G14" i="26"/>
  <c r="H14" i="26" s="1"/>
  <c r="C14" i="26"/>
  <c r="C29" i="26"/>
  <c r="G26" i="26"/>
  <c r="H26" i="26" s="1"/>
  <c r="C26" i="26"/>
  <c r="AK41" i="38" l="1"/>
  <c r="G39" i="38"/>
  <c r="C7" i="36"/>
  <c r="C8" i="36"/>
  <c r="J8" i="38" s="1"/>
  <c r="D11" i="36"/>
  <c r="C6" i="36"/>
  <c r="G11" i="36"/>
  <c r="I11" i="36"/>
  <c r="F11" i="36"/>
  <c r="D8" i="36"/>
  <c r="O8" i="38" s="1"/>
  <c r="J10" i="36"/>
  <c r="AN6" i="38" s="1"/>
  <c r="C11" i="36"/>
  <c r="D7" i="36"/>
  <c r="H11" i="36"/>
  <c r="J8" i="36"/>
  <c r="AN8" i="38" s="1"/>
  <c r="E11" i="36"/>
  <c r="J11" i="36"/>
  <c r="C27" i="36" s="1"/>
  <c r="I6" i="36"/>
  <c r="I9" i="36"/>
  <c r="AN4" i="38" s="1"/>
  <c r="I10" i="36"/>
  <c r="I7" i="36"/>
  <c r="I8" i="36"/>
  <c r="H9" i="36"/>
  <c r="AI4" i="38" s="1"/>
  <c r="H10" i="36"/>
  <c r="AI6" i="38" s="1"/>
  <c r="H7" i="36"/>
  <c r="H8" i="36"/>
  <c r="AI8" i="38" s="1"/>
  <c r="H6" i="36"/>
  <c r="G8" i="36"/>
  <c r="AD8" i="38" s="1"/>
  <c r="G10" i="36"/>
  <c r="AD6" i="38" s="1"/>
  <c r="G6" i="36"/>
  <c r="G7" i="36"/>
  <c r="F10" i="36"/>
  <c r="Y6" i="38" s="1"/>
  <c r="F7" i="36"/>
  <c r="F8" i="36"/>
  <c r="Y8" i="38" s="1"/>
  <c r="F6" i="36"/>
  <c r="E8" i="36"/>
  <c r="E10" i="36"/>
  <c r="E6" i="36"/>
  <c r="E7" i="36"/>
  <c r="D10" i="36"/>
  <c r="O6" i="38" s="1"/>
  <c r="D6" i="36"/>
  <c r="C10" i="36"/>
  <c r="J6" i="38" s="1"/>
  <c r="C41" i="36"/>
  <c r="E41" i="36" s="1"/>
  <c r="H17" i="26"/>
  <c r="C8" i="34"/>
  <c r="O8" i="34" s="1"/>
  <c r="E33" i="34"/>
  <c r="F33" i="34"/>
  <c r="I33" i="34" s="1"/>
  <c r="D33" i="34"/>
  <c r="O33" i="34"/>
  <c r="O34" i="34" s="1"/>
  <c r="O35" i="34" s="1"/>
  <c r="C23" i="26"/>
  <c r="D32" i="26"/>
  <c r="C32" i="26" s="1"/>
  <c r="K23" i="28"/>
  <c r="K24" i="28"/>
  <c r="AL40" i="38" l="1"/>
  <c r="AM40" i="38" s="1"/>
  <c r="AL15" i="38"/>
  <c r="AL17" i="38"/>
  <c r="AL14" i="38"/>
  <c r="AL18" i="38"/>
  <c r="AL16" i="38"/>
  <c r="AL19" i="38"/>
  <c r="AL20" i="38"/>
  <c r="AL21" i="38"/>
  <c r="AL22" i="38"/>
  <c r="AL23" i="38"/>
  <c r="AL24" i="38"/>
  <c r="AL25" i="38"/>
  <c r="AL26" i="38"/>
  <c r="AL27" i="38"/>
  <c r="AL28" i="38"/>
  <c r="AL29" i="38"/>
  <c r="AL30" i="38"/>
  <c r="AL31" i="38"/>
  <c r="AL32" i="38"/>
  <c r="AL33" i="38"/>
  <c r="AL34" i="38"/>
  <c r="AL35" i="38"/>
  <c r="AL36" i="38"/>
  <c r="AL37" i="38"/>
  <c r="AL38" i="38"/>
  <c r="AL39" i="38"/>
  <c r="AK42" i="38"/>
  <c r="AL41" i="38"/>
  <c r="AG17" i="38"/>
  <c r="AG33" i="38"/>
  <c r="AG49" i="38"/>
  <c r="AG28" i="38"/>
  <c r="AG44" i="38"/>
  <c r="AG19" i="38"/>
  <c r="AG35" i="38"/>
  <c r="AG14" i="38"/>
  <c r="AG30" i="38"/>
  <c r="AG46" i="38"/>
  <c r="AG21" i="38"/>
  <c r="AG37" i="38"/>
  <c r="AG16" i="38"/>
  <c r="AG32" i="38"/>
  <c r="AG48" i="38"/>
  <c r="AG39" i="38"/>
  <c r="AG18" i="38"/>
  <c r="AG34" i="38"/>
  <c r="AG27" i="38"/>
  <c r="AG22" i="38"/>
  <c r="AG50" i="38"/>
  <c r="AG24" i="38"/>
  <c r="AG15" i="38"/>
  <c r="AG47" i="38"/>
  <c r="AG42" i="38"/>
  <c r="AG23" i="38"/>
  <c r="AG25" i="38"/>
  <c r="AG41" i="38"/>
  <c r="AG20" i="38"/>
  <c r="AG36" i="38"/>
  <c r="AG43" i="38"/>
  <c r="AG38" i="38"/>
  <c r="AG29" i="38"/>
  <c r="AG45" i="38"/>
  <c r="AG40" i="38"/>
  <c r="AG31" i="38"/>
  <c r="AG26" i="38"/>
  <c r="AB31" i="38"/>
  <c r="AB47" i="38"/>
  <c r="AB26" i="38"/>
  <c r="AB42" i="38"/>
  <c r="AB17" i="38"/>
  <c r="AB33" i="38"/>
  <c r="AB49" i="38"/>
  <c r="AB28" i="38"/>
  <c r="AB44" i="38"/>
  <c r="AB19" i="38"/>
  <c r="AB35" i="38"/>
  <c r="AB14" i="38"/>
  <c r="AB30" i="38"/>
  <c r="AB46" i="38"/>
  <c r="AB37" i="38"/>
  <c r="AB16" i="38"/>
  <c r="AB32" i="38"/>
  <c r="AB20" i="38"/>
  <c r="AB15" i="38"/>
  <c r="AB22" i="38"/>
  <c r="AB50" i="38"/>
  <c r="AB45" i="38"/>
  <c r="AB21" i="38"/>
  <c r="AB48" i="38"/>
  <c r="AB24" i="38"/>
  <c r="AB23" i="38"/>
  <c r="AB39" i="38"/>
  <c r="AB18" i="38"/>
  <c r="AB34" i="38"/>
  <c r="AB25" i="38"/>
  <c r="AB41" i="38"/>
  <c r="AB36" i="38"/>
  <c r="AB27" i="38"/>
  <c r="AB43" i="38"/>
  <c r="AB38" i="38"/>
  <c r="AB29" i="38"/>
  <c r="AB40" i="38"/>
  <c r="W17" i="38"/>
  <c r="W33" i="38"/>
  <c r="W49" i="38"/>
  <c r="W28" i="38"/>
  <c r="W44" i="38"/>
  <c r="W19" i="38"/>
  <c r="W35" i="38"/>
  <c r="W14" i="38"/>
  <c r="W30" i="38"/>
  <c r="W46" i="38"/>
  <c r="W23" i="38"/>
  <c r="W39" i="38"/>
  <c r="W18" i="38"/>
  <c r="W43" i="38"/>
  <c r="W38" i="38"/>
  <c r="W29" i="38"/>
  <c r="W40" i="38"/>
  <c r="W31" i="38"/>
  <c r="W42" i="38"/>
  <c r="W21" i="38"/>
  <c r="W37" i="38"/>
  <c r="W16" i="38"/>
  <c r="W32" i="38"/>
  <c r="W48" i="38"/>
  <c r="W34" i="38"/>
  <c r="W22" i="38"/>
  <c r="W45" i="38"/>
  <c r="W47" i="38"/>
  <c r="W25" i="38"/>
  <c r="W41" i="38"/>
  <c r="W20" i="38"/>
  <c r="W36" i="38"/>
  <c r="W27" i="38"/>
  <c r="W50" i="38"/>
  <c r="W24" i="38"/>
  <c r="W15" i="38"/>
  <c r="W26" i="38"/>
  <c r="M50" i="38"/>
  <c r="M42" i="38"/>
  <c r="M34" i="38"/>
  <c r="M26" i="38"/>
  <c r="M18" i="38"/>
  <c r="M17" i="38"/>
  <c r="M29" i="38"/>
  <c r="M28" i="38"/>
  <c r="M19" i="38"/>
  <c r="M49" i="38"/>
  <c r="M41" i="38"/>
  <c r="M33" i="38"/>
  <c r="M25" i="38"/>
  <c r="M22" i="38"/>
  <c r="M36" i="38"/>
  <c r="M48" i="38"/>
  <c r="M40" i="38"/>
  <c r="M32" i="38"/>
  <c r="M24" i="38"/>
  <c r="M16" i="38"/>
  <c r="M37" i="38"/>
  <c r="M20" i="38"/>
  <c r="M35" i="38"/>
  <c r="M47" i="38"/>
  <c r="M39" i="38"/>
  <c r="M31" i="38"/>
  <c r="M23" i="38"/>
  <c r="M15" i="38"/>
  <c r="M46" i="38"/>
  <c r="M38" i="38"/>
  <c r="M30" i="38"/>
  <c r="M14" i="38"/>
  <c r="M21" i="38"/>
  <c r="M44" i="38"/>
  <c r="M27" i="38"/>
  <c r="M45" i="38"/>
  <c r="M43" i="38"/>
  <c r="H32" i="38"/>
  <c r="H24" i="38"/>
  <c r="H16" i="38"/>
  <c r="H38" i="38"/>
  <c r="I38" i="38" s="1"/>
  <c r="H30" i="38"/>
  <c r="H14" i="38"/>
  <c r="H29" i="38"/>
  <c r="H26" i="38"/>
  <c r="H33" i="38"/>
  <c r="H39" i="38"/>
  <c r="H31" i="38"/>
  <c r="H23" i="38"/>
  <c r="H15" i="38"/>
  <c r="H22" i="38"/>
  <c r="H37" i="38"/>
  <c r="H21" i="38"/>
  <c r="H35" i="38"/>
  <c r="H17" i="38"/>
  <c r="H36" i="38"/>
  <c r="H28" i="38"/>
  <c r="H20" i="38"/>
  <c r="H27" i="38"/>
  <c r="H19" i="38"/>
  <c r="H34" i="38"/>
  <c r="H18" i="38"/>
  <c r="H25" i="38"/>
  <c r="AZ39" i="36"/>
  <c r="BB39" i="36" s="1"/>
  <c r="C39" i="36"/>
  <c r="E39" i="36" s="1"/>
  <c r="E8" i="38"/>
  <c r="C23" i="36"/>
  <c r="E23" i="36" s="1"/>
  <c r="E6" i="38"/>
  <c r="G40" i="38"/>
  <c r="H40" i="38" s="1"/>
  <c r="E27" i="36"/>
  <c r="C28" i="36"/>
  <c r="Q43" i="36"/>
  <c r="S43" i="36" s="1"/>
  <c r="C43" i="36"/>
  <c r="E43" i="36" s="1"/>
  <c r="Q39" i="36"/>
  <c r="S39" i="36" s="1"/>
  <c r="AZ41" i="36"/>
  <c r="BB41" i="36" s="1"/>
  <c r="AZ27" i="36"/>
  <c r="BB27" i="36" s="1"/>
  <c r="AZ23" i="36"/>
  <c r="BB23" i="36" s="1"/>
  <c r="AZ43" i="36"/>
  <c r="BB43" i="36" s="1"/>
  <c r="AS43" i="36"/>
  <c r="AU43" i="36" s="1"/>
  <c r="AS21" i="36"/>
  <c r="AZ21" i="36"/>
  <c r="AS41" i="36"/>
  <c r="AU41" i="36" s="1"/>
  <c r="AS23" i="36"/>
  <c r="AU23" i="36" s="1"/>
  <c r="AS39" i="36"/>
  <c r="AU39" i="36" s="1"/>
  <c r="AS27" i="36"/>
  <c r="AS28" i="36" s="1"/>
  <c r="AL39" i="36"/>
  <c r="AN39" i="36" s="1"/>
  <c r="AE39" i="36"/>
  <c r="AG39" i="36" s="1"/>
  <c r="AL41" i="36"/>
  <c r="AN41" i="36" s="1"/>
  <c r="AL43" i="36"/>
  <c r="AN43" i="36" s="1"/>
  <c r="AL27" i="36"/>
  <c r="AN27" i="36" s="1"/>
  <c r="AL23" i="36"/>
  <c r="AE43" i="36"/>
  <c r="AG43" i="36" s="1"/>
  <c r="AE41" i="36"/>
  <c r="AG41" i="36" s="1"/>
  <c r="AE23" i="36"/>
  <c r="X41" i="36"/>
  <c r="Z41" i="36" s="1"/>
  <c r="X27" i="36"/>
  <c r="Z27" i="36" s="1"/>
  <c r="AE27" i="36"/>
  <c r="X39" i="36"/>
  <c r="Z39" i="36" s="1"/>
  <c r="X23" i="36"/>
  <c r="X43" i="36"/>
  <c r="Z43" i="36" s="1"/>
  <c r="Q41" i="36"/>
  <c r="S41" i="36" s="1"/>
  <c r="J27" i="36"/>
  <c r="J28" i="36" s="1"/>
  <c r="Q27" i="36"/>
  <c r="J23" i="36"/>
  <c r="Q23" i="36"/>
  <c r="J43" i="36"/>
  <c r="L43" i="36" s="1"/>
  <c r="J41" i="36"/>
  <c r="L41" i="36" s="1"/>
  <c r="J39" i="36"/>
  <c r="L39" i="36" s="1"/>
  <c r="C30" i="32"/>
  <c r="E28" i="32"/>
  <c r="C4" i="33"/>
  <c r="C6" i="28"/>
  <c r="D21" i="28" s="1"/>
  <c r="C4" i="27"/>
  <c r="C10" i="27" s="1"/>
  <c r="C12" i="27" s="1"/>
  <c r="D8" i="34"/>
  <c r="F8" i="34"/>
  <c r="I8" i="34" s="1"/>
  <c r="E8" i="34"/>
  <c r="O9" i="34"/>
  <c r="O10" i="34" s="1"/>
  <c r="G33" i="34"/>
  <c r="D34" i="34"/>
  <c r="D35" i="34" s="1"/>
  <c r="H33" i="34"/>
  <c r="E34" i="34"/>
  <c r="E35" i="34" s="1"/>
  <c r="V12" i="27"/>
  <c r="K26" i="28"/>
  <c r="K28" i="28" s="1"/>
  <c r="K29" i="28" s="1"/>
  <c r="K30" i="28" s="1"/>
  <c r="K31" i="28" s="1"/>
  <c r="G32" i="26"/>
  <c r="H32" i="26" s="1"/>
  <c r="C35" i="26" s="1"/>
  <c r="D35" i="26" s="1"/>
  <c r="AN40" i="38" l="1"/>
  <c r="AN36" i="38"/>
  <c r="AM36" i="38"/>
  <c r="AN28" i="38"/>
  <c r="AM28" i="38"/>
  <c r="AN20" i="38"/>
  <c r="AM20" i="38"/>
  <c r="AN35" i="38"/>
  <c r="AM35" i="38"/>
  <c r="AN27" i="38"/>
  <c r="AM27" i="38"/>
  <c r="AN19" i="38"/>
  <c r="AM19" i="38"/>
  <c r="AN21" i="38"/>
  <c r="AM21" i="38"/>
  <c r="AN34" i="38"/>
  <c r="AM34" i="38"/>
  <c r="AN33" i="38"/>
  <c r="AM33" i="38"/>
  <c r="AN25" i="38"/>
  <c r="AM25" i="38"/>
  <c r="AN18" i="38"/>
  <c r="AM18" i="38"/>
  <c r="AN37" i="38"/>
  <c r="AM37" i="38"/>
  <c r="AN32" i="38"/>
  <c r="AM32" i="38"/>
  <c r="AN24" i="38"/>
  <c r="AM24" i="38"/>
  <c r="AN14" i="38"/>
  <c r="AM14" i="38"/>
  <c r="AM39" i="38"/>
  <c r="AN39" i="38"/>
  <c r="AN31" i="38"/>
  <c r="AM31" i="38"/>
  <c r="AN23" i="38"/>
  <c r="AM23" i="38"/>
  <c r="AN17" i="38"/>
  <c r="AM17" i="38"/>
  <c r="AN29" i="38"/>
  <c r="AM29" i="38"/>
  <c r="AN26" i="38"/>
  <c r="AM26" i="38"/>
  <c r="AN16" i="38"/>
  <c r="AM16" i="38"/>
  <c r="AM38" i="38"/>
  <c r="AN38" i="38"/>
  <c r="AN30" i="38"/>
  <c r="AM30" i="38"/>
  <c r="AN22" i="38"/>
  <c r="AM22" i="38"/>
  <c r="AN15" i="38"/>
  <c r="AM15" i="38"/>
  <c r="AN41" i="38"/>
  <c r="AM41" i="38"/>
  <c r="AK43" i="38"/>
  <c r="AL42" i="38"/>
  <c r="AI35" i="38"/>
  <c r="AH35" i="38"/>
  <c r="AI38" i="38"/>
  <c r="AH38" i="38"/>
  <c r="AI47" i="38"/>
  <c r="AH47" i="38"/>
  <c r="AI39" i="38"/>
  <c r="AH39" i="38"/>
  <c r="AI14" i="38"/>
  <c r="AH14" i="38"/>
  <c r="AI36" i="38"/>
  <c r="AH36" i="38"/>
  <c r="AI24" i="38"/>
  <c r="AH24" i="38"/>
  <c r="AI32" i="38"/>
  <c r="AH32" i="38"/>
  <c r="AI19" i="38"/>
  <c r="AH19" i="38"/>
  <c r="AI26" i="38"/>
  <c r="AH26" i="38"/>
  <c r="AI20" i="38"/>
  <c r="AH20" i="38"/>
  <c r="AI50" i="38"/>
  <c r="AH50" i="38"/>
  <c r="AH16" i="38"/>
  <c r="AI16" i="38"/>
  <c r="AI44" i="38"/>
  <c r="AH44" i="38"/>
  <c r="AI31" i="38"/>
  <c r="AH31" i="38"/>
  <c r="AI41" i="38"/>
  <c r="AH41" i="38"/>
  <c r="AI22" i="38"/>
  <c r="AH22" i="38"/>
  <c r="AI37" i="38"/>
  <c r="AH37" i="38"/>
  <c r="AI28" i="38"/>
  <c r="AH28" i="38"/>
  <c r="AI48" i="38"/>
  <c r="AH48" i="38"/>
  <c r="AI40" i="38"/>
  <c r="AH40" i="38"/>
  <c r="AI25" i="38"/>
  <c r="AH25" i="38"/>
  <c r="AI27" i="38"/>
  <c r="AH27" i="38"/>
  <c r="AI21" i="38"/>
  <c r="AH21" i="38"/>
  <c r="AI49" i="38"/>
  <c r="AH49" i="38"/>
  <c r="AI15" i="38"/>
  <c r="AH15" i="38"/>
  <c r="AH45" i="38"/>
  <c r="AI45" i="38"/>
  <c r="AI23" i="38"/>
  <c r="AH23" i="38"/>
  <c r="AI34" i="38"/>
  <c r="AH34" i="38"/>
  <c r="AH46" i="38"/>
  <c r="AI46" i="38"/>
  <c r="AH33" i="38"/>
  <c r="AI33" i="38"/>
  <c r="AI43" i="38"/>
  <c r="AH43" i="38"/>
  <c r="AH29" i="38"/>
  <c r="AI29" i="38"/>
  <c r="AI42" i="38"/>
  <c r="AH42" i="38"/>
  <c r="AI18" i="38"/>
  <c r="AH18" i="38"/>
  <c r="AH30" i="38"/>
  <c r="AI30" i="38"/>
  <c r="AI17" i="38"/>
  <c r="AH17" i="38"/>
  <c r="AD36" i="38"/>
  <c r="AC36" i="38"/>
  <c r="AC48" i="38"/>
  <c r="AD48" i="38"/>
  <c r="AD16" i="38"/>
  <c r="AC16" i="38"/>
  <c r="AC28" i="38"/>
  <c r="AD28" i="38"/>
  <c r="AC37" i="38"/>
  <c r="AD37" i="38"/>
  <c r="AD49" i="38"/>
  <c r="AC49" i="38"/>
  <c r="AD25" i="38"/>
  <c r="AC25" i="38"/>
  <c r="AD45" i="38"/>
  <c r="AC45" i="38"/>
  <c r="AC46" i="38"/>
  <c r="AD46" i="38"/>
  <c r="AC33" i="38"/>
  <c r="AD33" i="38"/>
  <c r="AD21" i="38"/>
  <c r="AC21" i="38"/>
  <c r="AD40" i="38"/>
  <c r="AC40" i="38"/>
  <c r="AD34" i="38"/>
  <c r="AC34" i="38"/>
  <c r="AD50" i="38"/>
  <c r="AC50" i="38"/>
  <c r="AC30" i="38"/>
  <c r="AD30" i="38"/>
  <c r="AD17" i="38"/>
  <c r="AC17" i="38"/>
  <c r="AD41" i="38"/>
  <c r="AC41" i="38"/>
  <c r="AC29" i="38"/>
  <c r="AD29" i="38"/>
  <c r="AC18" i="38"/>
  <c r="AD18" i="38"/>
  <c r="AC22" i="38"/>
  <c r="AD22" i="38"/>
  <c r="AC14" i="38"/>
  <c r="AD14" i="38"/>
  <c r="AC42" i="38"/>
  <c r="AD42" i="38"/>
  <c r="AC38" i="38"/>
  <c r="AD38" i="38"/>
  <c r="AD39" i="38"/>
  <c r="AC39" i="38"/>
  <c r="AD15" i="38"/>
  <c r="AC15" i="38"/>
  <c r="AD35" i="38"/>
  <c r="AC35" i="38"/>
  <c r="AD26" i="38"/>
  <c r="AC26" i="38"/>
  <c r="AD43" i="38"/>
  <c r="AC43" i="38"/>
  <c r="AD23" i="38"/>
  <c r="AC23" i="38"/>
  <c r="AC20" i="38"/>
  <c r="AD20" i="38"/>
  <c r="AD19" i="38"/>
  <c r="AC19" i="38"/>
  <c r="AD47" i="38"/>
  <c r="AC47" i="38"/>
  <c r="AD27" i="38"/>
  <c r="AC27" i="38"/>
  <c r="AD24" i="38"/>
  <c r="AC24" i="38"/>
  <c r="AC32" i="38"/>
  <c r="AD32" i="38"/>
  <c r="AC44" i="38"/>
  <c r="AD44" i="38"/>
  <c r="AD31" i="38"/>
  <c r="AC31" i="38"/>
  <c r="X48" i="38"/>
  <c r="Y48" i="38"/>
  <c r="X20" i="38"/>
  <c r="Y20" i="38"/>
  <c r="Y32" i="38"/>
  <c r="X32" i="38"/>
  <c r="X38" i="38"/>
  <c r="Y38" i="38"/>
  <c r="Y35" i="38"/>
  <c r="X35" i="38"/>
  <c r="X14" i="38"/>
  <c r="Y14" i="38"/>
  <c r="Y41" i="38"/>
  <c r="X41" i="38"/>
  <c r="X16" i="38"/>
  <c r="Y16" i="38"/>
  <c r="Y43" i="38"/>
  <c r="X43" i="38"/>
  <c r="Y19" i="38"/>
  <c r="X19" i="38"/>
  <c r="X26" i="38"/>
  <c r="Y26" i="38"/>
  <c r="Y25" i="38"/>
  <c r="X25" i="38"/>
  <c r="X37" i="38"/>
  <c r="Y37" i="38"/>
  <c r="X18" i="38"/>
  <c r="Y18" i="38"/>
  <c r="Y44" i="38"/>
  <c r="X44" i="38"/>
  <c r="X29" i="38"/>
  <c r="Y29" i="38"/>
  <c r="Y15" i="38"/>
  <c r="X15" i="38"/>
  <c r="Y47" i="38"/>
  <c r="X47" i="38"/>
  <c r="Y21" i="38"/>
  <c r="X21" i="38"/>
  <c r="Y39" i="38"/>
  <c r="X39" i="38"/>
  <c r="Y28" i="38"/>
  <c r="X28" i="38"/>
  <c r="Y36" i="38"/>
  <c r="X36" i="38"/>
  <c r="X24" i="38"/>
  <c r="Y24" i="38"/>
  <c r="Y45" i="38"/>
  <c r="X45" i="38"/>
  <c r="Y42" i="38"/>
  <c r="X42" i="38"/>
  <c r="X23" i="38"/>
  <c r="Y23" i="38"/>
  <c r="Y49" i="38"/>
  <c r="X49" i="38"/>
  <c r="Y50" i="38"/>
  <c r="X50" i="38"/>
  <c r="Y22" i="38"/>
  <c r="X22" i="38"/>
  <c r="X31" i="38"/>
  <c r="Y31" i="38"/>
  <c r="Y46" i="38"/>
  <c r="X46" i="38"/>
  <c r="Y33" i="38"/>
  <c r="X33" i="38"/>
  <c r="Y27" i="38"/>
  <c r="X27" i="38"/>
  <c r="X34" i="38"/>
  <c r="Y34" i="38"/>
  <c r="Y40" i="38"/>
  <c r="X40" i="38"/>
  <c r="X30" i="38"/>
  <c r="Y30" i="38"/>
  <c r="X17" i="38"/>
  <c r="Y17" i="38"/>
  <c r="C14" i="38"/>
  <c r="C22" i="38"/>
  <c r="C30" i="38"/>
  <c r="C38" i="38"/>
  <c r="C46" i="38"/>
  <c r="C15" i="38"/>
  <c r="C23" i="38"/>
  <c r="C31" i="38"/>
  <c r="C39" i="38"/>
  <c r="C47" i="38"/>
  <c r="C16" i="38"/>
  <c r="C24" i="38"/>
  <c r="C32" i="38"/>
  <c r="C40" i="38"/>
  <c r="C48" i="38"/>
  <c r="C17" i="38"/>
  <c r="C25" i="38"/>
  <c r="C33" i="38"/>
  <c r="C41" i="38"/>
  <c r="C49" i="38"/>
  <c r="C18" i="38"/>
  <c r="C26" i="38"/>
  <c r="C34" i="38"/>
  <c r="C42" i="38"/>
  <c r="C50" i="38"/>
  <c r="C19" i="38"/>
  <c r="C27" i="38"/>
  <c r="C35" i="38"/>
  <c r="C43" i="38"/>
  <c r="C20" i="38"/>
  <c r="C28" i="38"/>
  <c r="C36" i="38"/>
  <c r="C44" i="38"/>
  <c r="C21" i="38"/>
  <c r="C29" i="38"/>
  <c r="C37" i="38"/>
  <c r="C45" i="38"/>
  <c r="S16" i="38"/>
  <c r="T16" i="38"/>
  <c r="T49" i="38"/>
  <c r="S49" i="38"/>
  <c r="T19" i="38"/>
  <c r="S19" i="38"/>
  <c r="S14" i="38"/>
  <c r="T14" i="38"/>
  <c r="S30" i="38"/>
  <c r="T30" i="38"/>
  <c r="T46" i="38"/>
  <c r="S46" i="38"/>
  <c r="S18" i="38"/>
  <c r="T18" i="38"/>
  <c r="T31" i="38"/>
  <c r="S31" i="38"/>
  <c r="T17" i="38"/>
  <c r="S17" i="38"/>
  <c r="S20" i="38"/>
  <c r="T20" i="38"/>
  <c r="T36" i="38"/>
  <c r="S36" i="38"/>
  <c r="T27" i="38"/>
  <c r="S27" i="38"/>
  <c r="S32" i="38"/>
  <c r="T32" i="38"/>
  <c r="T21" i="38"/>
  <c r="S21" i="38"/>
  <c r="T34" i="38"/>
  <c r="S34" i="38"/>
  <c r="T39" i="38"/>
  <c r="S39" i="38"/>
  <c r="T25" i="38"/>
  <c r="S25" i="38"/>
  <c r="S22" i="38"/>
  <c r="T22" i="38"/>
  <c r="T38" i="38"/>
  <c r="S38" i="38"/>
  <c r="T37" i="38"/>
  <c r="S37" i="38"/>
  <c r="T29" i="38"/>
  <c r="S29" i="38"/>
  <c r="T50" i="38"/>
  <c r="S50" i="38"/>
  <c r="T45" i="38"/>
  <c r="S45" i="38"/>
  <c r="T33" i="38"/>
  <c r="S33" i="38"/>
  <c r="S24" i="38"/>
  <c r="T24" i="38"/>
  <c r="S40" i="38"/>
  <c r="T40" i="38"/>
  <c r="T47" i="38"/>
  <c r="S47" i="38"/>
  <c r="T15" i="38"/>
  <c r="S15" i="38"/>
  <c r="T23" i="38"/>
  <c r="S23" i="38"/>
  <c r="T41" i="38"/>
  <c r="S41" i="38"/>
  <c r="S26" i="38"/>
  <c r="T26" i="38"/>
  <c r="S42" i="38"/>
  <c r="T42" i="38"/>
  <c r="T48" i="38"/>
  <c r="S48" i="38"/>
  <c r="T35" i="38"/>
  <c r="S35" i="38"/>
  <c r="T43" i="38"/>
  <c r="S43" i="38"/>
  <c r="S28" i="38"/>
  <c r="T28" i="38"/>
  <c r="S44" i="38"/>
  <c r="T44" i="38"/>
  <c r="J38" i="38"/>
  <c r="O21" i="38"/>
  <c r="N21" i="38"/>
  <c r="N26" i="38"/>
  <c r="O26" i="38"/>
  <c r="O43" i="38"/>
  <c r="N43" i="38"/>
  <c r="O27" i="38"/>
  <c r="N27" i="38"/>
  <c r="O47" i="38"/>
  <c r="N47" i="38"/>
  <c r="N28" i="38"/>
  <c r="O28" i="38"/>
  <c r="N44" i="38"/>
  <c r="O44" i="38"/>
  <c r="N14" i="38"/>
  <c r="O14" i="38"/>
  <c r="N30" i="38"/>
  <c r="O30" i="38"/>
  <c r="O45" i="38"/>
  <c r="N45" i="38"/>
  <c r="N16" i="38"/>
  <c r="O16" i="38"/>
  <c r="N32" i="38"/>
  <c r="O32" i="38"/>
  <c r="N48" i="38"/>
  <c r="O48" i="38"/>
  <c r="O35" i="38"/>
  <c r="N35" i="38"/>
  <c r="N46" i="38"/>
  <c r="O46" i="38"/>
  <c r="O23" i="38"/>
  <c r="N23" i="38"/>
  <c r="O17" i="38"/>
  <c r="N17" i="38"/>
  <c r="N18" i="38"/>
  <c r="O18" i="38"/>
  <c r="N34" i="38"/>
  <c r="O34" i="38"/>
  <c r="N50" i="38"/>
  <c r="O50" i="38"/>
  <c r="O37" i="38"/>
  <c r="N37" i="38"/>
  <c r="O25" i="38"/>
  <c r="N25" i="38"/>
  <c r="N20" i="38"/>
  <c r="O20" i="38"/>
  <c r="N36" i="38"/>
  <c r="O36" i="38"/>
  <c r="O19" i="38"/>
  <c r="N19" i="38"/>
  <c r="O49" i="38"/>
  <c r="N49" i="38"/>
  <c r="O31" i="38"/>
  <c r="N31" i="38"/>
  <c r="N22" i="38"/>
  <c r="O22" i="38"/>
  <c r="N38" i="38"/>
  <c r="O38" i="38"/>
  <c r="O29" i="38"/>
  <c r="N29" i="38"/>
  <c r="O15" i="38"/>
  <c r="N15" i="38"/>
  <c r="O39" i="38"/>
  <c r="N39" i="38"/>
  <c r="N24" i="38"/>
  <c r="O24" i="38"/>
  <c r="N40" i="38"/>
  <c r="O40" i="38"/>
  <c r="O33" i="38"/>
  <c r="N33" i="38"/>
  <c r="O41" i="38"/>
  <c r="N41" i="38"/>
  <c r="N42" i="38"/>
  <c r="O42" i="38"/>
  <c r="C25" i="36"/>
  <c r="E29" i="36"/>
  <c r="E30" i="36" s="1"/>
  <c r="E31" i="36" s="1"/>
  <c r="C31" i="36" s="1"/>
  <c r="J24" i="38"/>
  <c r="I24" i="38"/>
  <c r="J29" i="38"/>
  <c r="I29" i="38"/>
  <c r="J34" i="38"/>
  <c r="I34" i="38"/>
  <c r="I19" i="38"/>
  <c r="J19" i="38"/>
  <c r="I27" i="38"/>
  <c r="J27" i="38"/>
  <c r="J26" i="38"/>
  <c r="I26" i="38"/>
  <c r="I15" i="38"/>
  <c r="J15" i="38"/>
  <c r="J17" i="38"/>
  <c r="I17" i="38"/>
  <c r="J37" i="38"/>
  <c r="I37" i="38"/>
  <c r="J21" i="38"/>
  <c r="I21" i="38"/>
  <c r="J18" i="38"/>
  <c r="I18" i="38"/>
  <c r="I25" i="38"/>
  <c r="J25" i="38"/>
  <c r="J14" i="38"/>
  <c r="I14" i="38"/>
  <c r="J32" i="38"/>
  <c r="I32" i="38"/>
  <c r="J20" i="38"/>
  <c r="I20" i="38"/>
  <c r="I31" i="38"/>
  <c r="J31" i="38"/>
  <c r="J16" i="38"/>
  <c r="I16" i="38"/>
  <c r="I28" i="38"/>
  <c r="J28" i="38"/>
  <c r="J23" i="38"/>
  <c r="I23" i="38"/>
  <c r="J22" i="38"/>
  <c r="I22" i="38"/>
  <c r="I35" i="38"/>
  <c r="J35" i="38"/>
  <c r="I36" i="38"/>
  <c r="J36" i="38"/>
  <c r="J33" i="38"/>
  <c r="I33" i="38"/>
  <c r="J30" i="38"/>
  <c r="I30" i="38"/>
  <c r="G41" i="38"/>
  <c r="H41" i="38" s="1"/>
  <c r="I39" i="38"/>
  <c r="J39" i="38"/>
  <c r="AN23" i="36"/>
  <c r="AG23" i="36"/>
  <c r="Z23" i="36"/>
  <c r="J25" i="36"/>
  <c r="AZ28" i="36"/>
  <c r="BB29" i="36"/>
  <c r="BB30" i="36" s="1"/>
  <c r="BB31" i="36" s="1"/>
  <c r="AZ31" i="36" s="1"/>
  <c r="AS25" i="36"/>
  <c r="AU27" i="36"/>
  <c r="AU29" i="36" s="1"/>
  <c r="AU30" i="36" s="1"/>
  <c r="AU31" i="36" s="1"/>
  <c r="AS31" i="36" s="1"/>
  <c r="AZ25" i="36"/>
  <c r="AN29" i="36"/>
  <c r="AN30" i="36" s="1"/>
  <c r="AN31" i="36" s="1"/>
  <c r="AL33" i="36" s="1"/>
  <c r="AL25" i="36"/>
  <c r="AL28" i="36"/>
  <c r="AE25" i="36"/>
  <c r="X28" i="36"/>
  <c r="Z29" i="36"/>
  <c r="Z30" i="36" s="1"/>
  <c r="Z31" i="36" s="1"/>
  <c r="X33" i="36" s="1"/>
  <c r="AE28" i="36"/>
  <c r="AG27" i="36"/>
  <c r="AG29" i="36" s="1"/>
  <c r="AG30" i="36" s="1"/>
  <c r="AG31" i="36" s="1"/>
  <c r="X25" i="36"/>
  <c r="L27" i="36"/>
  <c r="L29" i="36" s="1"/>
  <c r="L23" i="36"/>
  <c r="Q25" i="36"/>
  <c r="S23" i="36"/>
  <c r="S27" i="36"/>
  <c r="S29" i="36" s="1"/>
  <c r="S30" i="36" s="1"/>
  <c r="S31" i="36" s="1"/>
  <c r="Q28" i="36"/>
  <c r="C6" i="29"/>
  <c r="O43" i="29" s="1"/>
  <c r="C14" i="27"/>
  <c r="D19" i="28"/>
  <c r="D20" i="28"/>
  <c r="D18" i="28"/>
  <c r="E9" i="34"/>
  <c r="E10" i="34" s="1"/>
  <c r="H8" i="34"/>
  <c r="G8" i="34"/>
  <c r="D9" i="34"/>
  <c r="D10" i="34" s="1"/>
  <c r="J33" i="34"/>
  <c r="K33" i="34"/>
  <c r="L33" i="34"/>
  <c r="N33" i="34" s="1"/>
  <c r="G35" i="26"/>
  <c r="H35" i="26" s="1"/>
  <c r="C17" i="32" s="1"/>
  <c r="AN42" i="38" l="1"/>
  <c r="AM42" i="38"/>
  <c r="AL43" i="38"/>
  <c r="AK44" i="38"/>
  <c r="C33" i="36"/>
  <c r="E35" i="36"/>
  <c r="D27" i="38"/>
  <c r="E27" i="38"/>
  <c r="E45" i="38"/>
  <c r="D45" i="38"/>
  <c r="D48" i="38"/>
  <c r="E48" i="38"/>
  <c r="E25" i="38"/>
  <c r="D25" i="38"/>
  <c r="D26" i="38"/>
  <c r="E26" i="38"/>
  <c r="D42" i="38"/>
  <c r="E42" i="38"/>
  <c r="D46" i="38"/>
  <c r="E46" i="38"/>
  <c r="D38" i="38"/>
  <c r="E38" i="38"/>
  <c r="E15" i="38"/>
  <c r="D15" i="38"/>
  <c r="E31" i="38"/>
  <c r="D31" i="38"/>
  <c r="D43" i="38"/>
  <c r="E43" i="38"/>
  <c r="D50" i="38"/>
  <c r="E50" i="38"/>
  <c r="D35" i="38"/>
  <c r="E35" i="38"/>
  <c r="D32" i="38"/>
  <c r="E32" i="38"/>
  <c r="E41" i="38"/>
  <c r="D41" i="38"/>
  <c r="D24" i="38"/>
  <c r="E24" i="38"/>
  <c r="E37" i="38"/>
  <c r="D37" i="38"/>
  <c r="D30" i="38"/>
  <c r="E30" i="38"/>
  <c r="E23" i="38"/>
  <c r="D23" i="38"/>
  <c r="E47" i="38"/>
  <c r="D47" i="38"/>
  <c r="D44" i="38"/>
  <c r="E44" i="38"/>
  <c r="E39" i="38"/>
  <c r="D39" i="38"/>
  <c r="D19" i="38"/>
  <c r="E19" i="38"/>
  <c r="E29" i="38"/>
  <c r="D29" i="38"/>
  <c r="E17" i="38"/>
  <c r="D17" i="38"/>
  <c r="E21" i="38"/>
  <c r="D21" i="38"/>
  <c r="D18" i="38"/>
  <c r="E18" i="38"/>
  <c r="D20" i="38"/>
  <c r="E20" i="38"/>
  <c r="D34" i="38"/>
  <c r="E34" i="38"/>
  <c r="D28" i="38"/>
  <c r="E28" i="38"/>
  <c r="D14" i="38"/>
  <c r="E14" i="38"/>
  <c r="D36" i="38"/>
  <c r="E36" i="38"/>
  <c r="E22" i="38"/>
  <c r="D22" i="38"/>
  <c r="D40" i="38"/>
  <c r="E40" i="38"/>
  <c r="D16" i="38"/>
  <c r="E16" i="38"/>
  <c r="E49" i="38"/>
  <c r="D49" i="38"/>
  <c r="E33" i="38"/>
  <c r="D33" i="38"/>
  <c r="J40" i="38"/>
  <c r="I40" i="38"/>
  <c r="G42" i="38"/>
  <c r="H42" i="38" s="1"/>
  <c r="BB47" i="36"/>
  <c r="BB49" i="36"/>
  <c r="AZ33" i="36"/>
  <c r="BB35" i="36"/>
  <c r="AU49" i="36"/>
  <c r="AS33" i="36"/>
  <c r="AU47" i="36"/>
  <c r="AU35" i="36"/>
  <c r="AN47" i="36"/>
  <c r="AN49" i="36"/>
  <c r="AN35" i="36"/>
  <c r="AL31" i="36"/>
  <c r="Z49" i="36"/>
  <c r="Z47" i="36"/>
  <c r="Z35" i="36"/>
  <c r="X31" i="36"/>
  <c r="AE31" i="36"/>
  <c r="AG35" i="36"/>
  <c r="AE37" i="36" s="1"/>
  <c r="AG47" i="36"/>
  <c r="AE33" i="36"/>
  <c r="AG49" i="36"/>
  <c r="L30" i="36"/>
  <c r="C71" i="32"/>
  <c r="E71" i="32" s="1"/>
  <c r="C63" i="32"/>
  <c r="C67" i="32"/>
  <c r="E67" i="32" s="1"/>
  <c r="H12" i="30"/>
  <c r="J12" i="30" s="1"/>
  <c r="C61" i="32"/>
  <c r="E61" i="32" s="1"/>
  <c r="E30" i="32"/>
  <c r="C6" i="33"/>
  <c r="D16" i="29"/>
  <c r="E16" i="29" s="1"/>
  <c r="C10" i="29"/>
  <c r="D37" i="29" s="1"/>
  <c r="E37" i="29" s="1"/>
  <c r="L8" i="34"/>
  <c r="N8" i="34" s="1"/>
  <c r="N9" i="34" s="1"/>
  <c r="E14" i="27"/>
  <c r="C12" i="29"/>
  <c r="D38" i="29" s="1"/>
  <c r="E38" i="29" s="1"/>
  <c r="O24" i="29"/>
  <c r="O26" i="29" s="1"/>
  <c r="D17" i="29"/>
  <c r="E17" i="29" s="1"/>
  <c r="D15" i="29"/>
  <c r="E15" i="29" s="1"/>
  <c r="D22" i="28"/>
  <c r="C24" i="28" s="1"/>
  <c r="C25" i="28" s="1"/>
  <c r="C27" i="28" s="1"/>
  <c r="C42" i="28" s="1"/>
  <c r="K8" i="34"/>
  <c r="J8" i="34"/>
  <c r="M33" i="34"/>
  <c r="M34" i="34" s="1"/>
  <c r="P33" i="34" s="1"/>
  <c r="Q33" i="34" s="1"/>
  <c r="S33" i="34"/>
  <c r="T33" i="34" s="1"/>
  <c r="N34" i="34"/>
  <c r="E16" i="32"/>
  <c r="C8" i="28"/>
  <c r="C6" i="27"/>
  <c r="AK45" i="38" l="1"/>
  <c r="AL44" i="38"/>
  <c r="AN43" i="38"/>
  <c r="AM43" i="38"/>
  <c r="I41" i="38"/>
  <c r="J41" i="38"/>
  <c r="G43" i="38"/>
  <c r="H43" i="38" s="1"/>
  <c r="AZ35" i="36"/>
  <c r="AZ37" i="36"/>
  <c r="AS35" i="36"/>
  <c r="AS37" i="36"/>
  <c r="AL35" i="36"/>
  <c r="AL37" i="36"/>
  <c r="X35" i="36"/>
  <c r="X37" i="36"/>
  <c r="BB51" i="36"/>
  <c r="AZ51" i="36" s="1"/>
  <c r="AZ53" i="36"/>
  <c r="BB55" i="36" s="1"/>
  <c r="AM11" i="38" s="1"/>
  <c r="E12" i="37" s="1"/>
  <c r="AN51" i="36"/>
  <c r="AL51" i="36" s="1"/>
  <c r="AU51" i="36"/>
  <c r="AS51" i="36" s="1"/>
  <c r="AS53" i="36"/>
  <c r="AU57" i="36" s="1"/>
  <c r="AI11" i="38" s="1"/>
  <c r="F11" i="37" s="1"/>
  <c r="AL53" i="36"/>
  <c r="AN55" i="36" s="1"/>
  <c r="AC11" i="38" s="1"/>
  <c r="E10" i="37" s="1"/>
  <c r="X53" i="36"/>
  <c r="Z59" i="36" s="1"/>
  <c r="Z51" i="36"/>
  <c r="X51" i="36" s="1"/>
  <c r="AE53" i="36"/>
  <c r="AG51" i="36"/>
  <c r="AE51" i="36" s="1"/>
  <c r="AE35" i="36"/>
  <c r="L31" i="36"/>
  <c r="L35" i="36" s="1"/>
  <c r="J37" i="36" s="1"/>
  <c r="Q33" i="36"/>
  <c r="S47" i="36"/>
  <c r="S49" i="36"/>
  <c r="Q31" i="36"/>
  <c r="S35" i="36"/>
  <c r="Q37" i="36" s="1"/>
  <c r="D91" i="32"/>
  <c r="C69" i="32"/>
  <c r="E69" i="32" s="1"/>
  <c r="D83" i="32" s="1"/>
  <c r="E63" i="32"/>
  <c r="Q12" i="30"/>
  <c r="Z12" i="30" s="1"/>
  <c r="AI12" i="30" s="1"/>
  <c r="AR12" i="30" s="1"/>
  <c r="AT12" i="30" s="1"/>
  <c r="D9" i="33"/>
  <c r="D14" i="33"/>
  <c r="E18" i="32"/>
  <c r="E19" i="32" s="1"/>
  <c r="E20" i="32" s="1"/>
  <c r="U33" i="34"/>
  <c r="V33" i="34" s="1"/>
  <c r="E18" i="29"/>
  <c r="S8" i="34"/>
  <c r="T8" i="34" s="1"/>
  <c r="D23" i="29"/>
  <c r="E23" i="29" s="1"/>
  <c r="D24" i="29"/>
  <c r="E24" i="29" s="1"/>
  <c r="E26" i="28"/>
  <c r="F26" i="28" s="1"/>
  <c r="G26" i="28" s="1"/>
  <c r="D18" i="29"/>
  <c r="C20" i="29" s="1"/>
  <c r="D36" i="29" s="1"/>
  <c r="E36" i="29" s="1"/>
  <c r="C40" i="28"/>
  <c r="E41" i="28" s="1"/>
  <c r="F41" i="28" s="1"/>
  <c r="M8" i="34"/>
  <c r="M9" i="34" s="1"/>
  <c r="P8" i="34" s="1"/>
  <c r="Q8" i="34" s="1"/>
  <c r="D40" i="33"/>
  <c r="D41" i="33"/>
  <c r="D32" i="33"/>
  <c r="D39" i="33"/>
  <c r="D30" i="33"/>
  <c r="D31" i="33"/>
  <c r="D23" i="33"/>
  <c r="D29" i="33"/>
  <c r="D21" i="33"/>
  <c r="D22" i="33"/>
  <c r="D15" i="33"/>
  <c r="D20" i="33"/>
  <c r="D13" i="33"/>
  <c r="D11" i="33"/>
  <c r="D12" i="33"/>
  <c r="D10" i="33"/>
  <c r="V6" i="27"/>
  <c r="V16" i="27" s="1"/>
  <c r="X16" i="27" s="1"/>
  <c r="X18" i="27" s="1"/>
  <c r="X19" i="27" s="1"/>
  <c r="X20" i="27" s="1"/>
  <c r="X24" i="27" s="1"/>
  <c r="C34" i="27"/>
  <c r="C16" i="27"/>
  <c r="E18" i="37" l="1"/>
  <c r="E23" i="37"/>
  <c r="AN44" i="38"/>
  <c r="AM44" i="38"/>
  <c r="AK46" i="38"/>
  <c r="AL45" i="38"/>
  <c r="G44" i="38"/>
  <c r="H44" i="38" s="1"/>
  <c r="J42" i="38"/>
  <c r="I42" i="38"/>
  <c r="C37" i="36"/>
  <c r="C35" i="36"/>
  <c r="BB57" i="36"/>
  <c r="AZ65" i="36"/>
  <c r="AU55" i="36"/>
  <c r="AU59" i="36"/>
  <c r="BB59" i="36"/>
  <c r="AS65" i="36"/>
  <c r="AN59" i="36"/>
  <c r="AL65" i="36"/>
  <c r="AN57" i="36"/>
  <c r="AD11" i="38" s="1"/>
  <c r="F10" i="37" s="1"/>
  <c r="AZ45" i="36"/>
  <c r="BB45" i="36" s="1"/>
  <c r="AZ69" i="36"/>
  <c r="BB69" i="36" s="1"/>
  <c r="X65" i="36"/>
  <c r="Z55" i="36"/>
  <c r="S11" i="38" s="1"/>
  <c r="E8" i="37" s="1"/>
  <c r="Z57" i="36"/>
  <c r="T11" i="38" s="1"/>
  <c r="F8" i="37" s="1"/>
  <c r="AS45" i="36"/>
  <c r="AU45" i="36" s="1"/>
  <c r="AS69" i="36"/>
  <c r="AU69" i="36" s="1"/>
  <c r="AL45" i="36"/>
  <c r="AN45" i="36" s="1"/>
  <c r="AL69" i="36"/>
  <c r="AN69" i="36" s="1"/>
  <c r="AE45" i="36"/>
  <c r="AG45" i="36" s="1"/>
  <c r="AE69" i="36"/>
  <c r="AG69" i="36" s="1"/>
  <c r="AG59" i="36"/>
  <c r="AG57" i="36"/>
  <c r="Y11" i="38" s="1"/>
  <c r="F9" i="37" s="1"/>
  <c r="AG55" i="36"/>
  <c r="X11" i="38" s="1"/>
  <c r="E9" i="37" s="1"/>
  <c r="AE65" i="36"/>
  <c r="X45" i="36"/>
  <c r="Z45" i="36" s="1"/>
  <c r="X69" i="36"/>
  <c r="Z69" i="36" s="1"/>
  <c r="L47" i="36"/>
  <c r="J33" i="36"/>
  <c r="L49" i="36"/>
  <c r="J35" i="36"/>
  <c r="J31" i="36"/>
  <c r="Q35" i="36"/>
  <c r="Q53" i="36"/>
  <c r="S55" i="36" s="1"/>
  <c r="N11" i="38" s="1"/>
  <c r="E7" i="37" s="1"/>
  <c r="S51" i="36"/>
  <c r="Q51" i="36" s="1"/>
  <c r="J69" i="36"/>
  <c r="L69" i="36" s="1"/>
  <c r="Q45" i="36"/>
  <c r="S45" i="36" s="1"/>
  <c r="Q69" i="36"/>
  <c r="S69" i="36" s="1"/>
  <c r="J45" i="36"/>
  <c r="L45" i="36" s="1"/>
  <c r="E47" i="36"/>
  <c r="E49" i="36"/>
  <c r="C45" i="36"/>
  <c r="E45" i="36" s="1"/>
  <c r="E16" i="27"/>
  <c r="E18" i="27" s="1"/>
  <c r="E19" i="27" s="1"/>
  <c r="E20" i="27" s="1"/>
  <c r="G20" i="27" s="1"/>
  <c r="H20" i="27" s="1"/>
  <c r="C65" i="32"/>
  <c r="E65" i="32" s="1"/>
  <c r="D79" i="32" s="1"/>
  <c r="AB12" i="30"/>
  <c r="D94" i="32"/>
  <c r="D73" i="32"/>
  <c r="D90" i="32"/>
  <c r="D87" i="32"/>
  <c r="D84" i="32"/>
  <c r="AK12" i="30"/>
  <c r="D95" i="32"/>
  <c r="D74" i="32"/>
  <c r="D81" i="32"/>
  <c r="D88" i="32"/>
  <c r="D76" i="32"/>
  <c r="D78" i="32"/>
  <c r="D89" i="32"/>
  <c r="S12" i="30"/>
  <c r="E24" i="32"/>
  <c r="C24" i="32" s="1"/>
  <c r="E36" i="32"/>
  <c r="E38" i="32"/>
  <c r="C22" i="32"/>
  <c r="G20" i="32"/>
  <c r="G19" i="32" s="1"/>
  <c r="C20" i="32"/>
  <c r="B36" i="34"/>
  <c r="U8" i="34"/>
  <c r="U9" i="34" s="1"/>
  <c r="D25" i="29"/>
  <c r="E25" i="29" s="1"/>
  <c r="D39" i="29"/>
  <c r="E39" i="29" s="1"/>
  <c r="E40" i="29" s="1"/>
  <c r="C43" i="29" s="1"/>
  <c r="D22" i="29"/>
  <c r="E22" i="29" s="1"/>
  <c r="G41" i="28"/>
  <c r="U34" i="34"/>
  <c r="D16" i="33" a="1"/>
  <c r="D16" i="33" s="1"/>
  <c r="C18" i="33" s="1"/>
  <c r="D42" i="33" a="1"/>
  <c r="D42" i="33" s="1"/>
  <c r="C44" i="33" s="1"/>
  <c r="D33" i="33" a="1"/>
  <c r="D33" i="33" s="1"/>
  <c r="C35" i="33" s="1"/>
  <c r="C46" i="33" s="1"/>
  <c r="D24" i="33" a="1"/>
  <c r="D24" i="33" s="1"/>
  <c r="C26" i="33" s="1"/>
  <c r="C36" i="27"/>
  <c r="C34" i="32"/>
  <c r="C104" i="32" s="1"/>
  <c r="E104" i="32" s="1"/>
  <c r="V34" i="27"/>
  <c r="V36" i="27" s="1"/>
  <c r="F18" i="37" l="1"/>
  <c r="F23" i="37"/>
  <c r="F17" i="37"/>
  <c r="F22" i="37"/>
  <c r="E17" i="37"/>
  <c r="E22" i="37"/>
  <c r="BB61" i="36"/>
  <c r="AZ61" i="36" s="1"/>
  <c r="AN11" i="38"/>
  <c r="F12" i="37" s="1"/>
  <c r="AU61" i="36"/>
  <c r="AS61" i="36" s="1"/>
  <c r="AH11" i="38"/>
  <c r="E11" i="37" s="1"/>
  <c r="AN45" i="38"/>
  <c r="AM45" i="38"/>
  <c r="AK47" i="38"/>
  <c r="AL46" i="38"/>
  <c r="G45" i="38"/>
  <c r="H45" i="38" s="1"/>
  <c r="J43" i="38"/>
  <c r="I43" i="38"/>
  <c r="AU63" i="36"/>
  <c r="AS63" i="36" s="1"/>
  <c r="BB63" i="36"/>
  <c r="AZ63" i="36" s="1"/>
  <c r="AN63" i="36"/>
  <c r="AL63" i="36" s="1"/>
  <c r="Z63" i="36"/>
  <c r="X63" i="36" s="1"/>
  <c r="AN61" i="36"/>
  <c r="AL61" i="36" s="1"/>
  <c r="Z61" i="36"/>
  <c r="X61" i="36" s="1"/>
  <c r="AG61" i="36"/>
  <c r="AE61" i="36" s="1"/>
  <c r="AG63" i="36"/>
  <c r="AE63" i="36" s="1"/>
  <c r="L51" i="36"/>
  <c r="J51" i="36" s="1"/>
  <c r="J53" i="36"/>
  <c r="L57" i="36" s="1"/>
  <c r="Q65" i="36"/>
  <c r="S57" i="36"/>
  <c r="O11" i="38" s="1"/>
  <c r="F7" i="37" s="1"/>
  <c r="S59" i="36"/>
  <c r="C53" i="36"/>
  <c r="E55" i="36" s="1"/>
  <c r="E51" i="36"/>
  <c r="C51" i="36" s="1"/>
  <c r="C36" i="34"/>
  <c r="E36" i="34" s="1"/>
  <c r="E37" i="34" s="1"/>
  <c r="E38" i="34" s="1"/>
  <c r="D77" i="32"/>
  <c r="C96" i="32"/>
  <c r="C92" i="32"/>
  <c r="E92" i="32" s="1"/>
  <c r="D75" i="32"/>
  <c r="D80" i="32"/>
  <c r="D82" i="32"/>
  <c r="E40" i="32"/>
  <c r="C40" i="32" s="1"/>
  <c r="C26" i="32"/>
  <c r="C42" i="32"/>
  <c r="E34" i="32"/>
  <c r="E26" i="29"/>
  <c r="C29" i="29" s="1"/>
  <c r="V8" i="34"/>
  <c r="B11" i="34" s="1"/>
  <c r="C11" i="34" s="1"/>
  <c r="F11" i="34" s="1"/>
  <c r="I11" i="34" s="1"/>
  <c r="D26" i="29"/>
  <c r="E18" i="33"/>
  <c r="C6" i="35"/>
  <c r="E6" i="35" s="1"/>
  <c r="E26" i="33"/>
  <c r="C49" i="33"/>
  <c r="E44" i="33"/>
  <c r="C51" i="33"/>
  <c r="C50" i="33"/>
  <c r="C47" i="33"/>
  <c r="E35" i="33"/>
  <c r="V22" i="27"/>
  <c r="C20" i="27"/>
  <c r="C22" i="27"/>
  <c r="C8" i="29" s="1"/>
  <c r="C28" i="29" s="1"/>
  <c r="E24" i="27"/>
  <c r="C24" i="27" s="1"/>
  <c r="C28" i="27" s="1"/>
  <c r="D11" i="38" l="1"/>
  <c r="E4" i="37"/>
  <c r="J11" i="38"/>
  <c r="F6" i="37" s="1"/>
  <c r="AN46" i="38"/>
  <c r="AM46" i="38"/>
  <c r="AK48" i="38"/>
  <c r="AL47" i="38"/>
  <c r="G46" i="38"/>
  <c r="H46" i="38" s="1"/>
  <c r="J44" i="38"/>
  <c r="I44" i="38"/>
  <c r="AS71" i="36"/>
  <c r="AS77" i="36" s="1"/>
  <c r="AZ71" i="36"/>
  <c r="AZ77" i="36" s="1"/>
  <c r="X71" i="36"/>
  <c r="X77" i="36" s="1"/>
  <c r="AL71" i="36"/>
  <c r="AL77" i="36" s="1"/>
  <c r="AE71" i="36"/>
  <c r="AE77" i="36" s="1"/>
  <c r="L55" i="36"/>
  <c r="S61" i="36"/>
  <c r="Q61" i="36" s="1"/>
  <c r="Q71" i="36"/>
  <c r="Q77" i="36" s="1"/>
  <c r="J65" i="36"/>
  <c r="L59" i="36"/>
  <c r="S63" i="36"/>
  <c r="Q63" i="36" s="1"/>
  <c r="E59" i="36"/>
  <c r="E57" i="36"/>
  <c r="F36" i="34"/>
  <c r="I36" i="34" s="1"/>
  <c r="O36" i="34"/>
  <c r="O37" i="34" s="1"/>
  <c r="O38" i="34" s="1"/>
  <c r="D36" i="34"/>
  <c r="D37" i="34" s="1"/>
  <c r="D38" i="34" s="1"/>
  <c r="C102" i="32"/>
  <c r="C85" i="32"/>
  <c r="E85" i="32" s="1"/>
  <c r="C56" i="33"/>
  <c r="E48" i="32"/>
  <c r="E46" i="32"/>
  <c r="E44" i="32"/>
  <c r="G25" i="32"/>
  <c r="H36" i="34"/>
  <c r="C30" i="29"/>
  <c r="O11" i="34"/>
  <c r="O12" i="34" s="1"/>
  <c r="O13" i="34" s="1"/>
  <c r="E11" i="34"/>
  <c r="H11" i="34" s="1"/>
  <c r="D11" i="34"/>
  <c r="D12" i="34" s="1"/>
  <c r="D13" i="34" s="1"/>
  <c r="D50" i="33"/>
  <c r="D51" i="33"/>
  <c r="C52" i="33"/>
  <c r="H56" i="33" s="1"/>
  <c r="D49" i="33"/>
  <c r="V24" i="27"/>
  <c r="V28" i="27" s="1"/>
  <c r="V30" i="27" s="1"/>
  <c r="V32" i="27" s="1"/>
  <c r="V20" i="27"/>
  <c r="Z20" i="27"/>
  <c r="AA20" i="27" s="1"/>
  <c r="C26" i="27"/>
  <c r="H26" i="27" s="1"/>
  <c r="C30" i="27"/>
  <c r="C32" i="27" s="1"/>
  <c r="C38" i="27" s="1"/>
  <c r="D17" i="31" s="1"/>
  <c r="E16" i="37" l="1"/>
  <c r="E21" i="37"/>
  <c r="E11" i="38"/>
  <c r="F4" i="37"/>
  <c r="J71" i="36"/>
  <c r="J77" i="36" s="1"/>
  <c r="I11" i="38"/>
  <c r="E6" i="37" s="1"/>
  <c r="AN47" i="38"/>
  <c r="AM47" i="38"/>
  <c r="AK49" i="38"/>
  <c r="AL48" i="38"/>
  <c r="G47" i="38"/>
  <c r="H47" i="38" s="1"/>
  <c r="I45" i="38"/>
  <c r="J45" i="38"/>
  <c r="AS73" i="36"/>
  <c r="AZ73" i="36"/>
  <c r="AS75" i="36"/>
  <c r="AZ75" i="36"/>
  <c r="AE73" i="36"/>
  <c r="AL73" i="36"/>
  <c r="AE75" i="36"/>
  <c r="AL75" i="36"/>
  <c r="Q73" i="36"/>
  <c r="X73" i="36"/>
  <c r="Q75" i="36"/>
  <c r="X75" i="36"/>
  <c r="L61" i="36"/>
  <c r="J61" i="36" s="1"/>
  <c r="L63" i="36"/>
  <c r="J63" i="36" s="1"/>
  <c r="J75" i="36"/>
  <c r="J73" i="36"/>
  <c r="C54" i="33"/>
  <c r="G36" i="34"/>
  <c r="L36" i="34" s="1"/>
  <c r="N36" i="34" s="1"/>
  <c r="S36" i="34" s="1"/>
  <c r="T36" i="34" s="1"/>
  <c r="E52" i="32"/>
  <c r="C52" i="32" s="1"/>
  <c r="C100" i="32" s="1"/>
  <c r="E100" i="32" s="1"/>
  <c r="C110" i="32" s="1"/>
  <c r="E50" i="32"/>
  <c r="P7" i="31"/>
  <c r="E56" i="33"/>
  <c r="E12" i="34"/>
  <c r="E13" i="34" s="1"/>
  <c r="G11" i="34"/>
  <c r="G56" i="33"/>
  <c r="C4" i="35"/>
  <c r="C41" i="27"/>
  <c r="D19" i="31" s="1"/>
  <c r="H54" i="33"/>
  <c r="V26" i="27"/>
  <c r="AA26" i="27" s="1"/>
  <c r="V38" i="27"/>
  <c r="X38" i="27" s="1"/>
  <c r="V41" i="27"/>
  <c r="F16" i="37" l="1"/>
  <c r="F21" i="37"/>
  <c r="AN48" i="38"/>
  <c r="AM48" i="38"/>
  <c r="AL49" i="38"/>
  <c r="AK50" i="38"/>
  <c r="AL50" i="38" s="1"/>
  <c r="J46" i="38"/>
  <c r="I46" i="38"/>
  <c r="G48" i="38"/>
  <c r="H48" i="38" s="1"/>
  <c r="AS79" i="36"/>
  <c r="AU85" i="36" s="1"/>
  <c r="AS85" i="36" s="1"/>
  <c r="AS81" i="36"/>
  <c r="AZ79" i="36"/>
  <c r="AZ81" i="36"/>
  <c r="AE79" i="36"/>
  <c r="AE81" i="36"/>
  <c r="AL79" i="36"/>
  <c r="AL81" i="36"/>
  <c r="Q81" i="36"/>
  <c r="X79" i="36"/>
  <c r="X81" i="36"/>
  <c r="Q79" i="36"/>
  <c r="J79" i="36"/>
  <c r="J81" i="36"/>
  <c r="C63" i="33"/>
  <c r="P5" i="31"/>
  <c r="J36" i="34"/>
  <c r="K36" i="34"/>
  <c r="C50" i="32"/>
  <c r="N37" i="34"/>
  <c r="L11" i="34"/>
  <c r="N11" i="34" s="1"/>
  <c r="K11" i="34"/>
  <c r="J11" i="34"/>
  <c r="E4" i="35"/>
  <c r="C8" i="35"/>
  <c r="E8" i="35" s="1"/>
  <c r="C10" i="35" s="1"/>
  <c r="P24" i="31" s="1"/>
  <c r="G54" i="33"/>
  <c r="E54" i="33"/>
  <c r="C12" i="28"/>
  <c r="E12" i="28" s="1"/>
  <c r="E41" i="27"/>
  <c r="F41" i="27" s="1"/>
  <c r="G41" i="27" s="1"/>
  <c r="H41" i="27" s="1"/>
  <c r="H14" i="30"/>
  <c r="H16" i="30" s="1"/>
  <c r="L16" i="30" s="1"/>
  <c r="X41" i="27"/>
  <c r="Y41" i="27" s="1"/>
  <c r="Z41" i="27" s="1"/>
  <c r="AA41" i="27" s="1"/>
  <c r="H18" i="30"/>
  <c r="Y38" i="27"/>
  <c r="Z38" i="27" s="1"/>
  <c r="AA38" i="27" s="1"/>
  <c r="E38" i="27"/>
  <c r="F38" i="27" s="1"/>
  <c r="G38" i="27" s="1"/>
  <c r="H38" i="27" s="1"/>
  <c r="C10" i="28"/>
  <c r="AN50" i="38" l="1"/>
  <c r="AM50" i="38"/>
  <c r="AN49" i="38"/>
  <c r="AM49" i="38"/>
  <c r="G49" i="38"/>
  <c r="H49" i="38" s="1"/>
  <c r="I47" i="38"/>
  <c r="J47" i="38"/>
  <c r="AS83" i="36"/>
  <c r="AU87" i="36"/>
  <c r="AS87" i="36" s="1"/>
  <c r="V37" i="31" s="1"/>
  <c r="AZ83" i="36"/>
  <c r="BB85" i="36"/>
  <c r="AZ85" i="36" s="1"/>
  <c r="BB87" i="36"/>
  <c r="AV85" i="36"/>
  <c r="V35" i="31" s="1"/>
  <c r="AS94" i="36"/>
  <c r="AU94" i="36" s="1"/>
  <c r="AG87" i="36"/>
  <c r="AE87" i="36" s="1"/>
  <c r="V25" i="31" s="1"/>
  <c r="AG85" i="36"/>
  <c r="AE85" i="36" s="1"/>
  <c r="AH85" i="36" s="1"/>
  <c r="V23" i="31" s="1"/>
  <c r="AE83" i="36"/>
  <c r="AN85" i="36"/>
  <c r="AL85" i="36" s="1"/>
  <c r="AL83" i="36"/>
  <c r="AN87" i="36"/>
  <c r="Z85" i="36"/>
  <c r="X85" i="36" s="1"/>
  <c r="X83" i="36"/>
  <c r="Z87" i="36"/>
  <c r="S85" i="36"/>
  <c r="S87" i="36"/>
  <c r="Q83" i="36"/>
  <c r="L85" i="36"/>
  <c r="J85" i="36" s="1"/>
  <c r="J83" i="36"/>
  <c r="L87" i="36"/>
  <c r="J87" i="36" s="1"/>
  <c r="V7" i="31" s="1"/>
  <c r="M36" i="34"/>
  <c r="M37" i="34" s="1"/>
  <c r="P36" i="34" s="1"/>
  <c r="R36" i="34" s="1"/>
  <c r="C54" i="32"/>
  <c r="C98" i="32"/>
  <c r="E98" i="32" s="1"/>
  <c r="C56" i="32"/>
  <c r="M11" i="34"/>
  <c r="M12" i="34" s="1"/>
  <c r="P11" i="34" s="1"/>
  <c r="S11" i="34"/>
  <c r="T11" i="34" s="1"/>
  <c r="N12" i="34"/>
  <c r="C46" i="28"/>
  <c r="C48" i="28" s="1"/>
  <c r="J14" i="30"/>
  <c r="Q14" i="30"/>
  <c r="Z14" i="30" s="1"/>
  <c r="AI14" i="30" s="1"/>
  <c r="AR14" i="30" s="1"/>
  <c r="AT14" i="30" s="1"/>
  <c r="H28" i="30"/>
  <c r="L28" i="30" s="1"/>
  <c r="AI18" i="30"/>
  <c r="AK18" i="30" s="1"/>
  <c r="AK20" i="30" s="1"/>
  <c r="AI20" i="30" s="1"/>
  <c r="AI22" i="30" s="1"/>
  <c r="AK22" i="30" s="1"/>
  <c r="AR18" i="30"/>
  <c r="AT18" i="30" s="1"/>
  <c r="Z18" i="30"/>
  <c r="Q18" i="30"/>
  <c r="S18" i="30" s="1"/>
  <c r="J16" i="30"/>
  <c r="J18" i="30"/>
  <c r="J20" i="30" s="1"/>
  <c r="H20" i="30" s="1"/>
  <c r="H22" i="30" s="1"/>
  <c r="E10" i="28"/>
  <c r="G10" i="28"/>
  <c r="H10" i="28" s="1"/>
  <c r="G50" i="38" l="1"/>
  <c r="H50" i="38" s="1"/>
  <c r="J48" i="38"/>
  <c r="I48" i="38"/>
  <c r="Q85" i="36"/>
  <c r="T85" i="36" s="1"/>
  <c r="V11" i="31" s="1"/>
  <c r="AZ87" i="36"/>
  <c r="V43" i="31" s="1"/>
  <c r="BC85" i="36"/>
  <c r="V41" i="31" s="1"/>
  <c r="AZ94" i="36"/>
  <c r="BB94" i="36" s="1"/>
  <c r="BB96" i="36" s="1"/>
  <c r="AZ96" i="36" s="1"/>
  <c r="C12" i="37" s="1"/>
  <c r="AE94" i="36"/>
  <c r="AG94" i="36" s="1"/>
  <c r="AG96" i="36" s="1"/>
  <c r="AE96" i="36" s="1"/>
  <c r="C9" i="37" s="1"/>
  <c r="AU96" i="36"/>
  <c r="AL87" i="36"/>
  <c r="V31" i="31" s="1"/>
  <c r="AO85" i="36"/>
  <c r="V29" i="31" s="1"/>
  <c r="AL94" i="36"/>
  <c r="AN94" i="36" s="1"/>
  <c r="X87" i="36"/>
  <c r="V19" i="31" s="1"/>
  <c r="AA85" i="36"/>
  <c r="V17" i="31" s="1"/>
  <c r="X94" i="36"/>
  <c r="Z94" i="36" s="1"/>
  <c r="M85" i="36"/>
  <c r="V5" i="31" s="1"/>
  <c r="J94" i="36"/>
  <c r="L94" i="36" s="1"/>
  <c r="Q87" i="36"/>
  <c r="V13" i="31" s="1"/>
  <c r="C106" i="32"/>
  <c r="C112" i="32" s="1"/>
  <c r="Q36" i="34"/>
  <c r="U36" i="34" s="1"/>
  <c r="U37" i="34" s="1"/>
  <c r="V36" i="34" s="1"/>
  <c r="B39" i="34" s="1"/>
  <c r="C39" i="34" s="1"/>
  <c r="E39" i="34" s="1"/>
  <c r="H39" i="34" s="1"/>
  <c r="C108" i="32"/>
  <c r="C114" i="32" s="1"/>
  <c r="R11" i="34"/>
  <c r="Q11" i="34"/>
  <c r="E46" i="28"/>
  <c r="E50" i="28" s="1"/>
  <c r="E56" i="28" s="1"/>
  <c r="E63" i="33"/>
  <c r="AB14" i="30"/>
  <c r="AK14" i="30"/>
  <c r="S14" i="30"/>
  <c r="AR16" i="30"/>
  <c r="AV16" i="30" s="1"/>
  <c r="Z16" i="30"/>
  <c r="AB16" i="30" s="1"/>
  <c r="Q16" i="30"/>
  <c r="Q28" i="30" s="1"/>
  <c r="U28" i="30" s="1"/>
  <c r="AI16" i="30"/>
  <c r="AM16" i="30" s="1"/>
  <c r="AK24" i="30"/>
  <c r="AI24" i="30" s="1"/>
  <c r="AM24" i="30" s="1"/>
  <c r="AM34" i="30" s="1"/>
  <c r="AI34" i="30" s="1"/>
  <c r="AT20" i="30"/>
  <c r="AR20" i="30" s="1"/>
  <c r="AR22" i="30" s="1"/>
  <c r="AT22" i="30" s="1"/>
  <c r="AT24" i="30"/>
  <c r="AR24" i="30" s="1"/>
  <c r="AV24" i="30" s="1"/>
  <c r="AB18" i="30"/>
  <c r="AB24" i="30" s="1"/>
  <c r="Z24" i="30" s="1"/>
  <c r="AD24" i="30" s="1"/>
  <c r="S24" i="30"/>
  <c r="S20" i="30"/>
  <c r="J24" i="30"/>
  <c r="H24" i="30" s="1"/>
  <c r="L24" i="30" s="1"/>
  <c r="L32" i="30" s="1"/>
  <c r="H32" i="30" s="1"/>
  <c r="Q24" i="30" l="1"/>
  <c r="U24" i="30" s="1"/>
  <c r="J49" i="38"/>
  <c r="I49" i="38"/>
  <c r="J50" i="38"/>
  <c r="I50" i="38"/>
  <c r="AZ98" i="36"/>
  <c r="AC41" i="31"/>
  <c r="AE98" i="36"/>
  <c r="AC23" i="31"/>
  <c r="Q94" i="36"/>
  <c r="S94" i="36" s="1"/>
  <c r="S96" i="36" s="1"/>
  <c r="Q96" i="36" s="1"/>
  <c r="C7" i="37" s="1"/>
  <c r="BB100" i="36"/>
  <c r="BB102" i="36"/>
  <c r="AG102" i="36"/>
  <c r="AS96" i="36"/>
  <c r="C11" i="37" s="1"/>
  <c r="AU102" i="36"/>
  <c r="AU100" i="36"/>
  <c r="AG100" i="36"/>
  <c r="AN96" i="36"/>
  <c r="Z96" i="36"/>
  <c r="L96" i="36"/>
  <c r="L102" i="36" s="1"/>
  <c r="E65" i="33"/>
  <c r="E69" i="33" s="1"/>
  <c r="W36" i="34"/>
  <c r="E118" i="32"/>
  <c r="C118" i="32" s="1"/>
  <c r="C116" i="32"/>
  <c r="F39" i="34"/>
  <c r="I39" i="34" s="1"/>
  <c r="O39" i="34"/>
  <c r="O40" i="34" s="1"/>
  <c r="O41" i="34" s="1"/>
  <c r="D39" i="34"/>
  <c r="G39" i="34" s="1"/>
  <c r="E40" i="34"/>
  <c r="E41" i="34" s="1"/>
  <c r="U11" i="34"/>
  <c r="AD16" i="30"/>
  <c r="AR28" i="30"/>
  <c r="AV28" i="30" s="1"/>
  <c r="AV32" i="30" s="1"/>
  <c r="AR32" i="30" s="1"/>
  <c r="D20" i="30" s="1"/>
  <c r="AT16" i="30"/>
  <c r="S16" i="30"/>
  <c r="U16" i="30"/>
  <c r="AK16" i="30"/>
  <c r="Z28" i="30"/>
  <c r="AD28" i="30" s="1"/>
  <c r="AI28" i="30"/>
  <c r="AM28" i="30" s="1"/>
  <c r="AM32" i="30" s="1"/>
  <c r="AI32" i="30" s="1"/>
  <c r="D18" i="30" s="1"/>
  <c r="AV34" i="30"/>
  <c r="AR34" i="30" s="1"/>
  <c r="AB20" i="30"/>
  <c r="Z20" i="30" s="1"/>
  <c r="Z22" i="30" s="1"/>
  <c r="AB22" i="30" s="1"/>
  <c r="Q20" i="30"/>
  <c r="L34" i="30"/>
  <c r="H34" i="30" s="1"/>
  <c r="L30" i="30"/>
  <c r="H30" i="30" s="1"/>
  <c r="H36" i="30" s="1"/>
  <c r="AS98" i="36" l="1"/>
  <c r="AC35" i="31"/>
  <c r="Q98" i="36"/>
  <c r="AC11" i="31"/>
  <c r="S102" i="36"/>
  <c r="S100" i="36"/>
  <c r="BB104" i="36"/>
  <c r="AZ104" i="36" s="1"/>
  <c r="AG104" i="36"/>
  <c r="AE104" i="36" s="1"/>
  <c r="AU104" i="36"/>
  <c r="AS104" i="36" s="1"/>
  <c r="AL96" i="36"/>
  <c r="C10" i="37" s="1"/>
  <c r="AN102" i="36"/>
  <c r="AN100" i="36"/>
  <c r="X96" i="36"/>
  <c r="C8" i="37" s="1"/>
  <c r="Z102" i="36"/>
  <c r="Z100" i="36"/>
  <c r="J96" i="36"/>
  <c r="C6" i="37" s="1"/>
  <c r="L100" i="36"/>
  <c r="L104" i="36" s="1"/>
  <c r="J104" i="36" s="1"/>
  <c r="C65" i="33"/>
  <c r="C5" i="37" s="1"/>
  <c r="E120" i="32"/>
  <c r="C120" i="32" s="1"/>
  <c r="K39" i="34"/>
  <c r="L39" i="34"/>
  <c r="N39" i="34" s="1"/>
  <c r="S39" i="34" s="1"/>
  <c r="T39" i="34" s="1"/>
  <c r="J39" i="34"/>
  <c r="D40" i="34"/>
  <c r="D41" i="34" s="1"/>
  <c r="E71" i="33"/>
  <c r="E54" i="28"/>
  <c r="C50" i="28"/>
  <c r="C20" i="30"/>
  <c r="J19" i="31" s="1"/>
  <c r="K17" i="31"/>
  <c r="C22" i="30"/>
  <c r="J21" i="31" s="1"/>
  <c r="K19" i="31"/>
  <c r="AV30" i="30"/>
  <c r="AR30" i="30" s="1"/>
  <c r="C8" i="30" s="1"/>
  <c r="AM30" i="30"/>
  <c r="AI30" i="30" s="1"/>
  <c r="C10" i="30" s="1"/>
  <c r="AD32" i="30"/>
  <c r="Z32" i="30" s="1"/>
  <c r="D16" i="30" s="1"/>
  <c r="U30" i="30"/>
  <c r="Q22" i="30"/>
  <c r="S22" i="30" s="1"/>
  <c r="J22" i="30"/>
  <c r="Q30" i="30" l="1"/>
  <c r="C14" i="30" s="1"/>
  <c r="C52" i="28"/>
  <c r="C4" i="37"/>
  <c r="AC43" i="31"/>
  <c r="B12" i="37"/>
  <c r="AC37" i="31"/>
  <c r="B11" i="37"/>
  <c r="AC25" i="31"/>
  <c r="B9" i="37"/>
  <c r="AC7" i="31"/>
  <c r="B6" i="37"/>
  <c r="AL98" i="36"/>
  <c r="AC29" i="31"/>
  <c r="X98" i="36"/>
  <c r="AC17" i="31"/>
  <c r="J98" i="36"/>
  <c r="AC5" i="31"/>
  <c r="S104" i="36"/>
  <c r="Q104" i="36" s="1"/>
  <c r="AN104" i="36"/>
  <c r="AL104" i="36" s="1"/>
  <c r="Z104" i="36"/>
  <c r="X104" i="36" s="1"/>
  <c r="P11" i="31"/>
  <c r="C67" i="33"/>
  <c r="M39" i="34"/>
  <c r="M40" i="34" s="1"/>
  <c r="P39" i="34" s="1"/>
  <c r="R39" i="34" s="1"/>
  <c r="N40" i="34"/>
  <c r="E73" i="33"/>
  <c r="C73" i="33" s="1"/>
  <c r="P13" i="31" s="1"/>
  <c r="E58" i="28"/>
  <c r="C58" i="28" s="1"/>
  <c r="B4" i="37" s="1"/>
  <c r="D23" i="31"/>
  <c r="D8" i="30"/>
  <c r="K7" i="31" s="1"/>
  <c r="J9" i="31"/>
  <c r="D6" i="30"/>
  <c r="K5" i="31" s="1"/>
  <c r="J7" i="31"/>
  <c r="C18" i="30"/>
  <c r="J17" i="31" s="1"/>
  <c r="K15" i="31"/>
  <c r="AR36" i="30"/>
  <c r="AI36" i="30"/>
  <c r="AD30" i="30"/>
  <c r="Z30" i="30" s="1"/>
  <c r="AD34" i="30"/>
  <c r="Z34" i="30" s="1"/>
  <c r="U32" i="30"/>
  <c r="Q32" i="30" s="1"/>
  <c r="U34" i="30"/>
  <c r="Q34" i="30" s="1"/>
  <c r="D12" i="30" l="1"/>
  <c r="K11" i="31" s="1"/>
  <c r="J13" i="31"/>
  <c r="B5" i="37"/>
  <c r="AC31" i="31"/>
  <c r="B10" i="37"/>
  <c r="AC19" i="31"/>
  <c r="B8" i="37"/>
  <c r="AC13" i="31"/>
  <c r="B7" i="37"/>
  <c r="Q39" i="34"/>
  <c r="U39" i="34" s="1"/>
  <c r="U40" i="34" s="1"/>
  <c r="V39" i="34" s="1"/>
  <c r="D25" i="31"/>
  <c r="Q36" i="30"/>
  <c r="D14" i="30"/>
  <c r="Z36" i="30"/>
  <c r="C12" i="30"/>
  <c r="B42" i="34" l="1"/>
  <c r="C42" i="34" s="1"/>
  <c r="F42" i="34" s="1"/>
  <c r="I42" i="34" s="1"/>
  <c r="W39" i="34"/>
  <c r="C16" i="30"/>
  <c r="J15" i="31" s="1"/>
  <c r="K13" i="31"/>
  <c r="D10" i="30"/>
  <c r="K9" i="31" s="1"/>
  <c r="J11" i="31"/>
  <c r="E42" i="34" l="1"/>
  <c r="E43" i="34" s="1"/>
  <c r="E44" i="34" s="1"/>
  <c r="D42" i="34"/>
  <c r="D43" i="34" s="1"/>
  <c r="D44" i="34" s="1"/>
  <c r="O42" i="34"/>
  <c r="O43" i="34" s="1"/>
  <c r="O44" i="34" s="1"/>
  <c r="H42" i="34" l="1"/>
  <c r="G42" i="34"/>
  <c r="J42" i="34" l="1"/>
  <c r="K42" i="34"/>
  <c r="L42" i="34"/>
  <c r="N42" i="34" s="1"/>
  <c r="N43" i="34" s="1"/>
  <c r="U12" i="34"/>
  <c r="M42" i="34" l="1"/>
  <c r="M43" i="34" s="1"/>
  <c r="P42" i="34" s="1"/>
  <c r="R42" i="34" s="1"/>
  <c r="S42" i="34"/>
  <c r="T42" i="34" s="1"/>
  <c r="V11" i="34"/>
  <c r="B14" i="34" l="1"/>
  <c r="C14" i="34" s="1"/>
  <c r="F14" i="34" s="1"/>
  <c r="I14" i="34" s="1"/>
  <c r="W11" i="34"/>
  <c r="Q42" i="34"/>
  <c r="U42" i="34" s="1"/>
  <c r="U43" i="34" s="1"/>
  <c r="V42" i="34" s="1"/>
  <c r="W42" i="34" s="1"/>
  <c r="O14" i="34" l="1"/>
  <c r="O15" i="34" s="1"/>
  <c r="O16" i="34" s="1"/>
  <c r="D14" i="34"/>
  <c r="G14" i="34" s="1"/>
  <c r="E14" i="34"/>
  <c r="E15" i="34" s="1"/>
  <c r="E16" i="34" s="1"/>
  <c r="B45" i="34"/>
  <c r="D15" i="34" l="1"/>
  <c r="D16" i="34" s="1"/>
  <c r="H14" i="34"/>
  <c r="L14" i="34" s="1"/>
  <c r="N14" i="34" s="1"/>
  <c r="N15" i="34" s="1"/>
  <c r="C45" i="34"/>
  <c r="K14" i="34" l="1"/>
  <c r="J14" i="34"/>
  <c r="E45" i="34"/>
  <c r="F45" i="34"/>
  <c r="I45" i="34" s="1"/>
  <c r="D45" i="34"/>
  <c r="O45" i="34"/>
  <c r="O46" i="34" s="1"/>
  <c r="O47" i="34" s="1"/>
  <c r="S14" i="34"/>
  <c r="T14" i="34" s="1"/>
  <c r="M14" i="34" l="1"/>
  <c r="M15" i="34" s="1"/>
  <c r="P14" i="34" s="1"/>
  <c r="R14" i="34" s="1"/>
  <c r="D46" i="34"/>
  <c r="D47" i="34" s="1"/>
  <c r="G45" i="34"/>
  <c r="E46" i="34"/>
  <c r="E47" i="34" s="1"/>
  <c r="H45" i="34"/>
  <c r="Q14" i="34" l="1"/>
  <c r="U14" i="34" s="1"/>
  <c r="U15" i="34" s="1"/>
  <c r="V14" i="34" s="1"/>
  <c r="J45" i="34"/>
  <c r="K45" i="34"/>
  <c r="L45" i="34"/>
  <c r="N45" i="34" s="1"/>
  <c r="B17" i="34" l="1"/>
  <c r="C17" i="34" s="1"/>
  <c r="F17" i="34" s="1"/>
  <c r="I17" i="34" s="1"/>
  <c r="W14" i="34"/>
  <c r="M45" i="34"/>
  <c r="M46" i="34" s="1"/>
  <c r="P45" i="34" s="1"/>
  <c r="R45" i="34" s="1"/>
  <c r="N46" i="34"/>
  <c r="S45" i="34"/>
  <c r="T45" i="34" s="1"/>
  <c r="D17" i="34" l="1"/>
  <c r="D18" i="34" s="1"/>
  <c r="D19" i="34" s="1"/>
  <c r="E17" i="34"/>
  <c r="H17" i="34" s="1"/>
  <c r="O17" i="34"/>
  <c r="O18" i="34" s="1"/>
  <c r="O19" i="34" s="1"/>
  <c r="Q45" i="34"/>
  <c r="U45" i="34" s="1"/>
  <c r="U46" i="34" s="1"/>
  <c r="V45" i="34" s="1"/>
  <c r="E18" i="34" l="1"/>
  <c r="E19" i="34" s="1"/>
  <c r="G17" i="34"/>
  <c r="K17" i="34" s="1"/>
  <c r="B48" i="34"/>
  <c r="C48" i="34" s="1"/>
  <c r="F48" i="34" s="1"/>
  <c r="I48" i="34" s="1"/>
  <c r="W45" i="34"/>
  <c r="L17" i="34" l="1"/>
  <c r="N17" i="34" s="1"/>
  <c r="N18" i="34" s="1"/>
  <c r="J17" i="34"/>
  <c r="M17" i="34" s="1"/>
  <c r="M18" i="34" s="1"/>
  <c r="P17" i="34" s="1"/>
  <c r="Q17" i="34" s="1"/>
  <c r="E48" i="34"/>
  <c r="H48" i="34" s="1"/>
  <c r="O48" i="34"/>
  <c r="O49" i="34" s="1"/>
  <c r="O50" i="34" s="1"/>
  <c r="D48" i="34"/>
  <c r="G48" i="34" s="1"/>
  <c r="S17" i="34" l="1"/>
  <c r="T17" i="34" s="1"/>
  <c r="R17" i="34"/>
  <c r="D49" i="34"/>
  <c r="D50" i="34" s="1"/>
  <c r="E49" i="34"/>
  <c r="E50" i="34" s="1"/>
  <c r="L48" i="34"/>
  <c r="N48" i="34" s="1"/>
  <c r="N49" i="34" s="1"/>
  <c r="K48" i="34"/>
  <c r="J48" i="34"/>
  <c r="U17" i="34" l="1"/>
  <c r="U18" i="34" s="1"/>
  <c r="V17" i="34" s="1"/>
  <c r="W17" i="34" s="1"/>
  <c r="S48" i="34"/>
  <c r="T48" i="34" s="1"/>
  <c r="M48" i="34"/>
  <c r="M49" i="34" s="1"/>
  <c r="P48" i="34" s="1"/>
  <c r="R48" i="34" s="1"/>
  <c r="B20" i="34" l="1"/>
  <c r="C20" i="34" s="1"/>
  <c r="Q48" i="34"/>
  <c r="U48" i="34" s="1"/>
  <c r="U49" i="34" s="1"/>
  <c r="V48" i="34" s="1"/>
  <c r="W48" i="34" s="1"/>
  <c r="E20" i="34" l="1"/>
  <c r="O20" i="34"/>
  <c r="O21" i="34" s="1"/>
  <c r="O22" i="34" s="1"/>
  <c r="D20" i="34"/>
  <c r="F20" i="34"/>
  <c r="I20" i="34" s="1"/>
  <c r="B51" i="34"/>
  <c r="C51" i="34" s="1"/>
  <c r="D21" i="34" l="1"/>
  <c r="D22" i="34" s="1"/>
  <c r="G20" i="34"/>
  <c r="E21" i="34"/>
  <c r="E22" i="34" s="1"/>
  <c r="H20" i="34"/>
  <c r="O51" i="34"/>
  <c r="O52" i="34" s="1"/>
  <c r="O53" i="34" s="1"/>
  <c r="F51" i="34"/>
  <c r="I51" i="34" s="1"/>
  <c r="E51" i="34"/>
  <c r="D51" i="34"/>
  <c r="J20" i="34" l="1"/>
  <c r="K20" i="34"/>
  <c r="L20" i="34"/>
  <c r="N20" i="34" s="1"/>
  <c r="H51" i="34"/>
  <c r="E52" i="34"/>
  <c r="E53" i="34" s="1"/>
  <c r="D52" i="34"/>
  <c r="D53" i="34" s="1"/>
  <c r="G51" i="34"/>
  <c r="M20" i="34" l="1"/>
  <c r="M21" i="34" s="1"/>
  <c r="P20" i="34" s="1"/>
  <c r="Q20" i="34" s="1"/>
  <c r="S20" i="34"/>
  <c r="T20" i="34" s="1"/>
  <c r="N21" i="34"/>
  <c r="K51" i="34"/>
  <c r="L51" i="34"/>
  <c r="N51" i="34" s="1"/>
  <c r="S51" i="34" s="1"/>
  <c r="T51" i="34" s="1"/>
  <c r="J51" i="34"/>
  <c r="R20" i="34" l="1"/>
  <c r="U20" i="34" s="1"/>
  <c r="U21" i="34" s="1"/>
  <c r="V20" i="34" s="1"/>
  <c r="M51" i="34"/>
  <c r="M52" i="34" s="1"/>
  <c r="P51" i="34" s="1"/>
  <c r="R51" i="34" s="1"/>
  <c r="N52" i="34"/>
  <c r="B23" i="34" l="1"/>
  <c r="C23" i="34" s="1"/>
  <c r="W20" i="34"/>
  <c r="Q51" i="34"/>
  <c r="U51" i="34" s="1"/>
  <c r="U52" i="34" s="1"/>
  <c r="V51" i="34" s="1"/>
  <c r="O23" i="34" l="1"/>
  <c r="O24" i="34" s="1"/>
  <c r="O25" i="34" s="1"/>
  <c r="F23" i="34"/>
  <c r="I23" i="34" s="1"/>
  <c r="E23" i="34"/>
  <c r="D23" i="34"/>
  <c r="B54" i="34"/>
  <c r="C54" i="34" s="1"/>
  <c r="O54" i="34" s="1"/>
  <c r="O55" i="34" s="1"/>
  <c r="O56" i="34" s="1"/>
  <c r="W51" i="34"/>
  <c r="D24" i="34" l="1"/>
  <c r="D25" i="34" s="1"/>
  <c r="G23" i="34"/>
  <c r="E24" i="34"/>
  <c r="E25" i="34" s="1"/>
  <c r="H23" i="34"/>
  <c r="F54" i="34"/>
  <c r="I54" i="34" s="1"/>
  <c r="D54" i="34"/>
  <c r="G54" i="34" s="1"/>
  <c r="E54" i="34"/>
  <c r="H54" i="34" s="1"/>
  <c r="J23" i="34" l="1"/>
  <c r="K23" i="34"/>
  <c r="L23" i="34"/>
  <c r="N23" i="34" s="1"/>
  <c r="S23" i="34" s="1"/>
  <c r="T23" i="34" s="1"/>
  <c r="D55" i="34"/>
  <c r="D56" i="34" s="1"/>
  <c r="E55" i="34"/>
  <c r="E56" i="34" s="1"/>
  <c r="L54" i="34"/>
  <c r="N54" i="34" s="1"/>
  <c r="N55" i="34" s="1"/>
  <c r="K54" i="34"/>
  <c r="J54" i="34"/>
  <c r="M23" i="34" l="1"/>
  <c r="M24" i="34" s="1"/>
  <c r="P23" i="34" s="1"/>
  <c r="R23" i="34" s="1"/>
  <c r="N24" i="34"/>
  <c r="S54" i="34"/>
  <c r="T54" i="34" s="1"/>
  <c r="M54" i="34"/>
  <c r="M55" i="34" s="1"/>
  <c r="P54" i="34" s="1"/>
  <c r="R54" i="34" s="1"/>
  <c r="Q23" i="34" l="1"/>
  <c r="U23" i="34" s="1"/>
  <c r="U24" i="34" s="1"/>
  <c r="V23" i="34" s="1"/>
  <c r="W23" i="34" s="1"/>
  <c r="C5" i="34" s="1"/>
  <c r="P18" i="31" s="1"/>
  <c r="Q54" i="34"/>
  <c r="U54" i="34" s="1"/>
  <c r="U55" i="34" s="1"/>
  <c r="V54" i="34" s="1"/>
  <c r="D5" i="34" l="1"/>
  <c r="W54" i="34"/>
  <c r="B57" i="34"/>
  <c r="C57" i="34" l="1"/>
  <c r="E57" i="34" s="1"/>
  <c r="E58" i="34" s="1"/>
  <c r="E59" i="34" s="1"/>
  <c r="F57" i="34" l="1"/>
  <c r="I57" i="34" s="1"/>
  <c r="H57" i="34"/>
  <c r="D57" i="34"/>
  <c r="G57" i="34" s="1"/>
  <c r="O57" i="34"/>
  <c r="O58" i="34" s="1"/>
  <c r="O59" i="34" s="1"/>
  <c r="J57" i="34" l="1"/>
  <c r="L57" i="34"/>
  <c r="N57" i="34" s="1"/>
  <c r="S57" i="34" s="1"/>
  <c r="T57" i="34" s="1"/>
  <c r="K57" i="34"/>
  <c r="D58" i="34"/>
  <c r="D59" i="34" s="1"/>
  <c r="M57" i="34" l="1"/>
  <c r="M58" i="34" s="1"/>
  <c r="P57" i="34" s="1"/>
  <c r="Q57" i="34" s="1"/>
  <c r="N58" i="34"/>
  <c r="R57" i="34" l="1"/>
  <c r="U57" i="34" s="1"/>
  <c r="U58" i="34" s="1"/>
  <c r="V57" i="34" s="1"/>
  <c r="W57" i="34" s="1"/>
  <c r="B60" i="34" l="1"/>
  <c r="C60" i="34" s="1"/>
  <c r="E60" i="34" s="1"/>
  <c r="F60" i="34" l="1"/>
  <c r="I60" i="34" s="1"/>
  <c r="D60" i="34"/>
  <c r="D61" i="34" s="1"/>
  <c r="D62" i="34" s="1"/>
  <c r="O60" i="34"/>
  <c r="O61" i="34" s="1"/>
  <c r="O62" i="34" s="1"/>
  <c r="H60" i="34"/>
  <c r="E61" i="34"/>
  <c r="E62" i="34" s="1"/>
  <c r="G60" i="34" l="1"/>
  <c r="J60" i="34" s="1"/>
  <c r="K60" i="34" l="1"/>
  <c r="M60" i="34" s="1"/>
  <c r="M61" i="34" s="1"/>
  <c r="P60" i="34" s="1"/>
  <c r="R60" i="34" s="1"/>
  <c r="L60" i="34"/>
  <c r="N60" i="34" s="1"/>
  <c r="S60" i="34" s="1"/>
  <c r="T60" i="34" s="1"/>
  <c r="N61" i="34" l="1"/>
  <c r="Q60" i="34"/>
  <c r="U60" i="34" s="1"/>
  <c r="U61" i="34" s="1"/>
  <c r="V60" i="34" l="1"/>
  <c r="B63" i="34" l="1"/>
  <c r="C63" i="34" s="1"/>
  <c r="E63" i="34" s="1"/>
  <c r="E64" i="34" s="1"/>
  <c r="E65" i="34" s="1"/>
  <c r="W60" i="34"/>
  <c r="F63" i="34" l="1"/>
  <c r="I63" i="34" s="1"/>
  <c r="O63" i="34"/>
  <c r="O64" i="34" s="1"/>
  <c r="O65" i="34" s="1"/>
  <c r="D63" i="34"/>
  <c r="D64" i="34" s="1"/>
  <c r="D65" i="34" s="1"/>
  <c r="H63" i="34"/>
  <c r="G63" i="34" l="1"/>
  <c r="J63" i="34" s="1"/>
  <c r="K63" i="34" l="1"/>
  <c r="M63" i="34" s="1"/>
  <c r="M64" i="34" s="1"/>
  <c r="P63" i="34" s="1"/>
  <c r="R63" i="34" s="1"/>
  <c r="L63" i="34"/>
  <c r="N63" i="34" s="1"/>
  <c r="S63" i="34" s="1"/>
  <c r="T63" i="34" s="1"/>
  <c r="N64" i="34" l="1"/>
  <c r="Q63" i="34"/>
  <c r="U63" i="34" s="1"/>
  <c r="U64" i="34" s="1"/>
  <c r="V63" i="34" s="1"/>
  <c r="W63" i="34" s="1"/>
  <c r="C30" i="34" l="1"/>
  <c r="D30" i="34" s="1"/>
  <c r="P20" i="31" l="1"/>
  <c r="P22" i="3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</author>
  </authors>
  <commentList>
    <comment ref="F17" authorId="0" shapeId="0" xr:uid="{BB77E8F7-67AC-45A0-B74B-F169D8BCFB61}">
      <text>
        <r>
          <rPr>
            <b/>
            <sz val="9"/>
            <color indexed="81"/>
            <rFont val="Tahoma"/>
            <family val="2"/>
          </rPr>
          <t>Paul:</t>
        </r>
        <r>
          <rPr>
            <sz val="9"/>
            <color indexed="81"/>
            <rFont val="Tahoma"/>
            <family val="2"/>
          </rPr>
          <t xml:space="preserve">
It is now
-0.1763173</t>
        </r>
      </text>
    </comment>
    <comment ref="J19" authorId="0" shapeId="0" xr:uid="{2DF2C64E-5621-4FBA-A828-A724F4C3623F}">
      <text>
        <r>
          <rPr>
            <b/>
            <sz val="9"/>
            <color indexed="81"/>
            <rFont val="Tahoma"/>
            <family val="2"/>
          </rPr>
          <t>Paul:</t>
        </r>
        <r>
          <rPr>
            <sz val="9"/>
            <color indexed="81"/>
            <rFont val="Tahoma"/>
            <family val="2"/>
          </rPr>
          <t xml:space="preserve">
Midday is important when looking at sun rise &amp; set</t>
        </r>
      </text>
    </comment>
    <comment ref="B23" authorId="0" shapeId="0" xr:uid="{C55181D6-49DD-468A-8EA1-CBA83B35F2A2}">
      <text>
        <r>
          <rPr>
            <b/>
            <sz val="9"/>
            <color indexed="81"/>
            <rFont val="Tahoma"/>
            <family val="2"/>
          </rPr>
          <t>Paul:</t>
        </r>
        <r>
          <rPr>
            <sz val="9"/>
            <color indexed="81"/>
            <rFont val="Tahoma"/>
            <family val="2"/>
          </rPr>
          <t xml:space="preserve">
Temps, Atomique International</t>
        </r>
      </text>
    </comment>
    <comment ref="F23" authorId="0" shapeId="0" xr:uid="{ED584D68-BC52-4716-9EA8-0329EE758D30}">
      <text>
        <r>
          <rPr>
            <b/>
            <sz val="9"/>
            <color indexed="81"/>
            <rFont val="Tahoma"/>
            <family val="2"/>
          </rPr>
          <t>Paul:</t>
        </r>
        <r>
          <rPr>
            <sz val="9"/>
            <color indexed="81"/>
            <rFont val="Tahoma"/>
            <family val="2"/>
          </rPr>
          <t xml:space="preserve">
16/11/2020
So far 37 leap seconds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</author>
  </authors>
  <commentList>
    <comment ref="U2" authorId="0" shapeId="0" xr:uid="{16ABCEF9-EFA0-4FFA-878F-85B0F293A07C}">
      <text>
        <r>
          <rPr>
            <b/>
            <sz val="9"/>
            <color indexed="81"/>
            <rFont val="Tahoma"/>
            <family val="2"/>
          </rPr>
          <t>Paul:</t>
        </r>
        <r>
          <rPr>
            <sz val="9"/>
            <color indexed="81"/>
            <rFont val="Tahoma"/>
            <family val="2"/>
          </rPr>
          <t xml:space="preserve">
Rise rise and sun set are equal distance away from Noon.</t>
        </r>
      </text>
    </comment>
    <comment ref="C14" authorId="0" shapeId="0" xr:uid="{F1F9A699-4B22-4067-BA59-C0EB4098F708}">
      <text>
        <r>
          <rPr>
            <sz val="9"/>
            <color indexed="81"/>
            <rFont val="Tahoma"/>
            <family val="2"/>
          </rPr>
          <t xml:space="preserve">Longitude = 0 at Spring Equinox (North hemisphere)
90 degrees at Summer Solstice
180 degrees at Autumn Equinox
270 degress at Winter Solstice
</t>
        </r>
      </text>
    </comment>
    <comment ref="B18" authorId="0" shapeId="0" xr:uid="{36468420-D180-448E-A043-600D3A45AD81}">
      <text>
        <r>
          <rPr>
            <b/>
            <sz val="9"/>
            <color indexed="81"/>
            <rFont val="Tahoma"/>
            <family val="2"/>
          </rPr>
          <t>Paul:</t>
        </r>
        <r>
          <rPr>
            <sz val="9"/>
            <color indexed="81"/>
            <rFont val="Tahoma"/>
            <family val="2"/>
          </rPr>
          <t xml:space="preserve">
Newton Raphson to solve Kepler equation</t>
        </r>
      </text>
    </comment>
    <comment ref="C32" authorId="0" shapeId="0" xr:uid="{097B2921-9E3E-445C-911E-06DC5B981CBD}">
      <text>
        <r>
          <rPr>
            <sz val="9"/>
            <color indexed="81"/>
            <rFont val="Tahoma"/>
            <family val="2"/>
          </rPr>
          <t xml:space="preserve">Add in ecliptical longitude nutation
</t>
        </r>
      </text>
    </comment>
    <comment ref="V32" authorId="0" shapeId="0" xr:uid="{4BC64E38-C412-4064-AEC6-E8AE4519AD6D}">
      <text>
        <r>
          <rPr>
            <sz val="9"/>
            <color indexed="81"/>
            <rFont val="Tahoma"/>
            <family val="2"/>
          </rPr>
          <t xml:space="preserve">Add in ecliptical longitude nutation
</t>
        </r>
      </text>
    </comment>
    <comment ref="C36" authorId="0" shapeId="0" xr:uid="{769ED11E-2A79-44FD-AF64-5DE539FBEB3B}">
      <text>
        <r>
          <rPr>
            <sz val="9"/>
            <color indexed="81"/>
            <rFont val="Tahoma"/>
            <family val="2"/>
          </rPr>
          <t xml:space="preserve">Add in ecliptical obliquity nutation
</t>
        </r>
      </text>
    </comment>
    <comment ref="V36" authorId="0" shapeId="0" xr:uid="{AA8A8168-F7E6-4B22-8F55-FCEEFCA24DDD}">
      <text>
        <r>
          <rPr>
            <sz val="9"/>
            <color indexed="81"/>
            <rFont val="Tahoma"/>
            <family val="2"/>
          </rPr>
          <t xml:space="preserve">Add in ecliptical obliquity nutation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</author>
  </authors>
  <commentList>
    <comment ref="B10" authorId="0" shapeId="0" xr:uid="{66509903-B85C-4B83-969A-EE5319A70D4B}">
      <text>
        <r>
          <rPr>
            <b/>
            <sz val="9"/>
            <color indexed="81"/>
            <rFont val="Tahoma"/>
            <family val="2"/>
          </rPr>
          <t>Paul:</t>
        </r>
        <r>
          <rPr>
            <sz val="9"/>
            <color indexed="81"/>
            <rFont val="Tahoma"/>
            <family val="2"/>
          </rPr>
          <t xml:space="preserve">
From Earth eliptic location, but not rotation or observer location</t>
        </r>
      </text>
    </comment>
    <comment ref="C58" authorId="0" shapeId="0" xr:uid="{1253EE4B-DA6E-4EE5-924F-878F76B6108D}">
      <text>
        <r>
          <rPr>
            <b/>
            <sz val="9"/>
            <color indexed="81"/>
            <rFont val="Tahoma"/>
            <family val="2"/>
          </rPr>
          <t>Paul:</t>
        </r>
        <r>
          <rPr>
            <sz val="9"/>
            <color indexed="81"/>
            <rFont val="Tahoma"/>
            <family val="2"/>
          </rPr>
          <t xml:space="preserve">
aka bearing. True not magnetic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</author>
  </authors>
  <commentList>
    <comment ref="H18" authorId="0" shapeId="0" xr:uid="{1BC95EA2-7FD4-4753-A344-D31F6BC6E9DB}">
      <text>
        <r>
          <rPr>
            <b/>
            <sz val="9"/>
            <color indexed="81"/>
            <rFont val="Tahoma"/>
            <family val="2"/>
          </rPr>
          <t>Paul:</t>
        </r>
        <r>
          <rPr>
            <sz val="9"/>
            <color indexed="81"/>
            <rFont val="Tahoma"/>
            <family val="2"/>
          </rPr>
          <t xml:space="preserve">
Midday reading (Noon)</t>
        </r>
      </text>
    </comment>
    <comment ref="P18" authorId="0" shapeId="0" xr:uid="{87F46629-8BA4-4AE8-9BE9-22791EB2D758}">
      <text>
        <r>
          <rPr>
            <b/>
            <sz val="9"/>
            <color indexed="81"/>
            <rFont val="Tahoma"/>
            <family val="2"/>
          </rPr>
          <t>Paul:</t>
        </r>
        <r>
          <rPr>
            <sz val="9"/>
            <color indexed="81"/>
            <rFont val="Tahoma"/>
            <family val="2"/>
          </rPr>
          <t xml:space="preserve">
Allowing for semi-diameter of sun + horizontal refraction
</t>
        </r>
      </text>
    </comment>
    <comment ref="Q18" authorId="0" shapeId="0" xr:uid="{322DE8C8-CEFD-486C-8165-43CFD1985DAA}">
      <text>
        <r>
          <rPr>
            <b/>
            <sz val="9"/>
            <color indexed="81"/>
            <rFont val="Tahoma"/>
            <family val="2"/>
          </rPr>
          <t>Paul:</t>
        </r>
        <r>
          <rPr>
            <sz val="9"/>
            <color indexed="81"/>
            <rFont val="Tahoma"/>
            <family val="2"/>
          </rPr>
          <t xml:space="preserve">
Midday reading (Noon)</t>
        </r>
      </text>
    </comment>
    <comment ref="Z18" authorId="0" shapeId="0" xr:uid="{25FC9AEE-9D12-4540-906C-47AB405AA8F6}">
      <text>
        <r>
          <rPr>
            <b/>
            <sz val="9"/>
            <color indexed="81"/>
            <rFont val="Tahoma"/>
            <family val="2"/>
          </rPr>
          <t>Paul:</t>
        </r>
        <r>
          <rPr>
            <sz val="9"/>
            <color indexed="81"/>
            <rFont val="Tahoma"/>
            <family val="2"/>
          </rPr>
          <t xml:space="preserve">
Midday reading (Noon)</t>
        </r>
      </text>
    </comment>
    <comment ref="AI18" authorId="0" shapeId="0" xr:uid="{4197934D-5015-496B-BD14-3B287954627F}">
      <text>
        <r>
          <rPr>
            <b/>
            <sz val="9"/>
            <color indexed="81"/>
            <rFont val="Tahoma"/>
            <family val="2"/>
          </rPr>
          <t>Paul:</t>
        </r>
        <r>
          <rPr>
            <sz val="9"/>
            <color indexed="81"/>
            <rFont val="Tahoma"/>
            <family val="2"/>
          </rPr>
          <t xml:space="preserve">
Midday reading (Noon)</t>
        </r>
      </text>
    </comment>
    <comment ref="AR18" authorId="0" shapeId="0" xr:uid="{CAE083CD-32D8-4EB4-8DAE-C5991EF821C7}">
      <text>
        <r>
          <rPr>
            <b/>
            <sz val="9"/>
            <color indexed="81"/>
            <rFont val="Tahoma"/>
            <family val="2"/>
          </rPr>
          <t>Paul:</t>
        </r>
        <r>
          <rPr>
            <sz val="9"/>
            <color indexed="81"/>
            <rFont val="Tahoma"/>
            <family val="2"/>
          </rPr>
          <t xml:space="preserve">
Midday reading (Noon)</t>
        </r>
      </text>
    </comment>
    <comment ref="G30" authorId="0" shapeId="0" xr:uid="{011E1022-4827-4610-8262-01AEEC160042}">
      <text>
        <r>
          <rPr>
            <b/>
            <sz val="9"/>
            <color indexed="81"/>
            <rFont val="Tahoma"/>
            <family val="2"/>
          </rPr>
          <t>Paul:</t>
        </r>
        <r>
          <rPr>
            <sz val="9"/>
            <color indexed="81"/>
            <rFont val="Tahoma"/>
            <family val="2"/>
          </rPr>
          <t xml:space="preserve">
The sun rises and the geometric center of the sun is on the horizon.</t>
        </r>
      </text>
    </comment>
    <comment ref="P30" authorId="0" shapeId="0" xr:uid="{BD36E7D8-85FE-4F2A-8264-43FD9560E48A}">
      <text>
        <r>
          <rPr>
            <b/>
            <sz val="9"/>
            <color indexed="81"/>
            <rFont val="Tahoma"/>
            <family val="2"/>
          </rPr>
          <t>Paul:</t>
        </r>
        <r>
          <rPr>
            <sz val="9"/>
            <color indexed="81"/>
            <rFont val="Tahoma"/>
            <family val="2"/>
          </rPr>
          <t xml:space="preserve">
The sun rises and the geometric center of the sun is on the horizon.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</author>
  </authors>
  <commentList>
    <comment ref="B2" authorId="0" shapeId="0" xr:uid="{B782BA1B-F67A-4A1E-A090-DF34A9BA42B9}">
      <text>
        <r>
          <rPr>
            <b/>
            <sz val="9"/>
            <color indexed="81"/>
            <rFont val="Tahoma"/>
            <family val="2"/>
          </rPr>
          <t>Paul:</t>
        </r>
        <r>
          <rPr>
            <sz val="9"/>
            <color indexed="81"/>
            <rFont val="Tahoma"/>
            <family val="2"/>
          </rPr>
          <t xml:space="preserve">
This issue is that unlike the planets, the moon is affected by both the Sun and Earth. 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</author>
  </authors>
  <commentList>
    <comment ref="C73" authorId="0" shapeId="0" xr:uid="{37CB4638-D31E-4BE2-B176-CF728A51954F}">
      <text>
        <r>
          <rPr>
            <b/>
            <sz val="9"/>
            <color indexed="81"/>
            <rFont val="Tahoma"/>
            <family val="2"/>
          </rPr>
          <t>Paul:</t>
        </r>
        <r>
          <rPr>
            <sz val="9"/>
            <color indexed="81"/>
            <rFont val="Tahoma"/>
            <family val="2"/>
          </rPr>
          <t xml:space="preserve">
aka bearing. True not magnetic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</author>
  </authors>
  <commentList>
    <comment ref="J104" authorId="0" shapeId="0" xr:uid="{CD113267-14AB-4517-B1F2-BF3AC8419409}">
      <text>
        <r>
          <rPr>
            <b/>
            <sz val="9"/>
            <color indexed="81"/>
            <rFont val="Tahoma"/>
            <family val="2"/>
          </rPr>
          <t>Paul:</t>
        </r>
        <r>
          <rPr>
            <sz val="9"/>
            <color indexed="81"/>
            <rFont val="Tahoma"/>
            <family val="2"/>
          </rPr>
          <t xml:space="preserve">
aka bearing. True not magnetic</t>
        </r>
      </text>
    </comment>
    <comment ref="Q104" authorId="0" shapeId="0" xr:uid="{A41AE9B4-467C-4F24-8E9D-71A53B76C61D}">
      <text>
        <r>
          <rPr>
            <b/>
            <sz val="9"/>
            <color indexed="81"/>
            <rFont val="Tahoma"/>
            <family val="2"/>
          </rPr>
          <t>Paul:</t>
        </r>
        <r>
          <rPr>
            <sz val="9"/>
            <color indexed="81"/>
            <rFont val="Tahoma"/>
            <family val="2"/>
          </rPr>
          <t xml:space="preserve">
aka bearing. True not magnetic</t>
        </r>
      </text>
    </comment>
    <comment ref="X104" authorId="0" shapeId="0" xr:uid="{E719A79D-3DB2-4942-A64E-9AC5C12CC8F6}">
      <text>
        <r>
          <rPr>
            <b/>
            <sz val="9"/>
            <color indexed="81"/>
            <rFont val="Tahoma"/>
            <family val="2"/>
          </rPr>
          <t>Paul:</t>
        </r>
        <r>
          <rPr>
            <sz val="9"/>
            <color indexed="81"/>
            <rFont val="Tahoma"/>
            <family val="2"/>
          </rPr>
          <t xml:space="preserve">
aka bearing. True not magnetic</t>
        </r>
      </text>
    </comment>
    <comment ref="AE104" authorId="0" shapeId="0" xr:uid="{4966E6CA-E37E-4ED5-A487-544ABF6D2984}">
      <text>
        <r>
          <rPr>
            <b/>
            <sz val="9"/>
            <color indexed="81"/>
            <rFont val="Tahoma"/>
            <family val="2"/>
          </rPr>
          <t>Paul:</t>
        </r>
        <r>
          <rPr>
            <sz val="9"/>
            <color indexed="81"/>
            <rFont val="Tahoma"/>
            <family val="2"/>
          </rPr>
          <t xml:space="preserve">
aka bearing. True not magnetic</t>
        </r>
      </text>
    </comment>
    <comment ref="AL104" authorId="0" shapeId="0" xr:uid="{37A2BFDD-0963-4BDB-A4D9-43E13AEBDA97}">
      <text>
        <r>
          <rPr>
            <b/>
            <sz val="9"/>
            <color indexed="81"/>
            <rFont val="Tahoma"/>
            <family val="2"/>
          </rPr>
          <t>Paul:</t>
        </r>
        <r>
          <rPr>
            <sz val="9"/>
            <color indexed="81"/>
            <rFont val="Tahoma"/>
            <family val="2"/>
          </rPr>
          <t xml:space="preserve">
aka bearing. True not magnetic</t>
        </r>
      </text>
    </comment>
    <comment ref="AS104" authorId="0" shapeId="0" xr:uid="{6E25F3D3-CFBE-4EAE-B542-4A8A3169AF92}">
      <text>
        <r>
          <rPr>
            <b/>
            <sz val="9"/>
            <color indexed="81"/>
            <rFont val="Tahoma"/>
            <family val="2"/>
          </rPr>
          <t>Paul:</t>
        </r>
        <r>
          <rPr>
            <sz val="9"/>
            <color indexed="81"/>
            <rFont val="Tahoma"/>
            <family val="2"/>
          </rPr>
          <t xml:space="preserve">
aka bearing. True not magnetic</t>
        </r>
      </text>
    </comment>
    <comment ref="AZ104" authorId="0" shapeId="0" xr:uid="{F577D0BA-0CAD-443D-A2A6-36A7E7A4901A}">
      <text>
        <r>
          <rPr>
            <b/>
            <sz val="9"/>
            <color indexed="81"/>
            <rFont val="Tahoma"/>
            <family val="2"/>
          </rPr>
          <t>Paul:</t>
        </r>
        <r>
          <rPr>
            <sz val="9"/>
            <color indexed="81"/>
            <rFont val="Tahoma"/>
            <family val="2"/>
          </rPr>
          <t xml:space="preserve">
aka bearing. True not magnetic</t>
        </r>
      </text>
    </comment>
  </commentList>
</comments>
</file>

<file path=xl/sharedStrings.xml><?xml version="1.0" encoding="utf-8"?>
<sst xmlns="http://schemas.openxmlformats.org/spreadsheetml/2006/main" count="1647" uniqueCount="359">
  <si>
    <t>seconds</t>
  </si>
  <si>
    <t>degrees</t>
  </si>
  <si>
    <t>hours</t>
  </si>
  <si>
    <t>Eccentricity</t>
  </si>
  <si>
    <t>Sun's Declination</t>
  </si>
  <si>
    <t>Observer's True Hour Angle</t>
  </si>
  <si>
    <t>Sun's Zenith Distance</t>
  </si>
  <si>
    <t>Sun's Azimuth</t>
  </si>
  <si>
    <t>Sun's Altitude</t>
  </si>
  <si>
    <t>(calculation)</t>
  </si>
  <si>
    <t>Degrees</t>
  </si>
  <si>
    <t>Hours</t>
  </si>
  <si>
    <t>Minutes</t>
  </si>
  <si>
    <t>Local Time</t>
  </si>
  <si>
    <t>Local Mean Sidereal Time</t>
  </si>
  <si>
    <t>Omega</t>
  </si>
  <si>
    <t>http://www.jgiesen.de/astro/astroJS/siderealClock/</t>
  </si>
  <si>
    <t>Mean Longitude</t>
  </si>
  <si>
    <t>Time Zone (+ve to the East) hrs</t>
  </si>
  <si>
    <t>Time Adjustment</t>
  </si>
  <si>
    <t>Seconds</t>
  </si>
  <si>
    <t>https://keisan.casio.com/exec/system/1227779487</t>
  </si>
  <si>
    <t>https://scienceworld.wolfram.com/astronomy/JulianDate.html</t>
  </si>
  <si>
    <t>https://www2.mps.mpg.de/homes/fraenz/systems/systems3art/node10.html</t>
  </si>
  <si>
    <t>seconds of a day (day = 86400s)</t>
  </si>
  <si>
    <t>UTC</t>
  </si>
  <si>
    <t>UT1</t>
  </si>
  <si>
    <t>TAI</t>
  </si>
  <si>
    <t>GPS</t>
  </si>
  <si>
    <t>TT</t>
  </si>
  <si>
    <t>Universial Time (UT1)</t>
  </si>
  <si>
    <t>Adjustments</t>
  </si>
  <si>
    <t>Year</t>
  </si>
  <si>
    <t>Month</t>
  </si>
  <si>
    <t>Day</t>
  </si>
  <si>
    <t>Solar Day</t>
  </si>
  <si>
    <t>Coordinated Universal</t>
  </si>
  <si>
    <t>Global Positioning System Time</t>
  </si>
  <si>
    <t>Timescales</t>
  </si>
  <si>
    <t>Terrestrial Time (TT)</t>
  </si>
  <si>
    <t>Barycentric Dynamical Time (TDB)</t>
  </si>
  <si>
    <t>International Atomic Time</t>
  </si>
  <si>
    <t>http://stjarnhimlen.se/comp/ppcomp.html#5b</t>
  </si>
  <si>
    <t>https://www.iers.org/IERS/EN/DataProducts/EarthOrientationData/eop.html</t>
  </si>
  <si>
    <t>Equation of Center</t>
  </si>
  <si>
    <t>Distance to Sun</t>
  </si>
  <si>
    <t>Apparent Longitude</t>
  </si>
  <si>
    <t>https://hpiers.obspm.fr/iers/bul/bulc/Leap_Second.dat</t>
  </si>
  <si>
    <t>https://stjarnhimlen.se/comp/time.html#deltat</t>
  </si>
  <si>
    <t>http://www-star.st-and.ac.uk/~fv/webnotes/chapter6.htm</t>
  </si>
  <si>
    <t>https://www.nist.gov/pml/time-and-frequency-division/time-realization/leap-seconds</t>
  </si>
  <si>
    <t>http://hpiers.obspm.fr/eop-pc/index.php</t>
  </si>
  <si>
    <t>http://leapsecond.com/java/gpsclock.htm</t>
  </si>
  <si>
    <t>https://www.ipses.com/eng/in-depth-analysis/standard-of-time-definition</t>
  </si>
  <si>
    <t>Web Links</t>
  </si>
  <si>
    <t>TDB</t>
  </si>
  <si>
    <t>Julian Centries</t>
  </si>
  <si>
    <t>LORAN</t>
  </si>
  <si>
    <t>Long Range Naviation</t>
  </si>
  <si>
    <t>#    MJD        Date        TAI-UTC (s)</t>
  </si>
  <si>
    <t>#           day month year</t>
  </si>
  <si>
    <t xml:space="preserve">#    ---    --------------   ------   </t>
  </si>
  <si>
    <t>#</t>
  </si>
  <si>
    <t xml:space="preserve">    41317.0    1  1 1972       10</t>
  </si>
  <si>
    <t xml:space="preserve">    41499.0    1  7 1972       11</t>
  </si>
  <si>
    <t xml:space="preserve">    41683.0    1  1 1973       12</t>
  </si>
  <si>
    <t xml:space="preserve">    42048.0    1  1 1974       13</t>
  </si>
  <si>
    <t xml:space="preserve">    42413.0    1  1 1975       14</t>
  </si>
  <si>
    <t xml:space="preserve">    42778.0    1  1 1976       15</t>
  </si>
  <si>
    <t xml:space="preserve">    43144.0    1  1 1977       16</t>
  </si>
  <si>
    <t xml:space="preserve">    43509.0    1  1 1978       17</t>
  </si>
  <si>
    <t xml:space="preserve">    43874.0    1  1 1979       18</t>
  </si>
  <si>
    <t xml:space="preserve">    44239.0    1  1 1980       19</t>
  </si>
  <si>
    <t xml:space="preserve">    44786.0    1  7 1981       20</t>
  </si>
  <si>
    <t xml:space="preserve">    45151.0    1  7 1982       21</t>
  </si>
  <si>
    <t xml:space="preserve">    45516.0    1  7 1983       22</t>
  </si>
  <si>
    <t xml:space="preserve">    46247.0    1  7 1985       23</t>
  </si>
  <si>
    <t xml:space="preserve">    47161.0    1  1 1988       24</t>
  </si>
  <si>
    <t xml:space="preserve">    47892.0    1  1 1990       25</t>
  </si>
  <si>
    <t xml:space="preserve">    48257.0    1  1 1991       26</t>
  </si>
  <si>
    <t xml:space="preserve">    48804.0    1  7 1992       27</t>
  </si>
  <si>
    <t xml:space="preserve">    49169.0    1  7 1993       28</t>
  </si>
  <si>
    <t xml:space="preserve">    49534.0    1  7 1994       29</t>
  </si>
  <si>
    <t xml:space="preserve">    50083.0    1  1 1996       30</t>
  </si>
  <si>
    <t xml:space="preserve">    50630.0    1  7 1997       31</t>
  </si>
  <si>
    <t xml:space="preserve">    51179.0    1  1 1999       32</t>
  </si>
  <si>
    <t xml:space="preserve">    53736.0    1  1 2006       33</t>
  </si>
  <si>
    <t xml:space="preserve">    54832.0    1  1 2009       34</t>
  </si>
  <si>
    <t xml:space="preserve">    56109.0    1  7 2012       35</t>
  </si>
  <si>
    <t xml:space="preserve">    57204.0    1  7 2015       36</t>
  </si>
  <si>
    <t xml:space="preserve">    57754.0    1  1 2017       37</t>
  </si>
  <si>
    <t>Method 9</t>
  </si>
  <si>
    <t>Julian Century (UT1)</t>
  </si>
  <si>
    <t>Julian Century (TDB)</t>
  </si>
  <si>
    <t>AU</t>
  </si>
  <si>
    <t>Mean Obliquity</t>
  </si>
  <si>
    <t>True Longitude of Sun</t>
  </si>
  <si>
    <t>Ellipse (Semi-major axis) a</t>
  </si>
  <si>
    <t>Ellipse (Semi-minor axis) b</t>
  </si>
  <si>
    <t>from TimeScales sheet</t>
  </si>
  <si>
    <t>Mean Anomaly (M)</t>
  </si>
  <si>
    <t>Eccentric Anomaly (E_1)</t>
  </si>
  <si>
    <t>Eccentric Anomaly (E_2)</t>
  </si>
  <si>
    <t>radians</t>
  </si>
  <si>
    <t>Eccentric Anomaly (E)</t>
  </si>
  <si>
    <t>Check</t>
  </si>
  <si>
    <t>True Anomaly (Theta)</t>
  </si>
  <si>
    <t>[F9] to refresh</t>
  </si>
  <si>
    <t>Sun's Right Ascension</t>
  </si>
  <si>
    <t>meters</t>
  </si>
  <si>
    <t>We need to know the Earth location as it</t>
  </si>
  <si>
    <t>orbits the Sun. But we don't need (so far)</t>
  </si>
  <si>
    <t>how fast the Earth is rotating around its axis</t>
  </si>
  <si>
    <t>http://neoprogrammics.com/sidereal_time_calculator/</t>
  </si>
  <si>
    <t>Day Light Saving (hrs)</t>
  </si>
  <si>
    <t>Apparent Obliquity</t>
  </si>
  <si>
    <t xml:space="preserve"> Equation of the equinoxes</t>
  </si>
  <si>
    <t>https://gssc.esa.int/navipedia/index.php/CEP_to_ITRF</t>
  </si>
  <si>
    <r>
      <t>Greenwich Mean Sidereal Time</t>
    </r>
    <r>
      <rPr>
        <b/>
        <sz val="11"/>
        <color theme="1"/>
        <rFont val="Calibri"/>
        <family val="2"/>
        <scheme val="minor"/>
      </rPr>
      <t xml:space="preserve"> (GMST)</t>
    </r>
  </si>
  <si>
    <t>Julian Date (0hr)</t>
  </si>
  <si>
    <t>Julian Centries (0hr)</t>
  </si>
  <si>
    <r>
      <t>Julian Date</t>
    </r>
    <r>
      <rPr>
        <b/>
        <sz val="11"/>
        <color rgb="FFFF0000"/>
        <rFont val="Calibri"/>
        <family val="2"/>
        <scheme val="minor"/>
      </rPr>
      <t xml:space="preserve"> [JD00]</t>
    </r>
  </si>
  <si>
    <r>
      <t xml:space="preserve">Julian Date </t>
    </r>
    <r>
      <rPr>
        <b/>
        <sz val="11"/>
        <color rgb="FFFF0000"/>
        <rFont val="Calibri"/>
        <family val="2"/>
        <scheme val="minor"/>
      </rPr>
      <t>[J2000]</t>
    </r>
    <r>
      <rPr>
        <b/>
        <sz val="11"/>
        <color theme="1"/>
        <rFont val="Calibri"/>
        <family val="2"/>
        <scheme val="minor"/>
      </rPr>
      <t xml:space="preserve"> 0hrs</t>
    </r>
  </si>
  <si>
    <t>Julian Century [JD00] (UT1) 0hr</t>
  </si>
  <si>
    <t>Julian Century [JD00] (UT1)</t>
  </si>
  <si>
    <t>Julian Century [JD00] (TDB)</t>
  </si>
  <si>
    <t>Julian Century [J2000] (UT1) 0hr</t>
  </si>
  <si>
    <t>days</t>
  </si>
  <si>
    <t>Greenwich True Sidereal Time (GAMT)</t>
  </si>
  <si>
    <t>Greenwich True Sidereal Time at Longitude 0°</t>
  </si>
  <si>
    <t>Second technique [J2000]</t>
  </si>
  <si>
    <t>Add in Earth rotation</t>
  </si>
  <si>
    <t>Observer's Sidereal Time</t>
  </si>
  <si>
    <t>Observer's True Angle</t>
  </si>
  <si>
    <t>https://www.suncalc.org/#/51.2885,0.1646,16/2020.11.29/12:02/1/0</t>
  </si>
  <si>
    <t>Observer's Horizon</t>
  </si>
  <si>
    <t>Seidelmann 1980</t>
  </si>
  <si>
    <t>Mean Longitude'</t>
  </si>
  <si>
    <t>Omega calculation</t>
  </si>
  <si>
    <t>dLongitude</t>
  </si>
  <si>
    <t>dLong calculation</t>
  </si>
  <si>
    <t>Simplified formula</t>
  </si>
  <si>
    <t>https://www.scielo.br/pdf/jatm/v11/2175-9146-jatm-11-e3619.pdf</t>
  </si>
  <si>
    <t>True to Apparent Obliquity</t>
  </si>
  <si>
    <t>dObliquity</t>
  </si>
  <si>
    <t>Obliquity calculation</t>
  </si>
  <si>
    <t>True to Apparent Longitude (The earth wobbles a bit)</t>
  </si>
  <si>
    <t>https://www.suncalc.org/#/51.2884,0.1649,16/2020.11.29/13:22/1/0</t>
  </si>
  <si>
    <t>Cross referring other derivations, I can detect simple errors</t>
  </si>
  <si>
    <t>Local Hour Angle, Sunrise/set</t>
  </si>
  <si>
    <t>Observer Latitude</t>
  </si>
  <si>
    <t>Observer Longitude</t>
  </si>
  <si>
    <t>Azimuth at Sunrise</t>
  </si>
  <si>
    <t>Equation of Time (EoT)</t>
  </si>
  <si>
    <t>minutes</t>
  </si>
  <si>
    <t>Azimuth at Sunset</t>
  </si>
  <si>
    <t>Time of Sunrise (True)</t>
  </si>
  <si>
    <t>Time of Sunset (True)</t>
  </si>
  <si>
    <t>Day light time</t>
  </si>
  <si>
    <t>Local EoT</t>
  </si>
  <si>
    <t>Longitude correction for EoT</t>
  </si>
  <si>
    <t>Julian Date (12hr)</t>
  </si>
  <si>
    <t>Julian Centries (12hr)</t>
  </si>
  <si>
    <t>Midday Readings (Noon)</t>
  </si>
  <si>
    <t>Culmination</t>
  </si>
  <si>
    <t>Semi-diameter + horizontal refraction</t>
  </si>
  <si>
    <t>Civil Twilight</t>
  </si>
  <si>
    <t>Nautical Twilight</t>
  </si>
  <si>
    <t>Astro Twilight</t>
  </si>
  <si>
    <t>Night</t>
  </si>
  <si>
    <t>Astro. Twilight</t>
  </si>
  <si>
    <t>Daylight</t>
  </si>
  <si>
    <t>hh:mm:ss</t>
  </si>
  <si>
    <t>Equation of Time figures (ppowers.com)</t>
  </si>
  <si>
    <t>Links</t>
  </si>
  <si>
    <t>Local Sidereal Time Clock (jgiesen.de)</t>
  </si>
  <si>
    <t>Perihelion, Aphelion and the Solstices (timeanddate.com)</t>
  </si>
  <si>
    <t>https://www.ukweathercams.co.uk/sunrise_sunset_times.php</t>
  </si>
  <si>
    <t xml:space="preserve"> </t>
  </si>
  <si>
    <t>https://www.timeanddate.com/astronomy/uk/london</t>
  </si>
  <si>
    <t>Sun Location</t>
  </si>
  <si>
    <t>[F9] refresh</t>
  </si>
  <si>
    <t>Latitude</t>
  </si>
  <si>
    <t>Longitude</t>
  </si>
  <si>
    <t>Note this is not an input sheet</t>
  </si>
  <si>
    <t>http://www.geoastro.de/elevazmoon/basics/index.htm</t>
  </si>
  <si>
    <t>http://www.geoastro.de/elevazmoon/basics/meeus.htm</t>
  </si>
  <si>
    <t>http://www.stjarnhimlen.se/comp/ppcomp.html</t>
  </si>
  <si>
    <t>http://www.stjarnhimlen.se/comp/ppcomp.html#6</t>
  </si>
  <si>
    <t>Earth radius</t>
  </si>
  <si>
    <t>Distance to Moon</t>
  </si>
  <si>
    <t>https://eclipse.gsfc.nasa.gov/SEhelp/moonorbit.html#:~:text=The%20true%20anomaly%20is%20the,Moon%20with%20respect%20to%20perigee.&amp;text=Similarly%2C%20when%20New%20Moon%20occurs,(e.g.%2C%20Dec%2027).</t>
  </si>
  <si>
    <t>http://www.jgiesen.de/moonmotion/index.html</t>
  </si>
  <si>
    <t>https://en.wikipedia.org/wiki/Orbit_of_the_Moon</t>
  </si>
  <si>
    <t>http://farside.ph.utexas.edu/teaching/336k/Newtonhtml/node133.html</t>
  </si>
  <si>
    <t>https://aa.quae.nl/en/reken/hemelpositie.html</t>
  </si>
  <si>
    <t>https://www.timeanddate.com/astronomy/moon/location.html</t>
  </si>
  <si>
    <t>https://theskylive.com/planetarium?obj=moon#ra|16.869645201641948|dec|-24.71843128508558|fov|50</t>
  </si>
  <si>
    <t>https://www.mooncalc.org/#/49.495,11.073,3/2020.12.06/14:24/1/3</t>
  </si>
  <si>
    <r>
      <rPr>
        <b/>
        <sz val="11"/>
        <color theme="1"/>
        <rFont val="Calibri"/>
        <family val="2"/>
        <scheme val="minor"/>
      </rPr>
      <t>Link</t>
    </r>
    <r>
      <rPr>
        <sz val="11"/>
        <color theme="1"/>
        <rFont val="Calibri"/>
        <family val="2"/>
        <scheme val="minor"/>
      </rPr>
      <t>s</t>
    </r>
  </si>
  <si>
    <t>Inclination to the ecliptic (i)</t>
  </si>
  <si>
    <t>Longitude of ascending node (N)</t>
  </si>
  <si>
    <t>Eccentricity (e)</t>
  </si>
  <si>
    <t>Argument of perihelion (w)</t>
  </si>
  <si>
    <t>True Anomaly (Theta) (v)</t>
  </si>
  <si>
    <t>xh</t>
  </si>
  <si>
    <t>yh</t>
  </si>
  <si>
    <t>zh</t>
  </si>
  <si>
    <t>Moon Latitude</t>
  </si>
  <si>
    <t>Moon Longitude</t>
  </si>
  <si>
    <t>https://theskylive.com/moon-info#:~:text=The%20current%20Right%20Ascension%20of,is%20%2D10.91%20(JPL).</t>
  </si>
  <si>
    <t>https://astronomynow.com/javascript/solar_system.html</t>
  </si>
  <si>
    <t>https://www.heavens-above.com/moon.aspx?lat=0&amp;lng=0&amp;loc=M&amp;alt=0&amp;tz=CET</t>
  </si>
  <si>
    <t>xv</t>
  </si>
  <si>
    <t>yv</t>
  </si>
  <si>
    <t>Computing planetary positions (stjarnhimlen.se)</t>
  </si>
  <si>
    <t>Moon Locator (futureboy.us)</t>
  </si>
  <si>
    <t>Parallax</t>
  </si>
  <si>
    <t>Epsilon</t>
  </si>
  <si>
    <t>km</t>
  </si>
  <si>
    <t>Moon Position vector</t>
  </si>
  <si>
    <t>Equations from</t>
  </si>
  <si>
    <t>Fundamentals of Astrodynamics and Applications</t>
  </si>
  <si>
    <t>Fourth Edition</t>
  </si>
  <si>
    <t>David A. Vallado with contributions by Wayne D. McClain</t>
  </si>
  <si>
    <t>Moon's Altitude</t>
  </si>
  <si>
    <t>Moon's Declination</t>
  </si>
  <si>
    <t>Moon's Right Ascension</t>
  </si>
  <si>
    <t>Moon (heavens-above.com)</t>
  </si>
  <si>
    <t>Right Ascension and Declination of Moon for 2020 (tamu.edu)</t>
  </si>
  <si>
    <t>Basics of Positional Astronomy: Moon Position (geoastro.de)</t>
  </si>
  <si>
    <t>Eliptic Longitude</t>
  </si>
  <si>
    <t>Eliptic Latitude</t>
  </si>
  <si>
    <t>R</t>
  </si>
  <si>
    <t>https://www.timeanddate.com/moon/@7296032</t>
  </si>
  <si>
    <t>Moon's Azimuth</t>
  </si>
  <si>
    <t>Moon's Zenith Distance</t>
  </si>
  <si>
    <t>JD_temp</t>
  </si>
  <si>
    <t>l</t>
  </si>
  <si>
    <t>m</t>
  </si>
  <si>
    <t>n</t>
  </si>
  <si>
    <t>lambda</t>
  </si>
  <si>
    <t>phi</t>
  </si>
  <si>
    <t>epsilon</t>
  </si>
  <si>
    <t>alpha</t>
  </si>
  <si>
    <t>delta</t>
  </si>
  <si>
    <t>Moon's Longitude</t>
  </si>
  <si>
    <t>Sun's Longitude</t>
  </si>
  <si>
    <t>Moon Phase</t>
  </si>
  <si>
    <t>% disk</t>
  </si>
  <si>
    <t>https://www.timeanddate.com/astronomy/moon/waning-crescent.html</t>
  </si>
  <si>
    <t>https://www.timeanddate.com/moon/phases/</t>
  </si>
  <si>
    <t>https://en.wikipedia.org/wiki/Lunar_phase</t>
  </si>
  <si>
    <t>https://www.moongiant.com/phase/12/12/2020</t>
  </si>
  <si>
    <t>https://www.almanac.com/astronomy/moon/calendar</t>
  </si>
  <si>
    <t>https://stardate.org/nightsky/moon</t>
  </si>
  <si>
    <t>https://spaceplace.nasa.gov/moon-phases/en/</t>
  </si>
  <si>
    <t>https://www.ducksters.com/science/phases_of_the_moon.php</t>
  </si>
  <si>
    <t>https://www.space.com/18880-moon-phases.html</t>
  </si>
  <si>
    <t>GHA</t>
  </si>
  <si>
    <t>GMST</t>
  </si>
  <si>
    <t>LHA</t>
  </si>
  <si>
    <t>dGHA</t>
  </si>
  <si>
    <t>x_n</t>
  </si>
  <si>
    <t>LHA_n</t>
  </si>
  <si>
    <t>dUT</t>
  </si>
  <si>
    <t>dropped Latitude</t>
  </si>
  <si>
    <t>Moon-Rise</t>
  </si>
  <si>
    <t>Moon-Set</t>
  </si>
  <si>
    <t>Moon Location</t>
  </si>
  <si>
    <t>Moon Culmination</t>
  </si>
  <si>
    <t>v</t>
  </si>
  <si>
    <t>Geocentric (Earth-centered)</t>
  </si>
  <si>
    <t>Heliocentric (Sun-centered) </t>
  </si>
  <si>
    <t>http://time.unitarium.com/moon/where.html</t>
  </si>
  <si>
    <t>Moon Ecliptic Longitude</t>
  </si>
  <si>
    <t>Moon Ecliptic Latitude</t>
  </si>
  <si>
    <t>Sun and Moon Position Calculator (satellite-calculations.com)</t>
  </si>
  <si>
    <t>Computing planetary positions - a tutorial with worked examples (stjarnhimlen.se)</t>
  </si>
  <si>
    <t>Moon Method - More effects modeled</t>
  </si>
  <si>
    <t>Moon Method - Low accuracy</t>
  </si>
  <si>
    <t>Sun's mean longitude (Ls)</t>
  </si>
  <si>
    <t>Moon's mean longitude (Lm)</t>
  </si>
  <si>
    <t>Sun's Mean Anomaly (Ms)</t>
  </si>
  <si>
    <t>Moon's Mean Anomaly (Mm)</t>
  </si>
  <si>
    <t>Moon's Mean elongation (D)</t>
  </si>
  <si>
    <t>Moon's argument of latitude (F)</t>
  </si>
  <si>
    <t>Perturbations to longitude</t>
  </si>
  <si>
    <t>Evection</t>
  </si>
  <si>
    <t>Variation</t>
  </si>
  <si>
    <t>Yearly equation</t>
  </si>
  <si>
    <t>Parallactic</t>
  </si>
  <si>
    <t>Perturbations to latitude</t>
  </si>
  <si>
    <t>Perturbation in lunar distance</t>
  </si>
  <si>
    <t>distance (r )</t>
  </si>
  <si>
    <t>y_eclipse</t>
  </si>
  <si>
    <t>z_eclipse</t>
  </si>
  <si>
    <t>x_eclipse</t>
  </si>
  <si>
    <t>x_equator</t>
  </si>
  <si>
    <t>y_equator</t>
  </si>
  <si>
    <t>z_equator</t>
  </si>
  <si>
    <t>Moon Method - Higher accuracy - Observator at centre of Earth</t>
  </si>
  <si>
    <t>Relating Tides to the Moon Phases | Perkins eLearning</t>
  </si>
  <si>
    <t>Mercury</t>
  </si>
  <si>
    <t>Venus</t>
  </si>
  <si>
    <t>Mars</t>
  </si>
  <si>
    <t>Jupiter</t>
  </si>
  <si>
    <t>Saturn</t>
  </si>
  <si>
    <t>Uranus</t>
  </si>
  <si>
    <t>Neptune</t>
  </si>
  <si>
    <t>Longitude of Ascending Node (N)</t>
  </si>
  <si>
    <t>Inclination of Ecliptic (i)</t>
  </si>
  <si>
    <t>Argument of Perihelion (w)</t>
  </si>
  <si>
    <t>Semi-major axis (a) AU</t>
  </si>
  <si>
    <t>Eccentricity €</t>
  </si>
  <si>
    <t>Distance to Planet (r )</t>
  </si>
  <si>
    <t>Planet Longitude</t>
  </si>
  <si>
    <t>Planet Latitude</t>
  </si>
  <si>
    <t>https://solarsystem.nasa.gov/planets/overview/</t>
  </si>
  <si>
    <t>http://www.stjarnhimlen.se/comp/tutorial.html</t>
  </si>
  <si>
    <t>xh (Heliocentric ecliptic rectangular coordindates)</t>
  </si>
  <si>
    <t>Geocentric position of the planets</t>
  </si>
  <si>
    <t>Sun</t>
  </si>
  <si>
    <t>xh (Geocentric ecliptic rectangular coordindates)</t>
  </si>
  <si>
    <t>Planet Method (Simplified, i.e. less pertubations)</t>
  </si>
  <si>
    <t>Azimuth</t>
  </si>
  <si>
    <t>Zenith Angle</t>
  </si>
  <si>
    <t>https://www.heavens-above.com/PlanetSummary.aspx</t>
  </si>
  <si>
    <t>hh:mm</t>
  </si>
  <si>
    <t>142/21 degrees to Jun &amp; Shen roof vent</t>
  </si>
  <si>
    <t>146.5/22 degrees to Jun &amp; Shen TV ariel</t>
  </si>
  <si>
    <t>Mercury's Right Ascension</t>
  </si>
  <si>
    <t>Mercury's Declination</t>
  </si>
  <si>
    <t>Planets</t>
  </si>
  <si>
    <t>Mercury's Altitude</t>
  </si>
  <si>
    <t>Mercury's Azimuth</t>
  </si>
  <si>
    <t>Altitude</t>
  </si>
  <si>
    <t>Moon</t>
  </si>
  <si>
    <t>Object</t>
  </si>
  <si>
    <t>X</t>
  </si>
  <si>
    <t>Y</t>
  </si>
  <si>
    <t>Sun/Earth</t>
  </si>
  <si>
    <t>Nepture</t>
  </si>
  <si>
    <t>Location</t>
  </si>
  <si>
    <t>UTC time</t>
  </si>
  <si>
    <t>//</t>
  </si>
  <si>
    <t>// This program is free software: you can redistribute it and/or modify</t>
  </si>
  <si>
    <t>// it under the terms of the GNU General Public License as published by</t>
  </si>
  <si>
    <t>// the Free Software Foundation, either version 3 of the License, or</t>
  </si>
  <si>
    <t>// (at your option) any later version.</t>
  </si>
  <si>
    <t>// This program is distributed in the hope that it will be useful,</t>
  </si>
  <si>
    <t>// but WITHOUT ANY WARRANTY; without even the implied warranty of</t>
  </si>
  <si>
    <t>// MERCHANTABILITY or FITNESS FOR A PARTICULAR PURPOSE. See the</t>
  </si>
  <si>
    <t>// GNU General Public License for more details.</t>
  </si>
  <si>
    <t>// You should have received a copy of the GNU General Public License</t>
  </si>
  <si>
    <t>// along with this program. If not, see &lt;https://www.gnu.org/licenses/&gt;.</t>
  </si>
  <si>
    <t xml:space="preserve">// These Terms shall be governed and construed in accordance with the laws of </t>
  </si>
  <si>
    <t>// England and Wales, without regard to its conflict of law provisions.</t>
  </si>
  <si>
    <t>// Copyright (C) 2020 https://www.roboticboat.uk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</si>
</sst>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8">
    <numFmt numFmtId="43" formatCode="_-* #,##0.00_-;\-* #,##0.00_-;_-* &quot;-&quot;??_-;_-@_-"/>
    <numFmt numFmtId="164" formatCode="0.000"/>
    <numFmt numFmtId="165" formatCode="0.000000"/>
    <numFmt numFmtId="166" formatCode="0.00000"/>
    <numFmt numFmtId="167" formatCode="_-* #,##0.00000_-;\-* #,##0.00000_-;_-* &quot;-&quot;??_-;_-@_-"/>
    <numFmt numFmtId="168" formatCode="0.00000_ ;[Red]\-0.00000\ "/>
    <numFmt numFmtId="169" formatCode="0.000000_ ;[Red]\-0.000000\ "/>
    <numFmt numFmtId="170" formatCode="[$-F400]h:mm:ss\ AM/PM"/>
    <numFmt numFmtId="171" formatCode="_-* #,##0.000000_-;\-* #,##0.000000_-;_-* &quot;-&quot;??_-;_-@_-"/>
    <numFmt numFmtId="172" formatCode="_-* #,##0.0000000_-;\-* #,##0.0000000_-;_-* &quot;-&quot;??_-;_-@_-"/>
    <numFmt numFmtId="173" formatCode="0.00000000_ ;[Red]\-0.00000000\ "/>
    <numFmt numFmtId="174" formatCode="0.0000000000"/>
    <numFmt numFmtId="175" formatCode="_-* #,##0.0000000000_-;\-* #,##0.0000000000_-;_-* &quot;-&quot;??_-;_-@_-"/>
    <numFmt numFmtId="176" formatCode="0.000000000000"/>
    <numFmt numFmtId="177" formatCode="0.000000000"/>
    <numFmt numFmtId="178" formatCode="0.00000000"/>
    <numFmt numFmtId="179" formatCode="_-* #,##0.000000_-;\-* #,##0.000000_-;_-* &quot;-&quot;??????_-;_-@_-"/>
    <numFmt numFmtId="180" formatCode="_-* #,##0_-;\-* #,##0_-;_-* &quot;-&quot;??_-;_-@_-"/>
    <numFmt numFmtId="181" formatCode="h:mm:ss;@"/>
    <numFmt numFmtId="182" formatCode="dd/mm/yyyy\ hh:mm:ss\.ss"/>
    <numFmt numFmtId="183" formatCode="h:mm:ss.000"/>
    <numFmt numFmtId="184" formatCode="0.0000000_ ;[Red]\-0.0000000\ "/>
    <numFmt numFmtId="185" formatCode="#,##0.00_ ;[Red]\-#,##0.00\ "/>
    <numFmt numFmtId="186" formatCode="0.000000000E+00"/>
    <numFmt numFmtId="187" formatCode="0.00000000000000000"/>
    <numFmt numFmtId="188" formatCode="0_ ;[Red]\-0\ "/>
    <numFmt numFmtId="189" formatCode="h:mm"/>
    <numFmt numFmtId="190" formatCode="#,##0.00000_ ;[Red]\-#,##0.00000\ "/>
    <numFmt numFmtId="191" formatCode="hh:mm;@"/>
    <numFmt numFmtId="192" formatCode="0.0000"/>
    <numFmt numFmtId="193" formatCode="_-* #,##0.0000_-;\-* #,##0.0000_-;_-* &quot;-&quot;??_-;_-@_-"/>
    <numFmt numFmtId="194" formatCode="0.0000000"/>
    <numFmt numFmtId="195" formatCode="#,##0_ ;[Red]\-#,##0\ "/>
    <numFmt numFmtId="196" formatCode="[$-F400]h:mm\ AM/PM"/>
    <numFmt numFmtId="197" formatCode="hh:mm:ss;@"/>
    <numFmt numFmtId="198" formatCode="_-* #,##0.000_-;\-* #,##0.000_-;_-* &quot;-&quot;??_-;_-@_-"/>
    <numFmt numFmtId="199" formatCode="_-* #,##0.0_-;\-* #,##0.0_-;_-* &quot;-&quot;??_-;_-@_-"/>
    <numFmt numFmtId="200" formatCode="#,##0.0_ ;[Red]\-#,##0.0\ "/>
  </numFmts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20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00"/>
      <name val="Arial Unicode MS"/>
    </font>
    <font>
      <b/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sz val="14"/>
      <name val="Calibri"/>
      <family val="2"/>
      <scheme val="minor"/>
    </font>
    <font>
      <b/>
      <sz val="11"/>
      <name val="Calibri"/>
      <family val="2"/>
      <scheme val="minor"/>
    </font>
    <font>
      <sz val="18"/>
      <color theme="0"/>
      <name val="Calibri"/>
      <family val="2"/>
      <scheme val="minor"/>
    </font>
    <font>
      <sz val="16"/>
      <color rgb="FF00610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9"/>
      <color rgb="FF6A737D"/>
      <name val="Consolas"/>
      <family val="3"/>
    </font>
  </fonts>
  <fills count="2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7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5"/>
      </patternFill>
    </fill>
    <fill>
      <patternFill patternType="solid">
        <fgColor rgb="FFFFCC99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</fills>
  <borders count="25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0">
    <xf numFmtId="0" fontId="0" fillId="0" borderId="0"/>
    <xf numFmtId="43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1" fillId="3" borderId="1" applyNumberFormat="0" applyFont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7" borderId="0" applyNumberFormat="0" applyBorder="0" applyAlignment="0" applyProtection="0"/>
    <xf numFmtId="0" fontId="7" fillId="0" borderId="0" applyNumberFormat="0" applyFill="0" applyBorder="0" applyAlignment="0" applyProtection="0"/>
    <xf numFmtId="0" fontId="1" fillId="6" borderId="0" applyNumberFormat="0" applyBorder="0" applyAlignment="0" applyProtection="0"/>
    <xf numFmtId="0" fontId="1" fillId="8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1" fillId="18" borderId="0" applyNumberFormat="0" applyBorder="0" applyAlignment="0" applyProtection="0"/>
    <xf numFmtId="0" fontId="9" fillId="19" borderId="21" applyNumberFormat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</cellStyleXfs>
  <cellXfs count="226">
    <xf numFmtId="0" fontId="0" fillId="0" borderId="0" xfId="0"/>
    <xf numFmtId="164" fontId="0" fillId="0" borderId="0" xfId="0" applyNumberFormat="1"/>
    <xf numFmtId="0" fontId="4" fillId="5" borderId="0" xfId="5"/>
    <xf numFmtId="0" fontId="4" fillId="9" borderId="0" xfId="0" applyFont="1" applyFill="1" applyAlignment="1">
      <alignment horizontal="center"/>
    </xf>
    <xf numFmtId="0" fontId="4" fillId="7" borderId="0" xfId="6"/>
    <xf numFmtId="43" fontId="0" fillId="0" borderId="0" xfId="0" applyNumberFormat="1"/>
    <xf numFmtId="0" fontId="7" fillId="0" borderId="0" xfId="7"/>
    <xf numFmtId="0" fontId="3" fillId="0" borderId="0" xfId="0" applyFont="1"/>
    <xf numFmtId="0" fontId="0" fillId="10" borderId="2" xfId="0" applyFill="1" applyBorder="1"/>
    <xf numFmtId="0" fontId="0" fillId="10" borderId="3" xfId="0" applyFill="1" applyBorder="1"/>
    <xf numFmtId="0" fontId="0" fillId="10" borderId="4" xfId="0" applyFill="1" applyBorder="1"/>
    <xf numFmtId="0" fontId="0" fillId="10" borderId="5" xfId="0" applyFill="1" applyBorder="1"/>
    <xf numFmtId="0" fontId="0" fillId="10" borderId="0" xfId="0" applyFill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9" xfId="0" applyFill="1" applyBorder="1"/>
    <xf numFmtId="0" fontId="0" fillId="0" borderId="0" xfId="0" applyAlignment="1">
      <alignment horizontal="center"/>
    </xf>
    <xf numFmtId="168" fontId="0" fillId="0" borderId="0" xfId="0" applyNumberFormat="1"/>
    <xf numFmtId="0" fontId="0" fillId="0" borderId="13" xfId="0" applyBorder="1"/>
    <xf numFmtId="0" fontId="8" fillId="0" borderId="0" xfId="0" applyFont="1"/>
    <xf numFmtId="171" fontId="0" fillId="0" borderId="0" xfId="0" applyNumberFormat="1"/>
    <xf numFmtId="172" fontId="0" fillId="0" borderId="0" xfId="0" applyNumberFormat="1"/>
    <xf numFmtId="174" fontId="0" fillId="0" borderId="0" xfId="0" applyNumberFormat="1"/>
    <xf numFmtId="0" fontId="10" fillId="11" borderId="0" xfId="0" applyFont="1" applyFill="1"/>
    <xf numFmtId="0" fontId="4" fillId="11" borderId="0" xfId="0" applyFont="1" applyFill="1"/>
    <xf numFmtId="0" fontId="2" fillId="2" borderId="0" xfId="2"/>
    <xf numFmtId="0" fontId="2" fillId="2" borderId="0" xfId="2" applyAlignment="1">
      <alignment horizontal="center"/>
    </xf>
    <xf numFmtId="0" fontId="0" fillId="0" borderId="17" xfId="0" applyBorder="1"/>
    <xf numFmtId="0" fontId="0" fillId="0" borderId="0" xfId="0" applyAlignment="1">
      <alignment horizontal="right"/>
    </xf>
    <xf numFmtId="0" fontId="3" fillId="0" borderId="0" xfId="0" applyFont="1" applyAlignment="1">
      <alignment horizontal="center"/>
    </xf>
    <xf numFmtId="175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0" fontId="11" fillId="0" borderId="0" xfId="0" applyFont="1" applyAlignment="1">
      <alignment horizontal="center"/>
    </xf>
    <xf numFmtId="0" fontId="3" fillId="0" borderId="13" xfId="0" applyFont="1" applyBorder="1" applyAlignment="1">
      <alignment horizontal="center"/>
    </xf>
    <xf numFmtId="0" fontId="0" fillId="0" borderId="0" xfId="0" applyAlignment="1">
      <alignment wrapText="1"/>
    </xf>
    <xf numFmtId="0" fontId="4" fillId="13" borderId="0" xfId="11"/>
    <xf numFmtId="0" fontId="4" fillId="12" borderId="0" xfId="10"/>
    <xf numFmtId="178" fontId="4" fillId="7" borderId="0" xfId="6" applyNumberFormat="1"/>
    <xf numFmtId="178" fontId="4" fillId="13" borderId="0" xfId="11" applyNumberFormat="1"/>
    <xf numFmtId="178" fontId="4" fillId="14" borderId="0" xfId="12" applyNumberFormat="1"/>
    <xf numFmtId="0" fontId="4" fillId="11" borderId="0" xfId="0" applyFont="1" applyFill="1" applyAlignment="1">
      <alignment horizontal="center"/>
    </xf>
    <xf numFmtId="182" fontId="2" fillId="2" borderId="0" xfId="2" applyNumberFormat="1" applyAlignment="1">
      <alignment horizontal="center"/>
    </xf>
    <xf numFmtId="183" fontId="0" fillId="3" borderId="1" xfId="3" applyNumberFormat="1" applyFont="1" applyAlignment="1">
      <alignment horizontal="center"/>
    </xf>
    <xf numFmtId="181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0" fontId="12" fillId="0" borderId="0" xfId="0" applyFont="1" applyAlignment="1">
      <alignment vertical="center"/>
    </xf>
    <xf numFmtId="182" fontId="0" fillId="0" borderId="0" xfId="0" applyNumberFormat="1" applyAlignment="1">
      <alignment horizontal="center"/>
    </xf>
    <xf numFmtId="0" fontId="0" fillId="0" borderId="0" xfId="0" applyAlignment="1">
      <alignment vertical="top"/>
    </xf>
    <xf numFmtId="0" fontId="9" fillId="3" borderId="1" xfId="3" applyFont="1"/>
    <xf numFmtId="0" fontId="4" fillId="4" borderId="1" xfId="4" applyBorder="1"/>
    <xf numFmtId="177" fontId="4" fillId="4" borderId="0" xfId="4" applyNumberFormat="1"/>
    <xf numFmtId="0" fontId="0" fillId="15" borderId="0" xfId="0" applyFill="1"/>
    <xf numFmtId="0" fontId="0" fillId="0" borderId="18" xfId="0" applyBorder="1"/>
    <xf numFmtId="2" fontId="0" fillId="0" borderId="18" xfId="0" applyNumberFormat="1" applyBorder="1"/>
    <xf numFmtId="0" fontId="0" fillId="10" borderId="14" xfId="0" applyFill="1" applyBorder="1"/>
    <xf numFmtId="0" fontId="0" fillId="10" borderId="19" xfId="0" applyFill="1" applyBorder="1"/>
    <xf numFmtId="0" fontId="0" fillId="10" borderId="15" xfId="0" applyFill="1" applyBorder="1"/>
    <xf numFmtId="0" fontId="0" fillId="10" borderId="20" xfId="0" applyFill="1" applyBorder="1"/>
    <xf numFmtId="0" fontId="0" fillId="10" borderId="11" xfId="0" applyFill="1" applyBorder="1"/>
    <xf numFmtId="0" fontId="0" fillId="10" borderId="16" xfId="0" applyFill="1" applyBorder="1"/>
    <xf numFmtId="0" fontId="0" fillId="10" borderId="13" xfId="0" applyFill="1" applyBorder="1"/>
    <xf numFmtId="0" fontId="0" fillId="10" borderId="12" xfId="0" applyFill="1" applyBorder="1"/>
    <xf numFmtId="180" fontId="0" fillId="0" borderId="0" xfId="1" applyNumberFormat="1" applyFont="1"/>
    <xf numFmtId="167" fontId="4" fillId="13" borderId="0" xfId="1" applyNumberFormat="1" applyFont="1" applyFill="1"/>
    <xf numFmtId="166" fontId="4" fillId="13" borderId="0" xfId="11" applyNumberFormat="1"/>
    <xf numFmtId="0" fontId="0" fillId="0" borderId="13" xfId="0" applyBorder="1" applyAlignment="1">
      <alignment horizontal="center"/>
    </xf>
    <xf numFmtId="2" fontId="0" fillId="0" borderId="0" xfId="0" applyNumberFormat="1" applyAlignment="1">
      <alignment horizontal="center"/>
    </xf>
    <xf numFmtId="177" fontId="0" fillId="15" borderId="0" xfId="0" applyNumberFormat="1" applyFill="1"/>
    <xf numFmtId="0" fontId="0" fillId="15" borderId="17" xfId="0" applyFill="1" applyBorder="1"/>
    <xf numFmtId="2" fontId="0" fillId="15" borderId="0" xfId="0" applyNumberFormat="1" applyFill="1"/>
    <xf numFmtId="166" fontId="0" fillId="15" borderId="0" xfId="0" applyNumberFormat="1" applyFill="1"/>
    <xf numFmtId="165" fontId="0" fillId="16" borderId="0" xfId="0" applyNumberFormat="1" applyFill="1"/>
    <xf numFmtId="0" fontId="1" fillId="0" borderId="0" xfId="6" applyFont="1" applyFill="1"/>
    <xf numFmtId="0" fontId="0" fillId="15" borderId="0" xfId="0" applyFill="1" applyAlignment="1">
      <alignment horizontal="right"/>
    </xf>
    <xf numFmtId="0" fontId="3" fillId="15" borderId="0" xfId="0" applyFont="1" applyFill="1" applyAlignment="1">
      <alignment horizontal="center"/>
    </xf>
    <xf numFmtId="0" fontId="4" fillId="9" borderId="13" xfId="0" applyFont="1" applyFill="1" applyBorder="1"/>
    <xf numFmtId="168" fontId="2" fillId="2" borderId="18" xfId="2" applyNumberFormat="1" applyBorder="1" applyAlignment="1">
      <alignment horizontal="center"/>
    </xf>
    <xf numFmtId="167" fontId="0" fillId="0" borderId="0" xfId="0" applyNumberFormat="1"/>
    <xf numFmtId="167" fontId="1" fillId="8" borderId="0" xfId="9" applyNumberFormat="1"/>
    <xf numFmtId="167" fontId="1" fillId="0" borderId="0" xfId="9" applyNumberFormat="1" applyFill="1"/>
    <xf numFmtId="0" fontId="1" fillId="0" borderId="0" xfId="8" applyFill="1"/>
    <xf numFmtId="43" fontId="0" fillId="0" borderId="0" xfId="1" applyFont="1"/>
    <xf numFmtId="170" fontId="4" fillId="13" borderId="0" xfId="11" applyNumberFormat="1"/>
    <xf numFmtId="183" fontId="0" fillId="0" borderId="1" xfId="3" applyNumberFormat="1" applyFont="1" applyFill="1" applyAlignment="1">
      <alignment horizontal="center"/>
    </xf>
    <xf numFmtId="43" fontId="14" fillId="8" borderId="0" xfId="1" applyFont="1" applyFill="1" applyAlignment="1">
      <alignment horizontal="center"/>
    </xf>
    <xf numFmtId="169" fontId="0" fillId="0" borderId="0" xfId="0" applyNumberFormat="1"/>
    <xf numFmtId="184" fontId="0" fillId="0" borderId="0" xfId="0" applyNumberFormat="1"/>
    <xf numFmtId="184" fontId="0" fillId="0" borderId="10" xfId="0" applyNumberFormat="1" applyBorder="1"/>
    <xf numFmtId="169" fontId="0" fillId="0" borderId="10" xfId="0" applyNumberFormat="1" applyBorder="1"/>
    <xf numFmtId="0" fontId="16" fillId="0" borderId="0" xfId="0" applyFont="1"/>
    <xf numFmtId="0" fontId="3" fillId="10" borderId="0" xfId="0" applyFont="1" applyFill="1" applyAlignment="1">
      <alignment horizontal="right"/>
    </xf>
    <xf numFmtId="184" fontId="0" fillId="10" borderId="0" xfId="0" applyNumberFormat="1" applyFill="1"/>
    <xf numFmtId="184" fontId="0" fillId="17" borderId="0" xfId="0" applyNumberFormat="1" applyFill="1"/>
    <xf numFmtId="173" fontId="0" fillId="17" borderId="10" xfId="0" applyNumberFormat="1" applyFill="1" applyBorder="1"/>
    <xf numFmtId="185" fontId="14" fillId="6" borderId="0" xfId="1" applyNumberFormat="1" applyFont="1" applyFill="1"/>
    <xf numFmtId="164" fontId="15" fillId="13" borderId="0" xfId="11" applyNumberFormat="1" applyFont="1"/>
    <xf numFmtId="171" fontId="0" fillId="0" borderId="0" xfId="1" applyNumberFormat="1" applyFont="1"/>
    <xf numFmtId="166" fontId="0" fillId="0" borderId="0" xfId="0" applyNumberFormat="1"/>
    <xf numFmtId="0" fontId="1" fillId="18" borderId="0" xfId="13"/>
    <xf numFmtId="0" fontId="1" fillId="6" borderId="0" xfId="8"/>
    <xf numFmtId="181" fontId="0" fillId="0" borderId="0" xfId="0" applyNumberFormat="1"/>
    <xf numFmtId="0" fontId="3" fillId="10" borderId="13" xfId="0" applyFont="1" applyFill="1" applyBorder="1" applyAlignment="1">
      <alignment horizontal="center"/>
    </xf>
    <xf numFmtId="2" fontId="0" fillId="10" borderId="0" xfId="0" applyNumberFormat="1" applyFill="1"/>
    <xf numFmtId="176" fontId="0" fillId="10" borderId="0" xfId="0" applyNumberFormat="1" applyFill="1" applyAlignment="1">
      <alignment horizontal="center"/>
    </xf>
    <xf numFmtId="176" fontId="0" fillId="10" borderId="11" xfId="0" applyNumberFormat="1" applyFill="1" applyBorder="1" applyAlignment="1">
      <alignment horizontal="center"/>
    </xf>
    <xf numFmtId="0" fontId="0" fillId="0" borderId="11" xfId="0" applyBorder="1"/>
    <xf numFmtId="186" fontId="0" fillId="0" borderId="0" xfId="0" applyNumberFormat="1"/>
    <xf numFmtId="187" fontId="0" fillId="0" borderId="0" xfId="0" applyNumberFormat="1"/>
    <xf numFmtId="0" fontId="0" fillId="3" borderId="1" xfId="3" applyFont="1"/>
    <xf numFmtId="188" fontId="9" fillId="19" borderId="21" xfId="14" applyNumberFormat="1"/>
    <xf numFmtId="189" fontId="0" fillId="10" borderId="3" xfId="0" applyNumberFormat="1" applyFill="1" applyBorder="1"/>
    <xf numFmtId="189" fontId="0" fillId="10" borderId="4" xfId="0" applyNumberFormat="1" applyFill="1" applyBorder="1"/>
    <xf numFmtId="189" fontId="0" fillId="10" borderId="0" xfId="0" applyNumberFormat="1" applyFill="1"/>
    <xf numFmtId="189" fontId="0" fillId="10" borderId="6" xfId="0" applyNumberFormat="1" applyFill="1" applyBorder="1"/>
    <xf numFmtId="189" fontId="0" fillId="10" borderId="8" xfId="0" applyNumberFormat="1" applyFill="1" applyBorder="1"/>
    <xf numFmtId="20" fontId="0" fillId="10" borderId="9" xfId="0" applyNumberFormat="1" applyFill="1" applyBorder="1"/>
    <xf numFmtId="0" fontId="4" fillId="4" borderId="2" xfId="4" applyBorder="1"/>
    <xf numFmtId="0" fontId="0" fillId="0" borderId="5" xfId="0" applyBorder="1"/>
    <xf numFmtId="0" fontId="1" fillId="22" borderId="5" xfId="17" applyBorder="1"/>
    <xf numFmtId="0" fontId="1" fillId="21" borderId="5" xfId="16" applyBorder="1"/>
    <xf numFmtId="0" fontId="1" fillId="20" borderId="5" xfId="15" applyBorder="1"/>
    <xf numFmtId="0" fontId="0" fillId="0" borderId="22" xfId="0" applyBorder="1"/>
    <xf numFmtId="0" fontId="4" fillId="4" borderId="7" xfId="4" applyBorder="1"/>
    <xf numFmtId="189" fontId="0" fillId="3" borderId="1" xfId="3" applyNumberFormat="1" applyFont="1"/>
    <xf numFmtId="0" fontId="0" fillId="23" borderId="0" xfId="0" applyFill="1"/>
    <xf numFmtId="170" fontId="0" fillId="23" borderId="0" xfId="0" applyNumberFormat="1" applyFill="1"/>
    <xf numFmtId="0" fontId="15" fillId="4" borderId="0" xfId="4" applyFont="1"/>
    <xf numFmtId="0" fontId="15" fillId="5" borderId="0" xfId="5" applyFont="1"/>
    <xf numFmtId="185" fontId="0" fillId="10" borderId="0" xfId="1" applyNumberFormat="1" applyFont="1" applyFill="1" applyBorder="1"/>
    <xf numFmtId="182" fontId="17" fillId="10" borderId="0" xfId="2" applyNumberFormat="1" applyFont="1" applyFill="1" applyBorder="1" applyAlignment="1">
      <alignment horizontal="center"/>
    </xf>
    <xf numFmtId="183" fontId="0" fillId="10" borderId="0" xfId="3" applyNumberFormat="1" applyFont="1" applyFill="1" applyBorder="1" applyAlignment="1">
      <alignment horizontal="center"/>
    </xf>
    <xf numFmtId="190" fontId="0" fillId="10" borderId="0" xfId="1" applyNumberFormat="1" applyFont="1" applyFill="1" applyBorder="1"/>
    <xf numFmtId="165" fontId="0" fillId="0" borderId="0" xfId="0" applyNumberFormat="1"/>
    <xf numFmtId="0" fontId="7" fillId="2" borderId="0" xfId="7" applyFill="1"/>
    <xf numFmtId="0" fontId="0" fillId="0" borderId="10" xfId="0" applyBorder="1"/>
    <xf numFmtId="193" fontId="0" fillId="0" borderId="0" xfId="1" applyNumberFormat="1" applyFont="1"/>
    <xf numFmtId="167" fontId="0" fillId="0" borderId="0" xfId="1" applyNumberFormat="1" applyFont="1"/>
    <xf numFmtId="11" fontId="0" fillId="0" borderId="0" xfId="0" applyNumberFormat="1"/>
    <xf numFmtId="0" fontId="0" fillId="0" borderId="0" xfId="0" quotePrefix="1"/>
    <xf numFmtId="194" fontId="0" fillId="0" borderId="10" xfId="0" applyNumberFormat="1" applyBorder="1"/>
    <xf numFmtId="185" fontId="0" fillId="0" borderId="0" xfId="0" applyNumberFormat="1"/>
    <xf numFmtId="190" fontId="0" fillId="0" borderId="0" xfId="0" applyNumberFormat="1"/>
    <xf numFmtId="195" fontId="0" fillId="0" borderId="0" xfId="0" applyNumberFormat="1"/>
    <xf numFmtId="0" fontId="18" fillId="0" borderId="0" xfId="0" applyFont="1"/>
    <xf numFmtId="10" fontId="19" fillId="13" borderId="0" xfId="11" applyNumberFormat="1" applyFont="1"/>
    <xf numFmtId="16" fontId="0" fillId="0" borderId="0" xfId="0" applyNumberFormat="1"/>
    <xf numFmtId="192" fontId="0" fillId="0" borderId="0" xfId="0" applyNumberFormat="1"/>
    <xf numFmtId="166" fontId="0" fillId="0" borderId="13" xfId="0" applyNumberFormat="1" applyBorder="1"/>
    <xf numFmtId="166" fontId="0" fillId="0" borderId="0" xfId="0" applyNumberFormat="1" applyAlignment="1">
      <alignment horizontal="center"/>
    </xf>
    <xf numFmtId="0" fontId="0" fillId="10" borderId="23" xfId="0" applyFill="1" applyBorder="1"/>
    <xf numFmtId="0" fontId="0" fillId="10" borderId="24" xfId="0" applyFill="1" applyBorder="1"/>
    <xf numFmtId="171" fontId="14" fillId="0" borderId="0" xfId="0" applyNumberFormat="1" applyFont="1"/>
    <xf numFmtId="0" fontId="19" fillId="9" borderId="0" xfId="0" applyFont="1" applyFill="1" applyAlignment="1">
      <alignment horizontal="center"/>
    </xf>
    <xf numFmtId="181" fontId="20" fillId="3" borderId="1" xfId="3" applyNumberFormat="1" applyFont="1" applyAlignment="1">
      <alignment horizontal="center"/>
    </xf>
    <xf numFmtId="164" fontId="0" fillId="0" borderId="0" xfId="2" applyNumberFormat="1" applyFont="1" applyFill="1"/>
    <xf numFmtId="192" fontId="0" fillId="0" borderId="0" xfId="2" applyNumberFormat="1" applyFont="1" applyFill="1"/>
    <xf numFmtId="193" fontId="0" fillId="0" borderId="0" xfId="1" applyNumberFormat="1" applyFont="1" applyFill="1"/>
    <xf numFmtId="192" fontId="0" fillId="0" borderId="13" xfId="2" applyNumberFormat="1" applyFont="1" applyFill="1" applyBorder="1"/>
    <xf numFmtId="164" fontId="0" fillId="0" borderId="13" xfId="0" applyNumberFormat="1" applyBorder="1"/>
    <xf numFmtId="4" fontId="17" fillId="0" borderId="0" xfId="0" applyNumberFormat="1" applyFont="1"/>
    <xf numFmtId="43" fontId="0" fillId="10" borderId="0" xfId="0" applyNumberFormat="1" applyFill="1"/>
    <xf numFmtId="10" fontId="0" fillId="10" borderId="0" xfId="0" applyNumberFormat="1" applyFill="1"/>
    <xf numFmtId="191" fontId="0" fillId="3" borderId="1" xfId="3" applyNumberFormat="1" applyFont="1" applyAlignment="1">
      <alignment horizontal="center"/>
    </xf>
    <xf numFmtId="191" fontId="0" fillId="10" borderId="0" xfId="0" applyNumberFormat="1" applyFill="1"/>
    <xf numFmtId="191" fontId="0" fillId="10" borderId="0" xfId="0" applyNumberFormat="1" applyFill="1" applyAlignment="1">
      <alignment horizontal="center"/>
    </xf>
    <xf numFmtId="2" fontId="0" fillId="0" borderId="0" xfId="0" applyNumberFormat="1"/>
    <xf numFmtId="0" fontId="15" fillId="14" borderId="0" xfId="12" applyFont="1" applyAlignment="1">
      <alignment wrapText="1"/>
    </xf>
    <xf numFmtId="0" fontId="15" fillId="7" borderId="0" xfId="6" applyFont="1" applyAlignment="1">
      <alignment wrapText="1"/>
    </xf>
    <xf numFmtId="164" fontId="14" fillId="24" borderId="0" xfId="18" applyNumberFormat="1" applyFont="1"/>
    <xf numFmtId="164" fontId="14" fillId="25" borderId="0" xfId="19" applyNumberFormat="1" applyFont="1"/>
    <xf numFmtId="2" fontId="4" fillId="26" borderId="0" xfId="0" quotePrefix="1" applyNumberFormat="1" applyFont="1" applyFill="1"/>
    <xf numFmtId="192" fontId="0" fillId="0" borderId="17" xfId="0" applyNumberFormat="1" applyBorder="1"/>
    <xf numFmtId="0" fontId="21" fillId="0" borderId="0" xfId="0" applyFont="1" applyAlignment="1">
      <alignment horizontal="center"/>
    </xf>
    <xf numFmtId="0" fontId="17" fillId="0" borderId="0" xfId="0" applyFont="1"/>
    <xf numFmtId="165" fontId="17" fillId="0" borderId="0" xfId="0" applyNumberFormat="1" applyFont="1"/>
    <xf numFmtId="164" fontId="17" fillId="0" borderId="0" xfId="2" applyNumberFormat="1" applyFont="1" applyFill="1"/>
    <xf numFmtId="164" fontId="17" fillId="0" borderId="0" xfId="0" applyNumberFormat="1" applyFont="1"/>
    <xf numFmtId="192" fontId="17" fillId="0" borderId="0" xfId="2" applyNumberFormat="1" applyFont="1" applyFill="1"/>
    <xf numFmtId="193" fontId="17" fillId="0" borderId="0" xfId="1" applyNumberFormat="1" applyFont="1" applyFill="1"/>
    <xf numFmtId="192" fontId="17" fillId="0" borderId="0" xfId="0" applyNumberFormat="1" applyFont="1"/>
    <xf numFmtId="166" fontId="17" fillId="0" borderId="0" xfId="0" applyNumberFormat="1" applyFont="1"/>
    <xf numFmtId="0" fontId="17" fillId="0" borderId="13" xfId="0" applyFont="1" applyBorder="1"/>
    <xf numFmtId="192" fontId="17" fillId="0" borderId="13" xfId="2" applyNumberFormat="1" applyFont="1" applyFill="1" applyBorder="1"/>
    <xf numFmtId="164" fontId="17" fillId="0" borderId="13" xfId="0" applyNumberFormat="1" applyFont="1" applyBorder="1"/>
    <xf numFmtId="192" fontId="17" fillId="0" borderId="13" xfId="0" applyNumberFormat="1" applyFont="1" applyBorder="1"/>
    <xf numFmtId="0" fontId="17" fillId="0" borderId="0" xfId="2" applyFont="1" applyFill="1"/>
    <xf numFmtId="192" fontId="4" fillId="4" borderId="0" xfId="4" applyNumberFormat="1"/>
    <xf numFmtId="192" fontId="4" fillId="5" borderId="0" xfId="5" applyNumberFormat="1"/>
    <xf numFmtId="192" fontId="4" fillId="12" borderId="0" xfId="10" applyNumberFormat="1"/>
    <xf numFmtId="192" fontId="4" fillId="7" borderId="0" xfId="6" applyNumberFormat="1"/>
    <xf numFmtId="192" fontId="4" fillId="13" borderId="0" xfId="11" applyNumberFormat="1"/>
    <xf numFmtId="192" fontId="4" fillId="14" borderId="0" xfId="12" applyNumberFormat="1"/>
    <xf numFmtId="165" fontId="4" fillId="13" borderId="0" xfId="11" applyNumberFormat="1"/>
    <xf numFmtId="0" fontId="4" fillId="4" borderId="0" xfId="4"/>
    <xf numFmtId="170" fontId="0" fillId="10" borderId="0" xfId="0" applyNumberFormat="1" applyFill="1"/>
    <xf numFmtId="196" fontId="0" fillId="10" borderId="0" xfId="1" applyNumberFormat="1" applyFont="1" applyFill="1" applyBorder="1"/>
    <xf numFmtId="0" fontId="4" fillId="27" borderId="0" xfId="0" applyFont="1" applyFill="1" applyAlignment="1">
      <alignment horizontal="center"/>
    </xf>
    <xf numFmtId="0" fontId="22" fillId="27" borderId="0" xfId="0" applyFont="1" applyFill="1" applyAlignment="1">
      <alignment horizontal="center"/>
    </xf>
    <xf numFmtId="0" fontId="4" fillId="28" borderId="0" xfId="0" applyFont="1" applyFill="1"/>
    <xf numFmtId="191" fontId="18" fillId="24" borderId="0" xfId="18" applyNumberFormat="1" applyFont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4" fillId="9" borderId="3" xfId="0" applyFont="1" applyFill="1" applyBorder="1" applyAlignment="1">
      <alignment horizontal="center"/>
    </xf>
    <xf numFmtId="0" fontId="4" fillId="9" borderId="4" xfId="0" applyFont="1" applyFill="1" applyBorder="1" applyAlignment="1">
      <alignment horizontal="center"/>
    </xf>
    <xf numFmtId="192" fontId="0" fillId="0" borderId="5" xfId="0" applyNumberFormat="1" applyBorder="1"/>
    <xf numFmtId="192" fontId="0" fillId="0" borderId="6" xfId="0" applyNumberFormat="1" applyBorder="1"/>
    <xf numFmtId="165" fontId="0" fillId="0" borderId="5" xfId="0" applyNumberFormat="1" applyBorder="1"/>
    <xf numFmtId="165" fontId="0" fillId="0" borderId="6" xfId="0" applyNumberFormat="1" applyBorder="1"/>
    <xf numFmtId="192" fontId="0" fillId="0" borderId="7" xfId="0" applyNumberFormat="1" applyBorder="1"/>
    <xf numFmtId="192" fontId="0" fillId="0" borderId="8" xfId="0" applyNumberFormat="1" applyBorder="1"/>
    <xf numFmtId="192" fontId="0" fillId="0" borderId="9" xfId="0" applyNumberFormat="1" applyBorder="1"/>
    <xf numFmtId="0" fontId="23" fillId="2" borderId="0" xfId="2" applyFont="1"/>
    <xf numFmtId="0" fontId="24" fillId="0" borderId="0" xfId="0" applyFont="1"/>
    <xf numFmtId="197" fontId="0" fillId="0" borderId="0" xfId="0" applyNumberFormat="1"/>
    <xf numFmtId="0" fontId="4" fillId="7" borderId="0" xfId="6" applyAlignment="1">
      <alignment wrapText="1"/>
    </xf>
    <xf numFmtId="0" fontId="4" fillId="14" borderId="0" xfId="12" applyAlignment="1">
      <alignment wrapText="1"/>
    </xf>
    <xf numFmtId="0" fontId="0" fillId="9" borderId="0" xfId="0" applyFill="1"/>
    <xf numFmtId="198" fontId="0" fillId="0" borderId="0" xfId="1" applyNumberFormat="1" applyFont="1"/>
    <xf numFmtId="199" fontId="0" fillId="0" borderId="0" xfId="1" applyNumberFormat="1" applyFont="1"/>
    <xf numFmtId="0" fontId="4" fillId="9" borderId="0" xfId="0" applyFont="1" applyFill="1"/>
    <xf numFmtId="200" fontId="0" fillId="0" borderId="0" xfId="0" applyNumberFormat="1"/>
    <xf numFmtId="200" fontId="0" fillId="0" borderId="0" xfId="1" applyNumberFormat="1" applyFont="1"/>
    <xf numFmtId="0" fontId="0" fillId="10" borderId="0" xfId="0" applyFill="1" applyAlignment="1">
      <alignment horizontal="center"/>
    </xf>
    <xf numFmtId="0" fontId="25" fillId="0" borderId="0" xfId="0" applyFont="1" applyAlignment="1">
      <alignment horizontal="left" vertical="top" wrapText="1" indent="1"/>
    </xf>
  </cellXfs>
  <cellStyles count="20">
    <cellStyle name="20% - Accent1" xfId="15" builtinId="30"/>
    <cellStyle name="20% - Accent2" xfId="8" builtinId="34"/>
    <cellStyle name="20% - Accent4" xfId="13" builtinId="42"/>
    <cellStyle name="20% - Accent5" xfId="9" builtinId="46"/>
    <cellStyle name="40% - Accent1" xfId="16" builtinId="31"/>
    <cellStyle name="40% - Accent4" xfId="18" builtinId="43"/>
    <cellStyle name="40% - Accent6" xfId="19" builtinId="51"/>
    <cellStyle name="60% - Accent1" xfId="17" builtinId="32"/>
    <cellStyle name="Accent1" xfId="4" builtinId="29"/>
    <cellStyle name="Accent2" xfId="5" builtinId="33"/>
    <cellStyle name="Accent3" xfId="10" builtinId="37"/>
    <cellStyle name="Accent4" xfId="6" builtinId="41"/>
    <cellStyle name="Accent5" xfId="11" builtinId="45"/>
    <cellStyle name="Accent6" xfId="12" builtinId="49"/>
    <cellStyle name="Comma" xfId="1" builtinId="3"/>
    <cellStyle name="Good" xfId="2" builtinId="26"/>
    <cellStyle name="Hyperlink" xfId="7" builtinId="8"/>
    <cellStyle name="Input" xfId="14" builtinId="20"/>
    <cellStyle name="Normal" xfId="0" builtinId="0"/>
    <cellStyle name="Note" xfId="3" builtinId="10"/>
  </cellStyles>
  <dxfs count="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9EE8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/>
              <a:t>Position of Planets in Sky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flat" cmpd="dbl" algn="ctr">
              <a:noFill/>
              <a:round/>
            </a:ln>
            <a:effectLst/>
          </c:spPr>
          <c:marker>
            <c:symbol val="circle"/>
            <c:size val="6"/>
            <c:spPr>
              <a:noFill/>
              <a:ln w="34925" cap="flat" cmpd="dbl" algn="ctr">
                <a:solidFill>
                  <a:schemeClr val="accent1">
                    <a:lumMod val="75000"/>
                    <a:alpha val="70000"/>
                  </a:schemeClr>
                </a:solidFill>
                <a:round/>
              </a:ln>
              <a:effectLst/>
            </c:spPr>
          </c:marker>
          <c:dPt>
            <c:idx val="0"/>
            <c:marker>
              <c:symbol val="circle"/>
              <c:size val="6"/>
              <c:spPr>
                <a:solidFill>
                  <a:srgbClr val="FFFF00"/>
                </a:solidFill>
                <a:ln w="34925" cap="flat" cmpd="dbl" algn="ctr">
                  <a:solidFill>
                    <a:srgbClr val="FF0000"/>
                  </a:solidFill>
                  <a:round/>
                </a:ln>
                <a:effectLst/>
              </c:spPr>
            </c:marker>
            <c:bubble3D val="0"/>
            <c:spPr>
              <a:ln w="25400" cap="flat" cmpd="dbl" algn="ctr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5EE1-4FD3-9546-FF49BEF6DE5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558D263D-04DD-4EFC-8DB9-914B7152E01E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0CE0EAA2-7E67-430D-AF75-C3DCF84DE935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EE1-4FD3-9546-FF49BEF6DE5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5EE498F-AC22-4D78-9A45-57C9976A2FF2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CA267349-E064-4D05-B523-EF95B736D145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5EE1-4FD3-9546-FF49BEF6DE5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C0E6C3D-C701-476E-A2FC-E5F830D13D0A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5EE1-4FD3-9546-FF49BEF6DE5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9928E1E-5CBA-456F-B098-B5C985012350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0667008D-B163-4755-9076-65B63E64DC21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EE1-4FD3-9546-FF49BEF6DE5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76A0BEC-04C9-46E1-BB23-10F4A2A18749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1B810E05-5E0C-4BAE-8540-5614DBCD05CE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5EE1-4FD3-9546-FF49BEF6DE5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B43247F-2145-40BD-A643-DF7E4217CE9D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78F4B18F-F44F-4837-8DBD-42CFBD5C2F7C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EE1-4FD3-9546-FF49BEF6DE5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3B18258C-E3F0-4275-B675-3057E4024165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A24DCDF1-DA6B-4D69-B475-EFAB241DD742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5EE1-4FD3-9546-FF49BEF6DE5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E9DDC72-493F-49C5-9255-3B48EF782DF4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1E804099-7D8D-4E2A-9F29-CA723BA553A9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5EE1-4FD3-9546-FF49BEF6DE5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12B4AE78-9739-4D3C-BFA0-D7FDC082D824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B2D49360-F316-4068-BD10-C9434A63272E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5EE1-4FD3-9546-FF49BEF6DE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Chart!$B$4:$B$12</c:f>
              <c:numCache>
                <c:formatCode>#,##0.0_ ;[Red]\-#,##0.0\ </c:formatCode>
                <c:ptCount val="9"/>
                <c:pt idx="0">
                  <c:v>276.08553090326592</c:v>
                </c:pt>
                <c:pt idx="1">
                  <c:v>235.80113198215287</c:v>
                </c:pt>
                <c:pt idx="2">
                  <c:v>283.54588306639579</c:v>
                </c:pt>
                <c:pt idx="3">
                  <c:v>261.53527864541036</c:v>
                </c:pt>
                <c:pt idx="4">
                  <c:v>195.05697949839706</c:v>
                </c:pt>
                <c:pt idx="5">
                  <c:v>258.7411402365417</c:v>
                </c:pt>
                <c:pt idx="6">
                  <c:v>279.23741290765827</c:v>
                </c:pt>
                <c:pt idx="7">
                  <c:v>237.63791083554037</c:v>
                </c:pt>
                <c:pt idx="8">
                  <c:v>266.60528022071799</c:v>
                </c:pt>
              </c:numCache>
            </c:numRef>
          </c:xVal>
          <c:yVal>
            <c:numRef>
              <c:f>Chart!$C$4:$C$12</c:f>
              <c:numCache>
                <c:formatCode>#,##0.0_ ;[Red]\-#,##0.0\ </c:formatCode>
                <c:ptCount val="9"/>
                <c:pt idx="0">
                  <c:v>-16.343623617036076</c:v>
                </c:pt>
                <c:pt idx="1">
                  <c:v>46.106931073391337</c:v>
                </c:pt>
                <c:pt idx="2">
                  <c:v>-31.76264520114837</c:v>
                </c:pt>
                <c:pt idx="3">
                  <c:v>8.6528066075825478</c:v>
                </c:pt>
                <c:pt idx="4">
                  <c:v>63.402639226117131</c:v>
                </c:pt>
                <c:pt idx="5">
                  <c:v>13.084026657715198</c:v>
                </c:pt>
                <c:pt idx="6">
                  <c:v>-24.080627665726148</c:v>
                </c:pt>
                <c:pt idx="7">
                  <c:v>42.337923249666986</c:v>
                </c:pt>
                <c:pt idx="8">
                  <c:v>-1.4961428091013798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Chart!$D$4:$D$12</c15:f>
                <c15:dlblRangeCache>
                  <c:ptCount val="9"/>
                  <c:pt idx="0">
                    <c:v>Sun</c:v>
                  </c:pt>
                  <c:pt idx="1">
                    <c:v>Moon</c:v>
                  </c:pt>
                  <c:pt idx="2">
                    <c:v>Mercury</c:v>
                  </c:pt>
                  <c:pt idx="3">
                    <c:v>Venus</c:v>
                  </c:pt>
                  <c:pt idx="4">
                    <c:v>Mars</c:v>
                  </c:pt>
                  <c:pt idx="5">
                    <c:v>Jupiter</c:v>
                  </c:pt>
                  <c:pt idx="6">
                    <c:v>Saturn</c:v>
                  </c:pt>
                  <c:pt idx="7">
                    <c:v>Uranus</c:v>
                  </c:pt>
                  <c:pt idx="8">
                    <c:v>Neptune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5EE1-4FD3-9546-FF49BEF6D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5779984"/>
        <c:axId val="785778016"/>
      </c:scatterChart>
      <c:valAx>
        <c:axId val="785779984"/>
        <c:scaling>
          <c:orientation val="minMax"/>
          <c:max val="3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True Bearing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_ ;[Red]\-#,##0.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778016"/>
        <c:crosses val="autoZero"/>
        <c:crossBetween val="midCat"/>
        <c:majorUnit val="90"/>
      </c:valAx>
      <c:valAx>
        <c:axId val="785778016"/>
        <c:scaling>
          <c:orientation val="minMax"/>
          <c:max val="40"/>
          <c:min val="-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Altitude angle from horizontal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_ ;[Red]\-#,##0.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77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54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Chart!$E$16:$E$18</c:f>
              <c:numCache>
                <c:formatCode>#,##0.0_ ;[Red]\-#,##0.0\ </c:formatCode>
                <c:ptCount val="3"/>
                <c:pt idx="0">
                  <c:v>0.9049948183026868</c:v>
                </c:pt>
                <c:pt idx="1">
                  <c:v>4.7195561468080394</c:v>
                </c:pt>
                <c:pt idx="2">
                  <c:v>8.3434082758887538</c:v>
                </c:pt>
              </c:numCache>
            </c:numRef>
          </c:xVal>
          <c:yVal>
            <c:numRef>
              <c:f>Chart!$F$16:$F$18</c:f>
              <c:numCache>
                <c:formatCode>#,##0.0_ ;[Red]\-#,##0.0\ </c:formatCode>
                <c:ptCount val="3"/>
                <c:pt idx="0">
                  <c:v>-0.40067213462757967</c:v>
                </c:pt>
                <c:pt idx="1">
                  <c:v>1.4896450304843225</c:v>
                </c:pt>
                <c:pt idx="2">
                  <c:v>-5.2155144931375128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43-4381-A932-242E87CF6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917056"/>
        <c:axId val="673909512"/>
      </c:scatterChart>
      <c:valAx>
        <c:axId val="673917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 ;[Red]\-#,##0.0\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909512"/>
        <c:crosses val="autoZero"/>
        <c:crossBetween val="midCat"/>
      </c:valAx>
      <c:valAx>
        <c:axId val="673909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 ;[Red]\-#,##0.0\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91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Chart!$E$21:$E$23</c:f>
              <c:numCache>
                <c:formatCode>#,##0.0_ ;[Red]\-#,##0.0\ </c:formatCode>
                <c:ptCount val="3"/>
                <c:pt idx="0">
                  <c:v>-0.9049948183026868</c:v>
                </c:pt>
                <c:pt idx="1">
                  <c:v>4.7195561468080394</c:v>
                </c:pt>
                <c:pt idx="2">
                  <c:v>8.3434082758887538</c:v>
                </c:pt>
              </c:numCache>
            </c:numRef>
          </c:xVal>
          <c:yVal>
            <c:numRef>
              <c:f>Chart!$F$21:$F$23</c:f>
              <c:numCache>
                <c:formatCode>#,##0.0_ ;[Red]\-#,##0.0\ </c:formatCode>
                <c:ptCount val="3"/>
                <c:pt idx="0">
                  <c:v>0.40067213462757967</c:v>
                </c:pt>
                <c:pt idx="1">
                  <c:v>1.4896450304843225</c:v>
                </c:pt>
                <c:pt idx="2">
                  <c:v>-5.2155144931375128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BB-46A1-8923-4AF2C7ADA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917056"/>
        <c:axId val="673909512"/>
      </c:scatterChart>
      <c:valAx>
        <c:axId val="673917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 ;[Red]\-#,##0.0\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909512"/>
        <c:crosses val="autoZero"/>
        <c:crossBetween val="midCat"/>
      </c:valAx>
      <c:valAx>
        <c:axId val="673909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 ;[Red]\-#,##0.0\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91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/>
              <a:t>Local Solar System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flat" cmpd="dbl" algn="ctr">
              <a:noFill/>
              <a:round/>
            </a:ln>
            <a:effectLst/>
          </c:spPr>
          <c:marker>
            <c:symbol val="circle"/>
            <c:size val="6"/>
            <c:spPr>
              <a:noFill/>
              <a:ln w="34925" cap="flat" cmpd="dbl" algn="ctr">
                <a:solidFill>
                  <a:schemeClr val="accent1">
                    <a:lumMod val="75000"/>
                    <a:alpha val="70000"/>
                  </a:schemeClr>
                </a:solidFill>
                <a:round/>
              </a:ln>
              <a:effectLst/>
            </c:spPr>
          </c:marker>
          <c:dLbls>
            <c:dLbl>
              <c:idx val="0"/>
              <c:layout>
                <c:manualLayout>
                  <c:x val="1.4933333333333333E-2"/>
                  <c:y val="2.307894237318592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Mercury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0005-4035-8ED4-22D40876EC80}"/>
                </c:ext>
              </c:extLst>
            </c:dLbl>
            <c:dLbl>
              <c:idx val="1"/>
              <c:layout>
                <c:manualLayout>
                  <c:x val="-8.533333333333333E-2"/>
                  <c:y val="3.7765542065213459E-2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Venus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0005-4035-8ED4-22D40876EC80}"/>
                </c:ext>
              </c:extLst>
            </c:dLbl>
            <c:dLbl>
              <c:idx val="2"/>
              <c:layout>
                <c:manualLayout>
                  <c:x val="1.2800000000000001E-2"/>
                  <c:y val="-2.727511371376535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Mars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0005-4035-8ED4-22D40876EC80}"/>
                </c:ext>
              </c:extLst>
            </c:dLbl>
            <c:dLbl>
              <c:idx val="3"/>
              <c:layout>
                <c:manualLayout>
                  <c:x val="1.5377805774278058E-2"/>
                  <c:y val="-2.5177028043475717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Jupiter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0005-4035-8ED4-22D40876EC80}"/>
                </c:ext>
              </c:extLst>
            </c:dLbl>
            <c:dLbl>
              <c:idx val="4"/>
              <c:layout>
                <c:manualLayout>
                  <c:x val="1.2800000000000001E-2"/>
                  <c:y val="-2.517702804347564E-2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Saturn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0005-4035-8ED4-22D40876EC80}"/>
                </c:ext>
              </c:extLst>
            </c:dLbl>
            <c:dLbl>
              <c:idx val="5"/>
              <c:layout>
                <c:manualLayout>
                  <c:x val="-0.10026666666666674"/>
                  <c:y val="-2.517702804347564E-2"/>
                </c:manualLayout>
              </c:layout>
              <c:tx>
                <c:rich>
                  <a:bodyPr/>
                  <a:lstStyle/>
                  <a:p>
                    <a:r>
                      <a:rPr lang="en-US" sz="1100" b="1"/>
                      <a:t>Earth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0005-4035-8ED4-22D40876EC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(Chart!$E$6:$E$10,Chart!$E$21)</c:f>
              <c:numCache>
                <c:formatCode>#,##0.0_ ;[Red]\-#,##0.0\ </c:formatCode>
                <c:ptCount val="6"/>
                <c:pt idx="0">
                  <c:v>0.10425064030615573</c:v>
                </c:pt>
                <c:pt idx="1">
                  <c:v>0.47975650113082752</c:v>
                </c:pt>
                <c:pt idx="2">
                  <c:v>-0.66735215617622834</c:v>
                </c:pt>
                <c:pt idx="3">
                  <c:v>4.7195561468080394</c:v>
                </c:pt>
                <c:pt idx="4">
                  <c:v>8.3434082758887538</c:v>
                </c:pt>
                <c:pt idx="5">
                  <c:v>-0.9049948183026868</c:v>
                </c:pt>
              </c:numCache>
            </c:numRef>
          </c:xVal>
          <c:yVal>
            <c:numRef>
              <c:f>(Chart!$F$6:$F$10,Chart!$F$21)</c:f>
              <c:numCache>
                <c:formatCode>#,##0.0_ ;[Red]\-#,##0.0\ </c:formatCode>
                <c:ptCount val="6"/>
                <c:pt idx="0">
                  <c:v>-0.44061275415502704</c:v>
                </c:pt>
                <c:pt idx="1">
                  <c:v>0.54016662575049057</c:v>
                </c:pt>
                <c:pt idx="2">
                  <c:v>1.4784031675567961</c:v>
                </c:pt>
                <c:pt idx="3">
                  <c:v>1.4896450304843225</c:v>
                </c:pt>
                <c:pt idx="4">
                  <c:v>-5.2155144931375128</c:v>
                </c:pt>
                <c:pt idx="5">
                  <c:v>0.40067213462757967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05-4035-8ED4-22D40876E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893424"/>
        <c:axId val="736900640"/>
      </c:scatterChart>
      <c:valAx>
        <c:axId val="736893424"/>
        <c:scaling>
          <c:orientation val="minMax"/>
          <c:max val="10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AU units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_ ;[Red]\-#,##0.0\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900640"/>
        <c:crosses val="autoZero"/>
        <c:crossBetween val="midCat"/>
        <c:majorUnit val="5"/>
      </c:valAx>
      <c:valAx>
        <c:axId val="736900640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AU</a:t>
                </a:r>
                <a:r>
                  <a:rPr lang="en-GB" baseline="0"/>
                  <a:t> UNITS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1.2800000000000001E-2"/>
              <c:y val="0.4537267205417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_ ;[Red]\-#,##0.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893424"/>
        <c:crosses val="autoZero"/>
        <c:crossBetween val="midCat"/>
        <c:majorUnit val="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54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Elipse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Orbits!$D$14:$D$50</c:f>
              <c:numCache>
                <c:formatCode>_-* #,##0.0_-;\-* #,##0.0_-;_-* "-"??_-;_-@_-</c:formatCode>
                <c:ptCount val="37"/>
                <c:pt idx="0">
                  <c:v>0.99588436138678926</c:v>
                </c:pt>
                <c:pt idx="1">
                  <c:v>0.9835765677199485</c:v>
                </c:pt>
                <c:pt idx="2">
                  <c:v>0.9412538962295578</c:v>
                </c:pt>
                <c:pt idx="3">
                  <c:v>0.86994914038852078</c:v>
                </c:pt>
                <c:pt idx="4">
                  <c:v>0.77161268876665123</c:v>
                </c:pt>
                <c:pt idx="5">
                  <c:v>0.64908024835009137</c:v>
                </c:pt>
                <c:pt idx="6">
                  <c:v>0.50600628610263088</c:v>
                </c:pt>
                <c:pt idx="7">
                  <c:v>0.3467625113950577</c:v>
                </c:pt>
                <c:pt idx="8">
                  <c:v>0.17630299267328181</c:v>
                </c:pt>
                <c:pt idx="9">
                  <c:v>6.2251856661587289E-17</c:v>
                </c:pt>
                <c:pt idx="10">
                  <c:v>-0.17654288603794813</c:v>
                </c:pt>
                <c:pt idx="11">
                  <c:v>-0.347691766328385</c:v>
                </c:pt>
                <c:pt idx="12">
                  <c:v>-0.50798743543373115</c:v>
                </c:pt>
                <c:pt idx="13">
                  <c:v>-0.652343745411052</c:v>
                </c:pt>
                <c:pt idx="14">
                  <c:v>-0.77622902644209246</c:v>
                </c:pt>
                <c:pt idx="15">
                  <c:v>-0.87582157013347273</c:v>
                </c:pt>
                <c:pt idx="16">
                  <c:v>-0.94813224244675676</c:v>
                </c:pt>
                <c:pt idx="17">
                  <c:v>-0.99108984696217894</c:v>
                </c:pt>
                <c:pt idx="18">
                  <c:v>-1.0035875853088922</c:v>
                </c:pt>
                <c:pt idx="19">
                  <c:v>-0.98549154288993235</c:v>
                </c:pt>
                <c:pt idx="20">
                  <c:v>-0.93761430000648927</c:v>
                </c:pt>
                <c:pt idx="21">
                  <c:v>-0.86165835356220322</c:v>
                </c:pt>
                <c:pt idx="22">
                  <c:v>-0.76013495601791237</c:v>
                </c:pt>
                <c:pt idx="23">
                  <c:v>-0.6362642549747326</c:v>
                </c:pt>
                <c:pt idx="24">
                  <c:v>-0.49386234313984217</c:v>
                </c:pt>
                <c:pt idx="25">
                  <c:v>-0.33722014725530386</c:v>
                </c:pt>
                <c:pt idx="26">
                  <c:v>-0.1709781589379652</c:v>
                </c:pt>
                <c:pt idx="27">
                  <c:v>-1.8078350967490794E-16</c:v>
                </c:pt>
                <c:pt idx="28">
                  <c:v>0.17075314072753836</c:v>
                </c:pt>
                <c:pt idx="29">
                  <c:v>0.33634595279631579</c:v>
                </c:pt>
                <c:pt idx="30">
                  <c:v>0.49198963458224454</c:v>
                </c:pt>
                <c:pt idx="31">
                  <c:v>0.63315927482575896</c:v>
                </c:pt>
                <c:pt idx="32">
                  <c:v>0.75570751509183864</c:v>
                </c:pt>
                <c:pt idx="33">
                  <c:v>0.85597370194366362</c:v>
                </c:pt>
                <c:pt idx="34">
                  <c:v>0.93088717344965866</c:v>
                </c:pt>
                <c:pt idx="35">
                  <c:v>0.97806258533646584</c:v>
                </c:pt>
                <c:pt idx="36">
                  <c:v>0.99588436138678926</c:v>
                </c:pt>
              </c:numCache>
            </c:numRef>
          </c:xVal>
          <c:yVal>
            <c:numRef>
              <c:f>Orbits!$E$14:$E$50</c:f>
              <c:numCache>
                <c:formatCode>_-* #,##0.0_-;\-* #,##0.0_-;_-* "-"??_-;_-@_-</c:formatCode>
                <c:ptCount val="37"/>
                <c:pt idx="0">
                  <c:v>0</c:v>
                </c:pt>
                <c:pt idx="1">
                  <c:v>0.17343108648165353</c:v>
                </c:pt>
                <c:pt idx="2">
                  <c:v>0.34258840111464783</c:v>
                </c:pt>
                <c:pt idx="3">
                  <c:v>0.50226537038459584</c:v>
                </c:pt>
                <c:pt idx="4">
                  <c:v>0.64745992255580631</c:v>
                </c:pt>
                <c:pt idx="5">
                  <c:v>0.77354371785316334</c:v>
                </c:pt>
                <c:pt idx="6">
                  <c:v>0.87642859647898996</c:v>
                </c:pt>
                <c:pt idx="7">
                  <c:v>0.95272216997129688</c:v>
                </c:pt>
                <c:pt idx="8">
                  <c:v>0.99986395709217701</c:v>
                </c:pt>
                <c:pt idx="9">
                  <c:v>1.0162336884509309</c:v>
                </c:pt>
                <c:pt idx="10">
                  <c:v>1.0012244599698565</c:v>
                </c:pt>
                <c:pt idx="11">
                  <c:v>0.95527527691753089</c:v>
                </c:pt>
                <c:pt idx="12">
                  <c:v>0.87986004777783744</c:v>
                </c:pt>
                <c:pt idx="13">
                  <c:v>0.77743300219998379</c:v>
                </c:pt>
                <c:pt idx="14">
                  <c:v>0.65133348979665917</c:v>
                </c:pt>
                <c:pt idx="15">
                  <c:v>0.50565581927864101</c:v>
                </c:pt>
                <c:pt idx="16">
                  <c:v>0.34509191439868597</c:v>
                </c:pt>
                <c:pt idx="17">
                  <c:v>0.17475588032565556</c:v>
                </c:pt>
                <c:pt idx="18">
                  <c:v>1.2295437795066623E-16</c:v>
                </c:pt>
                <c:pt idx="19">
                  <c:v>-0.17376874827150862</c:v>
                </c:pt>
                <c:pt idx="20">
                  <c:v>-0.34126369642470317</c:v>
                </c:pt>
                <c:pt idx="21">
                  <c:v>-0.49747868237862791</c:v>
                </c:pt>
                <c:pt idx="22">
                  <c:v>-0.63782896123958821</c:v>
                </c:pt>
                <c:pt idx="23">
                  <c:v>-0.75827021170541564</c:v>
                </c:pt>
                <c:pt idx="24">
                  <c:v>-0.85539467026322058</c:v>
                </c:pt>
                <c:pt idx="25">
                  <c:v>-0.92650473996911054</c:v>
                </c:pt>
                <c:pt idx="26">
                  <c:v>-0.96966532433658936</c:v>
                </c:pt>
                <c:pt idx="27">
                  <c:v>-0.98373661820649594</c:v>
                </c:pt>
                <c:pt idx="28">
                  <c:v>-0.96838918265071483</c:v>
                </c:pt>
                <c:pt idx="29">
                  <c:v>-0.92410291043282711</c:v>
                </c:pt>
                <c:pt idx="30">
                  <c:v>-0.85215104389369323</c:v>
                </c:pt>
                <c:pt idx="31">
                  <c:v>-0.75456984045794306</c:v>
                </c:pt>
                <c:pt idx="32">
                  <c:v>-0.63411389719146105</c:v>
                </c:pt>
                <c:pt idx="33">
                  <c:v>-0.49419664723641527</c:v>
                </c:pt>
                <c:pt idx="34">
                  <c:v>-0.33881522259587504</c:v>
                </c:pt>
                <c:pt idx="35">
                  <c:v>-0.17245882261629444</c:v>
                </c:pt>
                <c:pt idx="36">
                  <c:v>-2.4402123732413652E-16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B5-47F4-8E20-34A2712F738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Orbits!$I$14:$I$50</c:f>
              <c:numCache>
                <c:formatCode>_-* #,##0.0_-;\-* #,##0.0_-;_-* "-"??_-;_-@_-</c:formatCode>
                <c:ptCount val="37"/>
                <c:pt idx="0">
                  <c:v>0.31431251987112502</c:v>
                </c:pt>
                <c:pt idx="1">
                  <c:v>0.30572725726892358</c:v>
                </c:pt>
                <c:pt idx="2">
                  <c:v>0.28958778754933978</c:v>
                </c:pt>
                <c:pt idx="3">
                  <c:v>0.26630303651175924</c:v>
                </c:pt>
                <c:pt idx="4">
                  <c:v>0.23626754686950455</c:v>
                </c:pt>
                <c:pt idx="5">
                  <c:v>0.19987395010366249</c:v>
                </c:pt>
                <c:pt idx="6">
                  <c:v>0.15753499914482486</c:v>
                </c:pt>
                <c:pt idx="7">
                  <c:v>0.10971494193586198</c:v>
                </c:pt>
                <c:pt idx="8">
                  <c:v>5.6970313522733844E-2</c:v>
                </c:pt>
                <c:pt idx="9">
                  <c:v>2.0638691713960735E-17</c:v>
                </c:pt>
                <c:pt idx="10">
                  <c:v>-6.0296570591908259E-2</c:v>
                </c:pt>
                <c:pt idx="11">
                  <c:v>-0.12275634493434835</c:v>
                </c:pt>
                <c:pt idx="12">
                  <c:v>-0.18589138729542143</c:v>
                </c:pt>
                <c:pt idx="13">
                  <c:v>-0.2478411271254484</c:v>
                </c:pt>
                <c:pt idx="14">
                  <c:v>-0.30635570210666263</c:v>
                </c:pt>
                <c:pt idx="15">
                  <c:v>-0.35883319886721338</c:v>
                </c:pt>
                <c:pt idx="16">
                  <c:v>-0.40243490641329849</c:v>
                </c:pt>
                <c:pt idx="17">
                  <c:v>-0.43429565584078483</c:v>
                </c:pt>
                <c:pt idx="18">
                  <c:v>-0.45182700808395859</c:v>
                </c:pt>
                <c:pt idx="19">
                  <c:v>-0.45307969153563643</c:v>
                </c:pt>
                <c:pt idx="20">
                  <c:v>-0.43709653184002711</c:v>
                </c:pt>
                <c:pt idx="21">
                  <c:v>-0.4041647376511549</c:v>
                </c:pt>
                <c:pt idx="22">
                  <c:v>-0.35588461085070772</c:v>
                </c:pt>
                <c:pt idx="23">
                  <c:v>-0.29501661152643804</c:v>
                </c:pt>
                <c:pt idx="24">
                  <c:v>-0.22513543599955685</c:v>
                </c:pt>
                <c:pt idx="25">
                  <c:v>-0.15017806069665751</c:v>
                </c:pt>
                <c:pt idx="26">
                  <c:v>-7.3995599670121939E-2</c:v>
                </c:pt>
                <c:pt idx="27">
                  <c:v>-7.5729391664124647E-17</c:v>
                </c:pt>
                <c:pt idx="28">
                  <c:v>6.904824412674257E-2</c:v>
                </c:pt>
                <c:pt idx="29">
                  <c:v>0.13111190219555344</c:v>
                </c:pt>
                <c:pt idx="30">
                  <c:v>0.18484011065967687</c:v>
                </c:pt>
                <c:pt idx="31">
                  <c:v>0.2294656880590055</c:v>
                </c:pt>
                <c:pt idx="32">
                  <c:v>0.26467560655366335</c:v>
                </c:pt>
                <c:pt idx="33">
                  <c:v>0.29048243058383044</c:v>
                </c:pt>
                <c:pt idx="34">
                  <c:v>0.30711261794731248</c:v>
                </c:pt>
                <c:pt idx="35">
                  <c:v>0.31491821491234545</c:v>
                </c:pt>
                <c:pt idx="36">
                  <c:v>0.31431251987112502</c:v>
                </c:pt>
              </c:numCache>
            </c:numRef>
          </c:xVal>
          <c:yVal>
            <c:numRef>
              <c:f>Orbits!$J$14:$J$50</c:f>
              <c:numCache>
                <c:formatCode>_-* #,##0.0_-;\-* #,##0.0_-;_-* "-"??_-;_-@_-</c:formatCode>
                <c:ptCount val="37"/>
                <c:pt idx="0">
                  <c:v>0</c:v>
                </c:pt>
                <c:pt idx="1">
                  <c:v>5.390796419450939E-2</c:v>
                </c:pt>
                <c:pt idx="2">
                  <c:v>0.10540133487496443</c:v>
                </c:pt>
                <c:pt idx="3">
                  <c:v>0.15375012981607888</c:v>
                </c:pt>
                <c:pt idx="4">
                  <c:v>0.19825201143736196</c:v>
                </c:pt>
                <c:pt idx="5">
                  <c:v>0.23820049810203561</c:v>
                </c:pt>
                <c:pt idx="6">
                  <c:v>0.27285862248915621</c:v>
                </c:pt>
                <c:pt idx="7">
                  <c:v>0.30143932554555569</c:v>
                </c:pt>
                <c:pt idx="8">
                  <c:v>0.32309470333940127</c:v>
                </c:pt>
                <c:pt idx="9">
                  <c:v>0.3369174018262156</c:v>
                </c:pt>
                <c:pt idx="10">
                  <c:v>0.34195884458318521</c:v>
                </c:pt>
                <c:pt idx="11">
                  <c:v>0.33727028580190493</c:v>
                </c:pt>
                <c:pt idx="12">
                  <c:v>0.3219733274851338</c:v>
                </c:pt>
                <c:pt idx="13">
                  <c:v>0.29536555364435141</c:v>
                </c:pt>
                <c:pt idx="14">
                  <c:v>0.25706295664675738</c:v>
                </c:pt>
                <c:pt idx="15">
                  <c:v>0.20717244396016013</c:v>
                </c:pt>
                <c:pt idx="16">
                  <c:v>0.14647432716414555</c:v>
                </c:pt>
                <c:pt idx="17">
                  <c:v>7.6578041729208179E-2</c:v>
                </c:pt>
                <c:pt idx="18">
                  <c:v>5.5355516084004642E-17</c:v>
                </c:pt>
                <c:pt idx="19">
                  <c:v>-7.9890174028801483E-2</c:v>
                </c:pt>
                <c:pt idx="20">
                  <c:v>-0.1590901270907592</c:v>
                </c:pt>
                <c:pt idx="21">
                  <c:v>-0.23334462007984882</c:v>
                </c:pt>
                <c:pt idx="22">
                  <c:v>-0.29862264570649866</c:v>
                </c:pt>
                <c:pt idx="23">
                  <c:v>-0.35158710666160281</c:v>
                </c:pt>
                <c:pt idx="24">
                  <c:v>-0.38994601373540327</c:v>
                </c:pt>
                <c:pt idx="25">
                  <c:v>-0.41261083066155246</c:v>
                </c:pt>
                <c:pt idx="26">
                  <c:v>-0.41964989914087281</c:v>
                </c:pt>
                <c:pt idx="27">
                  <c:v>-0.41208280439109757</c:v>
                </c:pt>
                <c:pt idx="28">
                  <c:v>-0.39159205159252131</c:v>
                </c:pt>
                <c:pt idx="29">
                  <c:v>-0.3602269907040257</c:v>
                </c:pt>
                <c:pt idx="30">
                  <c:v>-0.3201524629392139</c:v>
                </c:pt>
                <c:pt idx="31">
                  <c:v>-0.27346655812142218</c:v>
                </c:pt>
                <c:pt idx="32">
                  <c:v>-0.22208920384080194</c:v>
                </c:pt>
                <c:pt idx="33">
                  <c:v>-0.16771010949243148</c:v>
                </c:pt>
                <c:pt idx="34">
                  <c:v>-0.11177985150038999</c:v>
                </c:pt>
                <c:pt idx="35">
                  <c:v>-5.5528578005593382E-2</c:v>
                </c:pt>
                <c:pt idx="36">
                  <c:v>-7.7015899615708743E-17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DB5-47F4-8E20-34A2712F7388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Orbits!$N$14:$N$50</c:f>
              <c:numCache>
                <c:formatCode>_-* #,##0.0_-;\-* #,##0.0_-;_-* "-"??_-;_-@_-</c:formatCode>
                <c:ptCount val="37"/>
                <c:pt idx="0">
                  <c:v>0.72050300143027768</c:v>
                </c:pt>
                <c:pt idx="1">
                  <c:v>0.70891923458244865</c:v>
                </c:pt>
                <c:pt idx="2">
                  <c:v>0.67593309219368236</c:v>
                </c:pt>
                <c:pt idx="3">
                  <c:v>0.62257832569691185</c:v>
                </c:pt>
                <c:pt idx="4">
                  <c:v>0.55048220743754395</c:v>
                </c:pt>
                <c:pt idx="5">
                  <c:v>0.46181543265617275</c:v>
                </c:pt>
                <c:pt idx="6">
                  <c:v>0.3592285772044897</c:v>
                </c:pt>
                <c:pt idx="7">
                  <c:v>0.24577674767675131</c:v>
                </c:pt>
                <c:pt idx="8">
                  <c:v>0.12483410445591876</c:v>
                </c:pt>
                <c:pt idx="9">
                  <c:v>4.4063211238969108E-17</c:v>
                </c:pt>
                <c:pt idx="10">
                  <c:v>-0.12500142161296993</c:v>
                </c:pt>
                <c:pt idx="11">
                  <c:v>-0.24642615902775411</c:v>
                </c:pt>
                <c:pt idx="12">
                  <c:v>-0.36061760224210759</c:v>
                </c:pt>
                <c:pt idx="13">
                  <c:v>-0.46411361787904004</c:v>
                </c:pt>
                <c:pt idx="14">
                  <c:v>-0.55375071777627971</c:v>
                </c:pt>
                <c:pt idx="15">
                  <c:v>-0.62676230124858789</c:v>
                </c:pt>
                <c:pt idx="16">
                  <c:v>-0.68086776952037242</c:v>
                </c:pt>
                <c:pt idx="17">
                  <c:v>-0.71434923191832822</c:v>
                </c:pt>
                <c:pt idx="18">
                  <c:v>-0.72611260336010908</c:v>
                </c:pt>
                <c:pt idx="19">
                  <c:v>-0.71573016809167289</c:v>
                </c:pt>
                <c:pt idx="20">
                  <c:v>-0.68346217623297145</c:v>
                </c:pt>
                <c:pt idx="21">
                  <c:v>-0.63025574683570729</c:v>
                </c:pt>
                <c:pt idx="22">
                  <c:v>-0.55772024856080893</c:v>
                </c:pt>
                <c:pt idx="23">
                  <c:v>-0.46807936674411232</c:v>
                </c:pt>
                <c:pt idx="24">
                  <c:v>-0.36410117235428591</c:v>
                </c:pt>
                <c:pt idx="25">
                  <c:v>-0.2490085988731959</c:v>
                </c:pt>
                <c:pt idx="26">
                  <c:v>-0.12637371785250268</c:v>
                </c:pt>
                <c:pt idx="27">
                  <c:v>-1.3366235808193767E-16</c:v>
                </c:pt>
                <c:pt idx="28">
                  <c:v>0.12620270934547465</c:v>
                </c:pt>
                <c:pt idx="29">
                  <c:v>0.24834552341346808</c:v>
                </c:pt>
                <c:pt idx="30">
                  <c:v>0.36268523438830536</c:v>
                </c:pt>
                <c:pt idx="31">
                  <c:v>0.46574183765301758</c:v>
                </c:pt>
                <c:pt idx="32">
                  <c:v>0.55440485028062991</c:v>
                </c:pt>
                <c:pt idx="33">
                  <c:v>0.62602515745429022</c:v>
                </c:pt>
                <c:pt idx="34">
                  <c:v>0.67848995797630129</c:v>
                </c:pt>
                <c:pt idx="35">
                  <c:v>0.71027923668555415</c:v>
                </c:pt>
                <c:pt idx="36">
                  <c:v>0.72050300143027768</c:v>
                </c:pt>
              </c:numCache>
            </c:numRef>
          </c:xVal>
          <c:yVal>
            <c:numRef>
              <c:f>Orbits!$O$14:$O$50</c:f>
              <c:numCache>
                <c:formatCode>_-* #,##0.0_-;\-* #,##0.0_-;_-* "-"??_-;_-@_-</c:formatCode>
                <c:ptCount val="37"/>
                <c:pt idx="0">
                  <c:v>0</c:v>
                </c:pt>
                <c:pt idx="1">
                  <c:v>0.12500158820007917</c:v>
                </c:pt>
                <c:pt idx="2">
                  <c:v>0.24601952591401308</c:v>
                </c:pt>
                <c:pt idx="3">
                  <c:v>0.35944576393273847</c:v>
                </c:pt>
                <c:pt idx="4">
                  <c:v>0.461909417230498</c:v>
                </c:pt>
                <c:pt idx="5">
                  <c:v>0.55037020098344325</c:v>
                </c:pt>
                <c:pt idx="6">
                  <c:v>0.62220214724885503</c:v>
                </c:pt>
                <c:pt idx="7">
                  <c:v>0.67526606446887028</c:v>
                </c:pt>
                <c:pt idx="8">
                  <c:v>0.70796938706910995</c:v>
                </c:pt>
                <c:pt idx="9">
                  <c:v>0.71931219539032343</c:v>
                </c:pt>
                <c:pt idx="10">
                  <c:v>0.70891828982000482</c:v>
                </c:pt>
                <c:pt idx="11">
                  <c:v>0.67705030749168826</c:v>
                </c:pt>
                <c:pt idx="12">
                  <c:v>0.62460800918699499</c:v>
                </c:pt>
                <c:pt idx="13">
                  <c:v>0.55310907147924226</c:v>
                </c:pt>
                <c:pt idx="14">
                  <c:v>0.46465202305023057</c:v>
                </c:pt>
                <c:pt idx="15">
                  <c:v>0.36186138334378143</c:v>
                </c:pt>
                <c:pt idx="16">
                  <c:v>0.24781560157663673</c:v>
                </c:pt>
                <c:pt idx="17">
                  <c:v>0.12595904323556978</c:v>
                </c:pt>
                <c:pt idx="18">
                  <c:v>8.8959573409631329E-17</c:v>
                </c:pt>
                <c:pt idx="19">
                  <c:v>-0.1262025395415669</c:v>
                </c:pt>
                <c:pt idx="20">
                  <c:v>-0.24875988839560306</c:v>
                </c:pt>
                <c:pt idx="21">
                  <c:v>-0.36387832509390428</c:v>
                </c:pt>
                <c:pt idx="22">
                  <c:v>-0.46798285486747565</c:v>
                </c:pt>
                <c:pt idx="23">
                  <c:v>-0.55783526693651841</c:v>
                </c:pt>
                <c:pt idx="24">
                  <c:v>-0.63064172961301512</c:v>
                </c:pt>
                <c:pt idx="25">
                  <c:v>-0.68414550265413987</c:v>
                </c:pt>
                <c:pt idx="26">
                  <c:v>-0.71670096853439647</c:v>
                </c:pt>
                <c:pt idx="27">
                  <c:v>-0.72732605068614387</c:v>
                </c:pt>
                <c:pt idx="28">
                  <c:v>-0.71573113109748998</c:v>
                </c:pt>
                <c:pt idx="29">
                  <c:v>-0.6823237178011422</c:v>
                </c:pt>
                <c:pt idx="30">
                  <c:v>-0.62818925311557172</c:v>
                </c:pt>
                <c:pt idx="31">
                  <c:v>-0.55504950824441313</c:v>
                </c:pt>
                <c:pt idx="32">
                  <c:v>-0.465200905393372</c:v>
                </c:pt>
                <c:pt idx="33">
                  <c:v>-0.36143579317571278</c:v>
                </c:pt>
                <c:pt idx="34">
                  <c:v>-0.24695014895190007</c:v>
                </c:pt>
                <c:pt idx="35">
                  <c:v>-0.12524139326467698</c:v>
                </c:pt>
                <c:pt idx="36">
                  <c:v>-1.7654462779186558E-16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DB5-47F4-8E20-34A2712F7388}"/>
            </c:ext>
          </c:extLst>
        </c:ser>
        <c:ser>
          <c:idx val="3"/>
          <c:order val="3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Orbits!$S$14:$S$50</c:f>
              <c:numCache>
                <c:formatCode>_-* #,##0.0_-;\-* #,##0.0_-;_-* "-"??_-;_-@_-</c:formatCode>
                <c:ptCount val="37"/>
                <c:pt idx="0">
                  <c:v>1.4708552998962341</c:v>
                </c:pt>
                <c:pt idx="1">
                  <c:v>1.4713516148640002</c:v>
                </c:pt>
                <c:pt idx="2">
                  <c:v>1.4269179837660351</c:v>
                </c:pt>
                <c:pt idx="3">
                  <c:v>1.3367073897226225</c:v>
                </c:pt>
                <c:pt idx="4">
                  <c:v>1.2013678794313745</c:v>
                </c:pt>
                <c:pt idx="5">
                  <c:v>1.0233028567318176</c:v>
                </c:pt>
                <c:pt idx="6">
                  <c:v>0.80685864531994655</c:v>
                </c:pt>
                <c:pt idx="7">
                  <c:v>0.55838876340151677</c:v>
                </c:pt>
                <c:pt idx="8">
                  <c:v>0.28614962906502528</c:v>
                </c:pt>
                <c:pt idx="9">
                  <c:v>1.0161242899843102E-16</c:v>
                </c:pt>
                <c:pt idx="10">
                  <c:v>-0.28909426213486378</c:v>
                </c:pt>
                <c:pt idx="11">
                  <c:v>-0.56971253154669776</c:v>
                </c:pt>
                <c:pt idx="12">
                  <c:v>-0.83071748586555427</c:v>
                </c:pt>
                <c:pt idx="13">
                  <c:v>-1.0619859766813935</c:v>
                </c:pt>
                <c:pt idx="14">
                  <c:v>-1.255037851109214</c:v>
                </c:pt>
                <c:pt idx="15">
                  <c:v>-1.4034869013420723</c:v>
                </c:pt>
                <c:pt idx="16">
                  <c:v>-1.5032725963668301</c:v>
                </c:pt>
                <c:pt idx="17">
                  <c:v>-1.5526710694413575</c:v>
                </c:pt>
                <c:pt idx="18">
                  <c:v>-1.5521183875213154</c:v>
                </c:pt>
                <c:pt idx="19">
                  <c:v>-1.5039010895677676</c:v>
                </c:pt>
                <c:pt idx="20">
                  <c:v>-1.4117760919843476</c:v>
                </c:pt>
                <c:pt idx="21">
                  <c:v>-1.2805765780487948</c:v>
                </c:pt>
                <c:pt idx="22">
                  <c:v>-1.1158471754321775</c:v>
                </c:pt>
                <c:pt idx="23">
                  <c:v>-0.92353564946083277</c:v>
                </c:pt>
                <c:pt idx="24">
                  <c:v>-0.70975338008988009</c:v>
                </c:pt>
                <c:pt idx="25">
                  <c:v>-0.48060519969590054</c:v>
                </c:pt>
                <c:pt idx="26">
                  <c:v>-0.24208135450829132</c:v>
                </c:pt>
                <c:pt idx="27">
                  <c:v>-2.5477795693663567E-16</c:v>
                </c:pt>
                <c:pt idx="28">
                  <c:v>0.24001314328191242</c:v>
                </c:pt>
                <c:pt idx="29">
                  <c:v>0.47252152939795367</c:v>
                </c:pt>
                <c:pt idx="30">
                  <c:v>0.69226386933613548</c:v>
                </c:pt>
                <c:pt idx="31">
                  <c:v>0.89414166090717973</c:v>
                </c:pt>
                <c:pt idx="32">
                  <c:v>1.0732194859383688</c:v>
                </c:pt>
                <c:pt idx="33">
                  <c:v>1.2247487066237668</c:v>
                </c:pt>
                <c:pt idx="34">
                  <c:v>1.3442244160240795</c:v>
                </c:pt>
                <c:pt idx="35">
                  <c:v>1.4274842411825972</c:v>
                </c:pt>
                <c:pt idx="36">
                  <c:v>1.4708552998962341</c:v>
                </c:pt>
              </c:numCache>
            </c:numRef>
          </c:xVal>
          <c:yVal>
            <c:numRef>
              <c:f>Orbits!$T$14:$T$50</c:f>
              <c:numCache>
                <c:formatCode>_-* #,##0.0_-;\-* #,##0.0_-;_-* "-"??_-;_-@_-</c:formatCode>
                <c:ptCount val="37"/>
                <c:pt idx="0">
                  <c:v>0</c:v>
                </c:pt>
                <c:pt idx="1">
                  <c:v>0.25943898780949337</c:v>
                </c:pt>
                <c:pt idx="2">
                  <c:v>0.51935567282998085</c:v>
                </c:pt>
                <c:pt idx="3">
                  <c:v>0.77174837128411788</c:v>
                </c:pt>
                <c:pt idx="4">
                  <c:v>1.0080673445390973</c:v>
                </c:pt>
                <c:pt idx="5">
                  <c:v>1.2195248558220615</c:v>
                </c:pt>
                <c:pt idx="6">
                  <c:v>1.3975201682203433</c:v>
                </c:pt>
                <c:pt idx="7">
                  <c:v>1.5341605187228564</c:v>
                </c:pt>
                <c:pt idx="8">
                  <c:v>1.6228351890068287</c:v>
                </c:pt>
                <c:pt idx="9">
                  <c:v>1.6587774092407432</c:v>
                </c:pt>
                <c:pt idx="10">
                  <c:v>1.6395350330012497</c:v>
                </c:pt>
                <c:pt idx="11">
                  <c:v>1.5652723160048814</c:v>
                </c:pt>
                <c:pt idx="12">
                  <c:v>1.4388448922550214</c:v>
                </c:pt>
                <c:pt idx="13">
                  <c:v>1.2656256029947215</c:v>
                </c:pt>
                <c:pt idx="14">
                  <c:v>1.0531017979792678</c:v>
                </c:pt>
                <c:pt idx="15">
                  <c:v>0.81030354029395901</c:v>
                </c:pt>
                <c:pt idx="16">
                  <c:v>0.54714647906559766</c:v>
                </c:pt>
                <c:pt idx="17">
                  <c:v>0.27377780170797777</c:v>
                </c:pt>
                <c:pt idx="18">
                  <c:v>1.9015754443069983E-16</c:v>
                </c:pt>
                <c:pt idx="19">
                  <c:v>-0.26517833840765537</c:v>
                </c:pt>
                <c:pt idx="20">
                  <c:v>-0.51384447493096652</c:v>
                </c:pt>
                <c:pt idx="21">
                  <c:v>-0.73934123205440161</c:v>
                </c:pt>
                <c:pt idx="22">
                  <c:v>-0.93630695335534975</c:v>
                </c:pt>
                <c:pt idx="23">
                  <c:v>-1.1006269281337739</c:v>
                </c:pt>
                <c:pt idx="24">
                  <c:v>-1.2293289151594156</c:v>
                </c:pt>
                <c:pt idx="25">
                  <c:v>-1.3204519338369669</c:v>
                </c:pt>
                <c:pt idx="26">
                  <c:v>-1.3729115846913025</c:v>
                </c:pt>
                <c:pt idx="27">
                  <c:v>-1.3863786923990298</c:v>
                </c:pt>
                <c:pt idx="28">
                  <c:v>-1.3611821759640135</c:v>
                </c:pt>
                <c:pt idx="29">
                  <c:v>-1.2982422322270402</c:v>
                </c:pt>
                <c:pt idx="30">
                  <c:v>-1.199036193934409</c:v>
                </c:pt>
                <c:pt idx="31">
                  <c:v>-1.0655965366742854</c:v>
                </c:pt>
                <c:pt idx="32">
                  <c:v>-0.90053807482315584</c:v>
                </c:pt>
                <c:pt idx="33">
                  <c:v>-0.70710899545887862</c:v>
                </c:pt>
                <c:pt idx="34">
                  <c:v>-0.48925767560663308</c:v>
                </c:pt>
                <c:pt idx="35">
                  <c:v>-0.25170398625664164</c:v>
                </c:pt>
                <c:pt idx="36">
                  <c:v>-3.6040321961240524E-16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DB5-47F4-8E20-34A2712F7388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Orbits!$X$14:$X$50</c:f>
              <c:numCache>
                <c:formatCode>_-* #,##0.0_-;\-* #,##0.0_-;_-* "-"??_-;_-@_-</c:formatCode>
                <c:ptCount val="37"/>
                <c:pt idx="0">
                  <c:v>5.1727174808107694</c:v>
                </c:pt>
                <c:pt idx="1">
                  <c:v>5.1374431763930808</c:v>
                </c:pt>
                <c:pt idx="2">
                  <c:v>4.9433564440288542</c:v>
                </c:pt>
                <c:pt idx="3">
                  <c:v>4.5925916291172646</c:v>
                </c:pt>
                <c:pt idx="4">
                  <c:v>4.0927160671699596</c:v>
                </c:pt>
                <c:pt idx="5">
                  <c:v>3.4569230850133676</c:v>
                </c:pt>
                <c:pt idx="6">
                  <c:v>2.703931334324237</c:v>
                </c:pt>
                <c:pt idx="7">
                  <c:v>1.8575405242699796</c:v>
                </c:pt>
                <c:pt idx="8">
                  <c:v>0.94582642415039608</c:v>
                </c:pt>
                <c:pt idx="9">
                  <c:v>3.3412168410774165E-16</c:v>
                </c:pt>
                <c:pt idx="10">
                  <c:v>-0.94699987476156178</c:v>
                </c:pt>
                <c:pt idx="11">
                  <c:v>-1.8620719849320975</c:v>
                </c:pt>
                <c:pt idx="12">
                  <c:v>-2.713543825400198</c:v>
                </c:pt>
                <c:pt idx="13">
                  <c:v>-3.4726503871525507</c:v>
                </c:pt>
                <c:pt idx="14">
                  <c:v>-4.1147789151782375</c:v>
                </c:pt>
                <c:pt idx="15">
                  <c:v>-4.6203913247195301</c:v>
                </c:pt>
                <c:pt idx="16">
                  <c:v>-4.9755796733877222</c:v>
                </c:pt>
                <c:pt idx="17">
                  <c:v>-5.1722552934342856</c:v>
                </c:pt>
                <c:pt idx="18">
                  <c:v>-5.2080109294683563</c:v>
                </c:pt>
                <c:pt idx="19">
                  <c:v>-5.0857221397769434</c:v>
                </c:pt>
                <c:pt idx="20">
                  <c:v>-4.8129672801446821</c:v>
                </c:pt>
                <c:pt idx="21">
                  <c:v>-4.4013455991469455</c:v>
                </c:pt>
                <c:pt idx="22">
                  <c:v>-3.8657633579748167</c:v>
                </c:pt>
                <c:pt idx="23">
                  <c:v>-3.2237422883071161</c:v>
                </c:pt>
                <c:pt idx="24">
                  <c:v>-2.4947867653361602</c:v>
                </c:pt>
                <c:pt idx="25">
                  <c:v>-1.6998286304704409</c:v>
                </c:pt>
                <c:pt idx="26">
                  <c:v>-0.86075344985005231</c:v>
                </c:pt>
                <c:pt idx="27">
                  <c:v>-9.0978529598520957E-16</c:v>
                </c:pt>
                <c:pt idx="28">
                  <c:v>0.85978389690523194</c:v>
                </c:pt>
                <c:pt idx="29">
                  <c:v>1.6960516246159629</c:v>
                </c:pt>
                <c:pt idx="30">
                  <c:v>2.4866593365103267</c:v>
                </c:pt>
                <c:pt idx="31">
                  <c:v>3.2101843472971838</c:v>
                </c:pt>
                <c:pt idx="32">
                  <c:v>3.8462837578658626</c:v>
                </c:pt>
                <c:pt idx="33">
                  <c:v>4.3761121068134923</c:v>
                </c:pt>
                <c:pt idx="34">
                  <c:v>4.7828094949935025</c:v>
                </c:pt>
                <c:pt idx="35">
                  <c:v>5.0520613196769304</c:v>
                </c:pt>
                <c:pt idx="36">
                  <c:v>5.1727174808107694</c:v>
                </c:pt>
              </c:numCache>
            </c:numRef>
          </c:xVal>
          <c:yVal>
            <c:numRef>
              <c:f>Orbits!$Y$14:$Y$50</c:f>
              <c:numCache>
                <c:formatCode>_-* #,##0.0_-;\-* #,##0.0_-;_-* "-"??_-;_-@_-</c:formatCode>
                <c:ptCount val="37"/>
                <c:pt idx="0">
                  <c:v>0</c:v>
                </c:pt>
                <c:pt idx="1">
                  <c:v>0.90586984385469771</c:v>
                </c:pt>
                <c:pt idx="2">
                  <c:v>1.7992346029945228</c:v>
                </c:pt>
                <c:pt idx="3">
                  <c:v>2.6515340133488738</c:v>
                </c:pt>
                <c:pt idx="4">
                  <c:v>3.4341965424756413</c:v>
                </c:pt>
                <c:pt idx="5">
                  <c:v>4.1198005058865395</c:v>
                </c:pt>
                <c:pt idx="6">
                  <c:v>4.6833464512270853</c:v>
                </c:pt>
                <c:pt idx="7">
                  <c:v>5.1035506461536677</c:v>
                </c:pt>
                <c:pt idx="8">
                  <c:v>5.3640482037981672</c:v>
                </c:pt>
                <c:pt idx="9">
                  <c:v>5.4543868993029543</c:v>
                </c:pt>
                <c:pt idx="10">
                  <c:v>5.3707031729154942</c:v>
                </c:pt>
                <c:pt idx="11">
                  <c:v>5.1160007319999856</c:v>
                </c:pt>
                <c:pt idx="12">
                  <c:v>4.6999957741579559</c:v>
                </c:pt>
                <c:pt idx="13">
                  <c:v>4.1385435747127257</c:v>
                </c:pt>
                <c:pt idx="14">
                  <c:v>3.4527094701021088</c:v>
                </c:pt>
                <c:pt idx="15">
                  <c:v>2.6675841750882316</c:v>
                </c:pt>
                <c:pt idx="16">
                  <c:v>1.8109628993330849</c:v>
                </c:pt>
                <c:pt idx="17">
                  <c:v>0.91200815934464274</c:v>
                </c:pt>
                <c:pt idx="18">
                  <c:v>6.3805865433853629E-16</c:v>
                </c:pt>
                <c:pt idx="19">
                  <c:v>-0.89675002962906303</c:v>
                </c:pt>
                <c:pt idx="20">
                  <c:v>-1.7517768284698265</c:v>
                </c:pt>
                <c:pt idx="21">
                  <c:v>-2.541118066464064</c:v>
                </c:pt>
                <c:pt idx="22">
                  <c:v>-3.2437606078953118</c:v>
                </c:pt>
                <c:pt idx="23">
                  <c:v>-3.8419064536878835</c:v>
                </c:pt>
                <c:pt idx="24">
                  <c:v>-4.321097431612638</c:v>
                </c:pt>
                <c:pt idx="25">
                  <c:v>-4.6702407791600145</c:v>
                </c:pt>
                <c:pt idx="26">
                  <c:v>-4.8815753913078259</c:v>
                </c:pt>
                <c:pt idx="27">
                  <c:v>-4.9506125419065645</c:v>
                </c:pt>
                <c:pt idx="28">
                  <c:v>-4.8760767833187204</c:v>
                </c:pt>
                <c:pt idx="29">
                  <c:v>-4.6598635408616813</c:v>
                </c:pt>
                <c:pt idx="30">
                  <c:v>-4.3070203119513986</c:v>
                </c:pt>
                <c:pt idx="31">
                  <c:v>-3.8257487287811189</c:v>
                </c:pt>
                <c:pt idx="32">
                  <c:v>-3.2274152826284102</c:v>
                </c:pt>
                <c:pt idx="33">
                  <c:v>-2.5265495028727534</c:v>
                </c:pt>
                <c:pt idx="34">
                  <c:v>-1.7408002923434012</c:v>
                </c:pt>
                <c:pt idx="35">
                  <c:v>-0.89081471885265651</c:v>
                </c:pt>
                <c:pt idx="36">
                  <c:v>-1.2674693658588248E-15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DB5-47F4-8E20-34A2712F7388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Orbits!$AC$14:$AC$50</c:f>
              <c:numCache>
                <c:formatCode>_-* #,##0.0_-;\-* #,##0.0_-;_-* "-"??_-;_-@_-</c:formatCode>
                <c:ptCount val="37"/>
                <c:pt idx="0">
                  <c:v>9.0545000812991514</c:v>
                </c:pt>
                <c:pt idx="1">
                  <c:v>8.9521728360357997</c:v>
                </c:pt>
                <c:pt idx="2">
                  <c:v>8.5879135476062274</c:v>
                </c:pt>
                <c:pt idx="3">
                  <c:v>7.9672455162457156</c:v>
                </c:pt>
                <c:pt idx="4">
                  <c:v>7.1020006399555315</c:v>
                </c:pt>
                <c:pt idx="5">
                  <c:v>6.010695056721584</c:v>
                </c:pt>
                <c:pt idx="6">
                  <c:v>4.718823341797326</c:v>
                </c:pt>
                <c:pt idx="7">
                  <c:v>3.2589813966215884</c:v>
                </c:pt>
                <c:pt idx="8">
                  <c:v>1.6707162464268546</c:v>
                </c:pt>
                <c:pt idx="9">
                  <c:v>5.9497724328240463E-16</c:v>
                </c:pt>
                <c:pt idx="10">
                  <c:v>-1.7017598962770806</c:v>
                </c:pt>
                <c:pt idx="11">
                  <c:v>-3.3792275275584269</c:v>
                </c:pt>
                <c:pt idx="12">
                  <c:v>-4.9751611503253201</c:v>
                </c:pt>
                <c:pt idx="13">
                  <c:v>-6.4328791680005448</c:v>
                </c:pt>
                <c:pt idx="14">
                  <c:v>-7.6990193084303007</c:v>
                </c:pt>
                <c:pt idx="15">
                  <c:v>-8.7263711879598578</c:v>
                </c:pt>
                <c:pt idx="16">
                  <c:v>-9.4765174724805128</c:v>
                </c:pt>
                <c:pt idx="17">
                  <c:v>-9.9220127032584298</c:v>
                </c:pt>
                <c:pt idx="18">
                  <c:v>-10.047868161174062</c:v>
                </c:pt>
                <c:pt idx="19">
                  <c:v>-9.8521917424245835</c:v>
                </c:pt>
                <c:pt idx="20">
                  <c:v>-9.3459388784541737</c:v>
                </c:pt>
                <c:pt idx="21">
                  <c:v>-8.5518423657907174</c:v>
                </c:pt>
                <c:pt idx="22">
                  <c:v>-7.5026832947260083</c:v>
                </c:pt>
                <c:pt idx="23">
                  <c:v>-6.2391254705519756</c:v>
                </c:pt>
                <c:pt idx="24">
                  <c:v>-4.8073548076162638</c:v>
                </c:pt>
                <c:pt idx="25">
                  <c:v>-3.2567461967274518</c:v>
                </c:pt>
                <c:pt idx="26">
                  <c:v>-1.637733769005006</c:v>
                </c:pt>
                <c:pt idx="27">
                  <c:v>-1.7173641381506947E-15</c:v>
                </c:pt>
                <c:pt idx="28">
                  <c:v>1.6089623695612509</c:v>
                </c:pt>
                <c:pt idx="29">
                  <c:v>3.1449145897633213</c:v>
                </c:pt>
                <c:pt idx="30">
                  <c:v>4.5676006756457603</c:v>
                </c:pt>
                <c:pt idx="31">
                  <c:v>5.8412035572392229</c:v>
                </c:pt>
                <c:pt idx="32">
                  <c:v>6.9346026517123667</c:v>
                </c:pt>
                <c:pt idx="33">
                  <c:v>7.821507631355324</c:v>
                </c:pt>
                <c:pt idx="34">
                  <c:v>8.4805365446998486</c:v>
                </c:pt>
                <c:pt idx="35">
                  <c:v>8.8952951385050216</c:v>
                </c:pt>
                <c:pt idx="36">
                  <c:v>9.0545000812991514</c:v>
                </c:pt>
              </c:numCache>
            </c:numRef>
          </c:xVal>
          <c:yVal>
            <c:numRef>
              <c:f>Orbits!$AD$14:$AD$50</c:f>
              <c:numCache>
                <c:formatCode>_-* #,##0.0_-;\-* #,##0.0_-;_-* "-"??_-;_-@_-</c:formatCode>
                <c:ptCount val="37"/>
                <c:pt idx="0">
                  <c:v>0</c:v>
                </c:pt>
                <c:pt idx="1">
                  <c:v>1.5785096069585285</c:v>
                </c:pt>
                <c:pt idx="2">
                  <c:v>3.125744905780131</c:v>
                </c:pt>
                <c:pt idx="3">
                  <c:v>4.5998913435043018</c:v>
                </c:pt>
                <c:pt idx="4">
                  <c:v>5.9592861176074923</c:v>
                </c:pt>
                <c:pt idx="5">
                  <c:v>7.1632674278362058</c:v>
                </c:pt>
                <c:pt idx="6">
                  <c:v>8.1732417799349246</c:v>
                </c:pt>
                <c:pt idx="7">
                  <c:v>8.9539777976404995</c:v>
                </c:pt>
                <c:pt idx="8">
                  <c:v>9.4751026741005564</c:v>
                </c:pt>
                <c:pt idx="9">
                  <c:v>9.7127371119572956</c:v>
                </c:pt>
                <c:pt idx="10">
                  <c:v>9.6511599611107286</c:v>
                </c:pt>
                <c:pt idx="11">
                  <c:v>9.2843513271662523</c:v>
                </c:pt>
                <c:pt idx="12">
                  <c:v>8.6172318882062786</c:v>
                </c:pt>
                <c:pt idx="13">
                  <c:v>7.6664068591891006</c:v>
                </c:pt>
                <c:pt idx="14">
                  <c:v>6.460244262130626</c:v>
                </c:pt>
                <c:pt idx="15">
                  <c:v>5.038172754417217</c:v>
                </c:pt>
                <c:pt idx="16">
                  <c:v>3.449170284486494</c:v>
                </c:pt>
                <c:pt idx="17">
                  <c:v>1.7495185425165929</c:v>
                </c:pt>
                <c:pt idx="18">
                  <c:v>1.2310130152787918E-15</c:v>
                </c:pt>
                <c:pt idx="19">
                  <c:v>-1.7372072233025986</c:v>
                </c:pt>
                <c:pt idx="20">
                  <c:v>-3.4016435630285731</c:v>
                </c:pt>
                <c:pt idx="21">
                  <c:v>-4.9374084919565178</c:v>
                </c:pt>
                <c:pt idx="22">
                  <c:v>-6.2954987854445328</c:v>
                </c:pt>
                <c:pt idx="23">
                  <c:v>-7.4355001941763543</c:v>
                </c:pt>
                <c:pt idx="24">
                  <c:v>-8.3265827768018639</c:v>
                </c:pt>
                <c:pt idx="25">
                  <c:v>-8.9478366364033999</c:v>
                </c:pt>
                <c:pt idx="26">
                  <c:v>-9.28804974953208</c:v>
                </c:pt>
                <c:pt idx="27">
                  <c:v>-9.3450668843164131</c:v>
                </c:pt>
                <c:pt idx="28">
                  <c:v>-9.1248790349417739</c:v>
                </c:pt>
                <c:pt idx="29">
                  <c:v>-8.6405818214881158</c:v>
                </c:pt>
                <c:pt idx="30">
                  <c:v>-7.9113164389043868</c:v>
                </c:pt>
                <c:pt idx="31">
                  <c:v>-6.9612753244139247</c:v>
                </c:pt>
                <c:pt idx="32">
                  <c:v>-5.8188225274128387</c:v>
                </c:pt>
                <c:pt idx="33">
                  <c:v>-4.5157495364317146</c:v>
                </c:pt>
                <c:pt idx="34">
                  <c:v>-3.0866628728774925</c:v>
                </c:pt>
                <c:pt idx="35">
                  <c:v>-1.5684805342832777</c:v>
                </c:pt>
                <c:pt idx="36">
                  <c:v>-2.2186213569147259E-15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DB5-47F4-8E20-34A2712F7388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Orbits!$AH$14:$AH$50</c:f>
              <c:numCache>
                <c:formatCode>_-* #,##0.0_-;\-* #,##0.0_-;_-* "-"??_-;_-@_-</c:formatCode>
                <c:ptCount val="37"/>
                <c:pt idx="0">
                  <c:v>19.248393945732793</c:v>
                </c:pt>
                <c:pt idx="1">
                  <c:v>18.799894480277054</c:v>
                </c:pt>
                <c:pt idx="2">
                  <c:v>17.793521381741144</c:v>
                </c:pt>
                <c:pt idx="3">
                  <c:v>16.272196483654852</c:v>
                </c:pt>
                <c:pt idx="4">
                  <c:v>14.291362576942182</c:v>
                </c:pt>
                <c:pt idx="5">
                  <c:v>11.916360690718829</c:v>
                </c:pt>
                <c:pt idx="6">
                  <c:v>9.22000399130334</c:v>
                </c:pt>
                <c:pt idx="7">
                  <c:v>6.2804296945314837</c:v>
                </c:pt>
                <c:pt idx="8">
                  <c:v>3.1792529050778082</c:v>
                </c:pt>
                <c:pt idx="9">
                  <c:v>1.1197096968598542E-15</c:v>
                </c:pt>
                <c:pt idx="10">
                  <c:v>-3.1732347844166764</c:v>
                </c:pt>
                <c:pt idx="11">
                  <c:v>-6.2569880384025405</c:v>
                </c:pt>
                <c:pt idx="12">
                  <c:v>-9.1695711147385968</c:v>
                </c:pt>
                <c:pt idx="13">
                  <c:v>-11.832251271939505</c:v>
                </c:pt>
                <c:pt idx="14">
                  <c:v>-14.170555018825089</c:v>
                </c:pt>
                <c:pt idx="15">
                  <c:v>-16.115762663723892</c:v>
                </c:pt>
                <c:pt idx="16">
                  <c:v>-17.6066374621516</c:v>
                </c:pt>
                <c:pt idx="17">
                  <c:v>-18.591396889116314</c:v>
                </c:pt>
                <c:pt idx="18">
                  <c:v>-19.029887462961089</c:v>
                </c:pt>
                <c:pt idx="19">
                  <c:v>-18.895869815377768</c:v>
                </c:pt>
                <c:pt idx="20">
                  <c:v>-18.179261433887369</c:v>
                </c:pt>
                <c:pt idx="21">
                  <c:v>-16.888127949315205</c:v>
                </c:pt>
                <c:pt idx="22">
                  <c:v>-15.050170384261087</c:v>
                </c:pt>
                <c:pt idx="23">
                  <c:v>-12.713437815513178</c:v>
                </c:pt>
                <c:pt idx="24">
                  <c:v>-9.9460143908568437</c:v>
                </c:pt>
                <c:pt idx="25">
                  <c:v>-6.8344945098316296</c:v>
                </c:pt>
                <c:pt idx="26">
                  <c:v>-3.4811702406326708</c:v>
                </c:pt>
                <c:pt idx="27">
                  <c:v>-3.6907252015086326E-15</c:v>
                </c:pt>
                <c:pt idx="28">
                  <c:v>3.4884143823599838</c:v>
                </c:pt>
                <c:pt idx="29">
                  <c:v>6.8624727659038527</c:v>
                </c:pt>
                <c:pt idx="30">
                  <c:v>10.005377435532408</c:v>
                </c:pt>
                <c:pt idx="31">
                  <c:v>12.810592969302425</c:v>
                </c:pt>
                <c:pt idx="32">
                  <c:v>15.18651346536587</c:v>
                </c:pt>
                <c:pt idx="33">
                  <c:v>17.059995557151527</c:v>
                </c:pt>
                <c:pt idx="34">
                  <c:v>18.378567956344433</c:v>
                </c:pt>
                <c:pt idx="35">
                  <c:v>19.111292059348958</c:v>
                </c:pt>
                <c:pt idx="36">
                  <c:v>19.248393945732793</c:v>
                </c:pt>
              </c:numCache>
            </c:numRef>
          </c:xVal>
          <c:yVal>
            <c:numRef>
              <c:f>Orbits!$AI$14:$AI$50</c:f>
              <c:numCache>
                <c:formatCode>_-* #,##0.0_-;\-* #,##0.0_-;_-* "-"??_-;_-@_-</c:formatCode>
                <c:ptCount val="37"/>
                <c:pt idx="0">
                  <c:v>0</c:v>
                </c:pt>
                <c:pt idx="1">
                  <c:v>3.3149286313449888</c:v>
                </c:pt>
                <c:pt idx="2">
                  <c:v>6.4763121457330035</c:v>
                </c:pt>
                <c:pt idx="3">
                  <c:v>9.394757020144608</c:v>
                </c:pt>
                <c:pt idx="4">
                  <c:v>11.991877067332966</c:v>
                </c:pt>
                <c:pt idx="5">
                  <c:v>14.201365663812584</c:v>
                </c:pt>
                <c:pt idx="6">
                  <c:v>15.969515358925218</c:v>
                </c:pt>
                <c:pt idx="7">
                  <c:v>17.255338770197536</c:v>
                </c:pt>
                <c:pt idx="8">
                  <c:v>18.030439200534552</c:v>
                </c:pt>
                <c:pt idx="9">
                  <c:v>18.278759482145695</c:v>
                </c:pt>
                <c:pt idx="10">
                  <c:v>17.996308742240824</c:v>
                </c:pt>
                <c:pt idx="11">
                  <c:v>17.190933349308654</c:v>
                </c:pt>
                <c:pt idx="12">
                  <c:v>15.882163054343245</c:v>
                </c:pt>
                <c:pt idx="13">
                  <c:v>14.101127961811313</c:v>
                </c:pt>
                <c:pt idx="14">
                  <c:v>11.890507489873491</c:v>
                </c:pt>
                <c:pt idx="15">
                  <c:v>9.3044399120971075</c:v>
                </c:pt>
                <c:pt idx="16">
                  <c:v>6.4082919617394154</c:v>
                </c:pt>
                <c:pt idx="17">
                  <c:v>3.2781648806106269</c:v>
                </c:pt>
                <c:pt idx="18">
                  <c:v>2.3314437222331698E-15</c:v>
                </c:pt>
                <c:pt idx="19">
                  <c:v>-3.3318516724057838</c:v>
                </c:pt>
                <c:pt idx="20">
                  <c:v>-6.6167100428785224</c:v>
                </c:pt>
                <c:pt idx="21">
                  <c:v>-9.7503652176459781</c:v>
                </c:pt>
                <c:pt idx="22">
                  <c:v>-12.628592418588699</c:v>
                </c:pt>
                <c:pt idx="23">
                  <c:v>-15.151285190860907</c:v>
                </c:pt>
                <c:pt idx="24">
                  <c:v>-17.227002257775251</c:v>
                </c:pt>
                <c:pt idx="25">
                  <c:v>-18.777619339148998</c:v>
                </c:pt>
                <c:pt idx="26">
                  <c:v>-19.742697496694273</c:v>
                </c:pt>
                <c:pt idx="27">
                  <c:v>-20.08314549811795</c:v>
                </c:pt>
                <c:pt idx="28">
                  <c:v>-19.783781065971162</c:v>
                </c:pt>
                <c:pt idx="29">
                  <c:v>-18.854488965943126</c:v>
                </c:pt>
                <c:pt idx="30">
                  <c:v>-17.329822067245324</c:v>
                </c:pt>
                <c:pt idx="31">
                  <c:v>-15.267070194428296</c:v>
                </c:pt>
                <c:pt idx="32">
                  <c:v>-12.742997847657307</c:v>
                </c:pt>
                <c:pt idx="33">
                  <c:v>-9.8495930272952652</c:v>
                </c:pt>
                <c:pt idx="34">
                  <c:v>-6.6892516845480001</c:v>
                </c:pt>
                <c:pt idx="35">
                  <c:v>-3.3698364262626646</c:v>
                </c:pt>
                <c:pt idx="36">
                  <c:v>-4.7164280204173938E-15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DB5-47F4-8E20-34A2712F7388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Orbits!$AM$14:$AM$50</c:f>
              <c:numCache>
                <c:formatCode>_-* #,##0.0_-;\-* #,##0.0_-;_-* "-"??_-;_-@_-</c:formatCode>
                <c:ptCount val="37"/>
                <c:pt idx="0">
                  <c:v>29.934830091786761</c:v>
                </c:pt>
                <c:pt idx="1">
                  <c:v>29.564875781319827</c:v>
                </c:pt>
                <c:pt idx="2">
                  <c:v>28.292718059783631</c:v>
                </c:pt>
                <c:pt idx="3">
                  <c:v>26.149401191281491</c:v>
                </c:pt>
                <c:pt idx="4">
                  <c:v>23.19355100900658</c:v>
                </c:pt>
                <c:pt idx="5">
                  <c:v>19.510404725341722</c:v>
                </c:pt>
                <c:pt idx="6">
                  <c:v>15.209810282355971</c:v>
                </c:pt>
                <c:pt idx="7">
                  <c:v>10.423174881828224</c:v>
                </c:pt>
                <c:pt idx="8">
                  <c:v>5.2994105891963716</c:v>
                </c:pt>
                <c:pt idx="9">
                  <c:v>1.8711999347674459E-15</c:v>
                </c:pt>
                <c:pt idx="10">
                  <c:v>-5.3066214335372068</c:v>
                </c:pt>
                <c:pt idx="11">
                  <c:v>-10.451106928579486</c:v>
                </c:pt>
                <c:pt idx="12">
                  <c:v>-15.26936073912824</c:v>
                </c:pt>
                <c:pt idx="13">
                  <c:v>-19.60850068287726</c:v>
                </c:pt>
                <c:pt idx="14">
                  <c:v>-23.332311380510173</c:v>
                </c:pt>
                <c:pt idx="15">
                  <c:v>-26.325917856726768</c:v>
                </c:pt>
                <c:pt idx="16">
                  <c:v>-28.499471105928077</c:v>
                </c:pt>
                <c:pt idx="17">
                  <c:v>-29.790713987309058</c:v>
                </c:pt>
                <c:pt idx="18">
                  <c:v>-30.166377757567989</c:v>
                </c:pt>
                <c:pt idx="19">
                  <c:v>-29.622437139411282</c:v>
                </c:pt>
                <c:pt idx="20">
                  <c:v>-28.183317110472057</c:v>
                </c:pt>
                <c:pt idx="21">
                  <c:v>-25.900192242335415</c:v>
                </c:pt>
                <c:pt idx="22">
                  <c:v>-22.84854711799861</c:v>
                </c:pt>
                <c:pt idx="23">
                  <c:v>-19.125174673516636</c:v>
                </c:pt>
                <c:pt idx="24">
                  <c:v>-14.844781084860378</c:v>
                </c:pt>
                <c:pt idx="25">
                  <c:v>-10.136345345917331</c:v>
                </c:pt>
                <c:pt idx="26">
                  <c:v>-5.1393538604093543</c:v>
                </c:pt>
                <c:pt idx="27">
                  <c:v>-5.4340883895187596E-15</c:v>
                </c:pt>
                <c:pt idx="28">
                  <c:v>5.1325901414899153</c:v>
                </c:pt>
                <c:pt idx="29">
                  <c:v>10.110068336646345</c:v>
                </c:pt>
                <c:pt idx="30">
                  <c:v>14.788490199435632</c:v>
                </c:pt>
                <c:pt idx="31">
                  <c:v>19.031843502949332</c:v>
                </c:pt>
                <c:pt idx="32">
                  <c:v>22.715464707025831</c:v>
                </c:pt>
                <c:pt idx="33">
                  <c:v>25.72931991324791</c:v>
                </c:pt>
                <c:pt idx="34">
                  <c:v>27.981109506564859</c:v>
                </c:pt>
                <c:pt idx="35">
                  <c:v>29.399133520291844</c:v>
                </c:pt>
                <c:pt idx="36">
                  <c:v>29.934830091786761</c:v>
                </c:pt>
              </c:numCache>
            </c:numRef>
          </c:xVal>
          <c:yVal>
            <c:numRef>
              <c:f>Orbits!$AN$14:$AN$50</c:f>
              <c:numCache>
                <c:formatCode>_-* #,##0.0_-;\-* #,##0.0_-;_-* "-"??_-;_-@_-</c:formatCode>
                <c:ptCount val="37"/>
                <c:pt idx="0">
                  <c:v>0</c:v>
                </c:pt>
                <c:pt idx="1">
                  <c:v>5.2130852815409447</c:v>
                </c:pt>
                <c:pt idx="2">
                  <c:v>10.297707220247061</c:v>
                </c:pt>
                <c:pt idx="3">
                  <c:v>15.097363816933887</c:v>
                </c:pt>
                <c:pt idx="4">
                  <c:v>19.461700097348849</c:v>
                </c:pt>
                <c:pt idx="5">
                  <c:v>23.251594924393046</c:v>
                </c:pt>
                <c:pt idx="6">
                  <c:v>26.344164182524064</c:v>
                </c:pt>
                <c:pt idx="7">
                  <c:v>28.637437626849636</c:v>
                </c:pt>
                <c:pt idx="8">
                  <c:v>30.054450929198943</c:v>
                </c:pt>
                <c:pt idx="9">
                  <c:v>30.546501156988565</c:v>
                </c:pt>
                <c:pt idx="10">
                  <c:v>30.095345659613237</c:v>
                </c:pt>
                <c:pt idx="11">
                  <c:v>28.714180294577897</c:v>
                </c:pt>
                <c:pt idx="12">
                  <c:v>26.447308599267593</c:v>
                </c:pt>
                <c:pt idx="13">
                  <c:v>23.36850113420499</c:v>
                </c:pt>
                <c:pt idx="14">
                  <c:v>19.578133873899546</c:v>
                </c:pt>
                <c:pt idx="15">
                  <c:v>15.199275761245172</c:v>
                </c:pt>
                <c:pt idx="16">
                  <c:v>10.372959174887512</c:v>
                </c:pt>
                <c:pt idx="17">
                  <c:v>5.2529066505316395</c:v>
                </c:pt>
                <c:pt idx="18">
                  <c:v>3.6958291099874186E-15</c:v>
                </c:pt>
                <c:pt idx="19">
                  <c:v>-5.2232349020186932</c:v>
                </c:pt>
                <c:pt idx="20">
                  <c:v>-10.257888531097182</c:v>
                </c:pt>
                <c:pt idx="21">
                  <c:v>-14.953482963175412</c:v>
                </c:pt>
                <c:pt idx="22">
                  <c:v>-19.172207459649336</c:v>
                </c:pt>
                <c:pt idx="23">
                  <c:v>-22.792495626155237</c:v>
                </c:pt>
                <c:pt idx="24">
                  <c:v>-25.711915066215582</c:v>
                </c:pt>
                <c:pt idx="25">
                  <c:v>-27.849379953701831</c:v>
                </c:pt>
                <c:pt idx="26">
                  <c:v>-29.146724113121667</c:v>
                </c:pt>
                <c:pt idx="27">
                  <c:v>-29.569686665300608</c:v>
                </c:pt>
                <c:pt idx="28">
                  <c:v>-29.108365156980909</c:v>
                </c:pt>
                <c:pt idx="29">
                  <c:v>-27.77718446407896</c:v>
                </c:pt>
                <c:pt idx="30">
                  <c:v>-25.614416392656906</c:v>
                </c:pt>
                <c:pt idx="31">
                  <c:v>-22.681267868330647</c:v>
                </c:pt>
                <c:pt idx="32">
                  <c:v>-19.06053805768591</c:v>
                </c:pt>
                <c:pt idx="33">
                  <c:v>-14.854829777979695</c:v>
                </c:pt>
                <c:pt idx="34">
                  <c:v>-10.184290982132669</c:v>
                </c:pt>
                <c:pt idx="35">
                  <c:v>-5.1838604490780877</c:v>
                </c:pt>
                <c:pt idx="36">
                  <c:v>-7.3349221669809229E-15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DB5-47F4-8E20-34A2712F7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957848"/>
        <c:axId val="615953584"/>
      </c:scatterChart>
      <c:valAx>
        <c:axId val="615957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_-;\-* #,##0.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953584"/>
        <c:crosses val="autoZero"/>
        <c:crossBetween val="midCat"/>
      </c:valAx>
      <c:valAx>
        <c:axId val="61595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_-;\-* #,##0.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957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Elipse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Orbits!$D$14:$D$50</c:f>
              <c:numCache>
                <c:formatCode>_-* #,##0.0_-;\-* #,##0.0_-;_-* "-"??_-;_-@_-</c:formatCode>
                <c:ptCount val="37"/>
                <c:pt idx="0">
                  <c:v>0.99588436138678926</c:v>
                </c:pt>
                <c:pt idx="1">
                  <c:v>0.9835765677199485</c:v>
                </c:pt>
                <c:pt idx="2">
                  <c:v>0.9412538962295578</c:v>
                </c:pt>
                <c:pt idx="3">
                  <c:v>0.86994914038852078</c:v>
                </c:pt>
                <c:pt idx="4">
                  <c:v>0.77161268876665123</c:v>
                </c:pt>
                <c:pt idx="5">
                  <c:v>0.64908024835009137</c:v>
                </c:pt>
                <c:pt idx="6">
                  <c:v>0.50600628610263088</c:v>
                </c:pt>
                <c:pt idx="7">
                  <c:v>0.3467625113950577</c:v>
                </c:pt>
                <c:pt idx="8">
                  <c:v>0.17630299267328181</c:v>
                </c:pt>
                <c:pt idx="9">
                  <c:v>6.2251856661587289E-17</c:v>
                </c:pt>
                <c:pt idx="10">
                  <c:v>-0.17654288603794813</c:v>
                </c:pt>
                <c:pt idx="11">
                  <c:v>-0.347691766328385</c:v>
                </c:pt>
                <c:pt idx="12">
                  <c:v>-0.50798743543373115</c:v>
                </c:pt>
                <c:pt idx="13">
                  <c:v>-0.652343745411052</c:v>
                </c:pt>
                <c:pt idx="14">
                  <c:v>-0.77622902644209246</c:v>
                </c:pt>
                <c:pt idx="15">
                  <c:v>-0.87582157013347273</c:v>
                </c:pt>
                <c:pt idx="16">
                  <c:v>-0.94813224244675676</c:v>
                </c:pt>
                <c:pt idx="17">
                  <c:v>-0.99108984696217894</c:v>
                </c:pt>
                <c:pt idx="18">
                  <c:v>-1.0035875853088922</c:v>
                </c:pt>
                <c:pt idx="19">
                  <c:v>-0.98549154288993235</c:v>
                </c:pt>
                <c:pt idx="20">
                  <c:v>-0.93761430000648927</c:v>
                </c:pt>
                <c:pt idx="21">
                  <c:v>-0.86165835356220322</c:v>
                </c:pt>
                <c:pt idx="22">
                  <c:v>-0.76013495601791237</c:v>
                </c:pt>
                <c:pt idx="23">
                  <c:v>-0.6362642549747326</c:v>
                </c:pt>
                <c:pt idx="24">
                  <c:v>-0.49386234313984217</c:v>
                </c:pt>
                <c:pt idx="25">
                  <c:v>-0.33722014725530386</c:v>
                </c:pt>
                <c:pt idx="26">
                  <c:v>-0.1709781589379652</c:v>
                </c:pt>
                <c:pt idx="27">
                  <c:v>-1.8078350967490794E-16</c:v>
                </c:pt>
                <c:pt idx="28">
                  <c:v>0.17075314072753836</c:v>
                </c:pt>
                <c:pt idx="29">
                  <c:v>0.33634595279631579</c:v>
                </c:pt>
                <c:pt idx="30">
                  <c:v>0.49198963458224454</c:v>
                </c:pt>
                <c:pt idx="31">
                  <c:v>0.63315927482575896</c:v>
                </c:pt>
                <c:pt idx="32">
                  <c:v>0.75570751509183864</c:v>
                </c:pt>
                <c:pt idx="33">
                  <c:v>0.85597370194366362</c:v>
                </c:pt>
                <c:pt idx="34">
                  <c:v>0.93088717344965866</c:v>
                </c:pt>
                <c:pt idx="35">
                  <c:v>0.97806258533646584</c:v>
                </c:pt>
                <c:pt idx="36">
                  <c:v>0.99588436138678926</c:v>
                </c:pt>
              </c:numCache>
            </c:numRef>
          </c:xVal>
          <c:yVal>
            <c:numRef>
              <c:f>Orbits!$E$14:$E$50</c:f>
              <c:numCache>
                <c:formatCode>_-* #,##0.0_-;\-* #,##0.0_-;_-* "-"??_-;_-@_-</c:formatCode>
                <c:ptCount val="37"/>
                <c:pt idx="0">
                  <c:v>0</c:v>
                </c:pt>
                <c:pt idx="1">
                  <c:v>0.17343108648165353</c:v>
                </c:pt>
                <c:pt idx="2">
                  <c:v>0.34258840111464783</c:v>
                </c:pt>
                <c:pt idx="3">
                  <c:v>0.50226537038459584</c:v>
                </c:pt>
                <c:pt idx="4">
                  <c:v>0.64745992255580631</c:v>
                </c:pt>
                <c:pt idx="5">
                  <c:v>0.77354371785316334</c:v>
                </c:pt>
                <c:pt idx="6">
                  <c:v>0.87642859647898996</c:v>
                </c:pt>
                <c:pt idx="7">
                  <c:v>0.95272216997129688</c:v>
                </c:pt>
                <c:pt idx="8">
                  <c:v>0.99986395709217701</c:v>
                </c:pt>
                <c:pt idx="9">
                  <c:v>1.0162336884509309</c:v>
                </c:pt>
                <c:pt idx="10">
                  <c:v>1.0012244599698565</c:v>
                </c:pt>
                <c:pt idx="11">
                  <c:v>0.95527527691753089</c:v>
                </c:pt>
                <c:pt idx="12">
                  <c:v>0.87986004777783744</c:v>
                </c:pt>
                <c:pt idx="13">
                  <c:v>0.77743300219998379</c:v>
                </c:pt>
                <c:pt idx="14">
                  <c:v>0.65133348979665917</c:v>
                </c:pt>
                <c:pt idx="15">
                  <c:v>0.50565581927864101</c:v>
                </c:pt>
                <c:pt idx="16">
                  <c:v>0.34509191439868597</c:v>
                </c:pt>
                <c:pt idx="17">
                  <c:v>0.17475588032565556</c:v>
                </c:pt>
                <c:pt idx="18">
                  <c:v>1.2295437795066623E-16</c:v>
                </c:pt>
                <c:pt idx="19">
                  <c:v>-0.17376874827150862</c:v>
                </c:pt>
                <c:pt idx="20">
                  <c:v>-0.34126369642470317</c:v>
                </c:pt>
                <c:pt idx="21">
                  <c:v>-0.49747868237862791</c:v>
                </c:pt>
                <c:pt idx="22">
                  <c:v>-0.63782896123958821</c:v>
                </c:pt>
                <c:pt idx="23">
                  <c:v>-0.75827021170541564</c:v>
                </c:pt>
                <c:pt idx="24">
                  <c:v>-0.85539467026322058</c:v>
                </c:pt>
                <c:pt idx="25">
                  <c:v>-0.92650473996911054</c:v>
                </c:pt>
                <c:pt idx="26">
                  <c:v>-0.96966532433658936</c:v>
                </c:pt>
                <c:pt idx="27">
                  <c:v>-0.98373661820649594</c:v>
                </c:pt>
                <c:pt idx="28">
                  <c:v>-0.96838918265071483</c:v>
                </c:pt>
                <c:pt idx="29">
                  <c:v>-0.92410291043282711</c:v>
                </c:pt>
                <c:pt idx="30">
                  <c:v>-0.85215104389369323</c:v>
                </c:pt>
                <c:pt idx="31">
                  <c:v>-0.75456984045794306</c:v>
                </c:pt>
                <c:pt idx="32">
                  <c:v>-0.63411389719146105</c:v>
                </c:pt>
                <c:pt idx="33">
                  <c:v>-0.49419664723641527</c:v>
                </c:pt>
                <c:pt idx="34">
                  <c:v>-0.33881522259587504</c:v>
                </c:pt>
                <c:pt idx="35">
                  <c:v>-0.17245882261629444</c:v>
                </c:pt>
                <c:pt idx="36">
                  <c:v>-2.4402123732413652E-16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CA-47F9-817F-8BFE094CE0B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Orbits!$I$14:$I$50</c:f>
              <c:numCache>
                <c:formatCode>_-* #,##0.0_-;\-* #,##0.0_-;_-* "-"??_-;_-@_-</c:formatCode>
                <c:ptCount val="37"/>
                <c:pt idx="0">
                  <c:v>0.31431251987112502</c:v>
                </c:pt>
                <c:pt idx="1">
                  <c:v>0.30572725726892358</c:v>
                </c:pt>
                <c:pt idx="2">
                  <c:v>0.28958778754933978</c:v>
                </c:pt>
                <c:pt idx="3">
                  <c:v>0.26630303651175924</c:v>
                </c:pt>
                <c:pt idx="4">
                  <c:v>0.23626754686950455</c:v>
                </c:pt>
                <c:pt idx="5">
                  <c:v>0.19987395010366249</c:v>
                </c:pt>
                <c:pt idx="6">
                  <c:v>0.15753499914482486</c:v>
                </c:pt>
                <c:pt idx="7">
                  <c:v>0.10971494193586198</c:v>
                </c:pt>
                <c:pt idx="8">
                  <c:v>5.6970313522733844E-2</c:v>
                </c:pt>
                <c:pt idx="9">
                  <c:v>2.0638691713960735E-17</c:v>
                </c:pt>
                <c:pt idx="10">
                  <c:v>-6.0296570591908259E-2</c:v>
                </c:pt>
                <c:pt idx="11">
                  <c:v>-0.12275634493434835</c:v>
                </c:pt>
                <c:pt idx="12">
                  <c:v>-0.18589138729542143</c:v>
                </c:pt>
                <c:pt idx="13">
                  <c:v>-0.2478411271254484</c:v>
                </c:pt>
                <c:pt idx="14">
                  <c:v>-0.30635570210666263</c:v>
                </c:pt>
                <c:pt idx="15">
                  <c:v>-0.35883319886721338</c:v>
                </c:pt>
                <c:pt idx="16">
                  <c:v>-0.40243490641329849</c:v>
                </c:pt>
                <c:pt idx="17">
                  <c:v>-0.43429565584078483</c:v>
                </c:pt>
                <c:pt idx="18">
                  <c:v>-0.45182700808395859</c:v>
                </c:pt>
                <c:pt idx="19">
                  <c:v>-0.45307969153563643</c:v>
                </c:pt>
                <c:pt idx="20">
                  <c:v>-0.43709653184002711</c:v>
                </c:pt>
                <c:pt idx="21">
                  <c:v>-0.4041647376511549</c:v>
                </c:pt>
                <c:pt idx="22">
                  <c:v>-0.35588461085070772</c:v>
                </c:pt>
                <c:pt idx="23">
                  <c:v>-0.29501661152643804</c:v>
                </c:pt>
                <c:pt idx="24">
                  <c:v>-0.22513543599955685</c:v>
                </c:pt>
                <c:pt idx="25">
                  <c:v>-0.15017806069665751</c:v>
                </c:pt>
                <c:pt idx="26">
                  <c:v>-7.3995599670121939E-2</c:v>
                </c:pt>
                <c:pt idx="27">
                  <c:v>-7.5729391664124647E-17</c:v>
                </c:pt>
                <c:pt idx="28">
                  <c:v>6.904824412674257E-2</c:v>
                </c:pt>
                <c:pt idx="29">
                  <c:v>0.13111190219555344</c:v>
                </c:pt>
                <c:pt idx="30">
                  <c:v>0.18484011065967687</c:v>
                </c:pt>
                <c:pt idx="31">
                  <c:v>0.2294656880590055</c:v>
                </c:pt>
                <c:pt idx="32">
                  <c:v>0.26467560655366335</c:v>
                </c:pt>
                <c:pt idx="33">
                  <c:v>0.29048243058383044</c:v>
                </c:pt>
                <c:pt idx="34">
                  <c:v>0.30711261794731248</c:v>
                </c:pt>
                <c:pt idx="35">
                  <c:v>0.31491821491234545</c:v>
                </c:pt>
                <c:pt idx="36">
                  <c:v>0.31431251987112502</c:v>
                </c:pt>
              </c:numCache>
            </c:numRef>
          </c:xVal>
          <c:yVal>
            <c:numRef>
              <c:f>Orbits!$J$14:$J$50</c:f>
              <c:numCache>
                <c:formatCode>_-* #,##0.0_-;\-* #,##0.0_-;_-* "-"??_-;_-@_-</c:formatCode>
                <c:ptCount val="37"/>
                <c:pt idx="0">
                  <c:v>0</c:v>
                </c:pt>
                <c:pt idx="1">
                  <c:v>5.390796419450939E-2</c:v>
                </c:pt>
                <c:pt idx="2">
                  <c:v>0.10540133487496443</c:v>
                </c:pt>
                <c:pt idx="3">
                  <c:v>0.15375012981607888</c:v>
                </c:pt>
                <c:pt idx="4">
                  <c:v>0.19825201143736196</c:v>
                </c:pt>
                <c:pt idx="5">
                  <c:v>0.23820049810203561</c:v>
                </c:pt>
                <c:pt idx="6">
                  <c:v>0.27285862248915621</c:v>
                </c:pt>
                <c:pt idx="7">
                  <c:v>0.30143932554555569</c:v>
                </c:pt>
                <c:pt idx="8">
                  <c:v>0.32309470333940127</c:v>
                </c:pt>
                <c:pt idx="9">
                  <c:v>0.3369174018262156</c:v>
                </c:pt>
                <c:pt idx="10">
                  <c:v>0.34195884458318521</c:v>
                </c:pt>
                <c:pt idx="11">
                  <c:v>0.33727028580190493</c:v>
                </c:pt>
                <c:pt idx="12">
                  <c:v>0.3219733274851338</c:v>
                </c:pt>
                <c:pt idx="13">
                  <c:v>0.29536555364435141</c:v>
                </c:pt>
                <c:pt idx="14">
                  <c:v>0.25706295664675738</c:v>
                </c:pt>
                <c:pt idx="15">
                  <c:v>0.20717244396016013</c:v>
                </c:pt>
                <c:pt idx="16">
                  <c:v>0.14647432716414555</c:v>
                </c:pt>
                <c:pt idx="17">
                  <c:v>7.6578041729208179E-2</c:v>
                </c:pt>
                <c:pt idx="18">
                  <c:v>5.5355516084004642E-17</c:v>
                </c:pt>
                <c:pt idx="19">
                  <c:v>-7.9890174028801483E-2</c:v>
                </c:pt>
                <c:pt idx="20">
                  <c:v>-0.1590901270907592</c:v>
                </c:pt>
                <c:pt idx="21">
                  <c:v>-0.23334462007984882</c:v>
                </c:pt>
                <c:pt idx="22">
                  <c:v>-0.29862264570649866</c:v>
                </c:pt>
                <c:pt idx="23">
                  <c:v>-0.35158710666160281</c:v>
                </c:pt>
                <c:pt idx="24">
                  <c:v>-0.38994601373540327</c:v>
                </c:pt>
                <c:pt idx="25">
                  <c:v>-0.41261083066155246</c:v>
                </c:pt>
                <c:pt idx="26">
                  <c:v>-0.41964989914087281</c:v>
                </c:pt>
                <c:pt idx="27">
                  <c:v>-0.41208280439109757</c:v>
                </c:pt>
                <c:pt idx="28">
                  <c:v>-0.39159205159252131</c:v>
                </c:pt>
                <c:pt idx="29">
                  <c:v>-0.3602269907040257</c:v>
                </c:pt>
                <c:pt idx="30">
                  <c:v>-0.3201524629392139</c:v>
                </c:pt>
                <c:pt idx="31">
                  <c:v>-0.27346655812142218</c:v>
                </c:pt>
                <c:pt idx="32">
                  <c:v>-0.22208920384080194</c:v>
                </c:pt>
                <c:pt idx="33">
                  <c:v>-0.16771010949243148</c:v>
                </c:pt>
                <c:pt idx="34">
                  <c:v>-0.11177985150038999</c:v>
                </c:pt>
                <c:pt idx="35">
                  <c:v>-5.5528578005593382E-2</c:v>
                </c:pt>
                <c:pt idx="36">
                  <c:v>-7.7015899615708743E-17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7CA-47F9-817F-8BFE094CE0B9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Orbits!$N$14:$N$50</c:f>
              <c:numCache>
                <c:formatCode>_-* #,##0.0_-;\-* #,##0.0_-;_-* "-"??_-;_-@_-</c:formatCode>
                <c:ptCount val="37"/>
                <c:pt idx="0">
                  <c:v>0.72050300143027768</c:v>
                </c:pt>
                <c:pt idx="1">
                  <c:v>0.70891923458244865</c:v>
                </c:pt>
                <c:pt idx="2">
                  <c:v>0.67593309219368236</c:v>
                </c:pt>
                <c:pt idx="3">
                  <c:v>0.62257832569691185</c:v>
                </c:pt>
                <c:pt idx="4">
                  <c:v>0.55048220743754395</c:v>
                </c:pt>
                <c:pt idx="5">
                  <c:v>0.46181543265617275</c:v>
                </c:pt>
                <c:pt idx="6">
                  <c:v>0.3592285772044897</c:v>
                </c:pt>
                <c:pt idx="7">
                  <c:v>0.24577674767675131</c:v>
                </c:pt>
                <c:pt idx="8">
                  <c:v>0.12483410445591876</c:v>
                </c:pt>
                <c:pt idx="9">
                  <c:v>4.4063211238969108E-17</c:v>
                </c:pt>
                <c:pt idx="10">
                  <c:v>-0.12500142161296993</c:v>
                </c:pt>
                <c:pt idx="11">
                  <c:v>-0.24642615902775411</c:v>
                </c:pt>
                <c:pt idx="12">
                  <c:v>-0.36061760224210759</c:v>
                </c:pt>
                <c:pt idx="13">
                  <c:v>-0.46411361787904004</c:v>
                </c:pt>
                <c:pt idx="14">
                  <c:v>-0.55375071777627971</c:v>
                </c:pt>
                <c:pt idx="15">
                  <c:v>-0.62676230124858789</c:v>
                </c:pt>
                <c:pt idx="16">
                  <c:v>-0.68086776952037242</c:v>
                </c:pt>
                <c:pt idx="17">
                  <c:v>-0.71434923191832822</c:v>
                </c:pt>
                <c:pt idx="18">
                  <c:v>-0.72611260336010908</c:v>
                </c:pt>
                <c:pt idx="19">
                  <c:v>-0.71573016809167289</c:v>
                </c:pt>
                <c:pt idx="20">
                  <c:v>-0.68346217623297145</c:v>
                </c:pt>
                <c:pt idx="21">
                  <c:v>-0.63025574683570729</c:v>
                </c:pt>
                <c:pt idx="22">
                  <c:v>-0.55772024856080893</c:v>
                </c:pt>
                <c:pt idx="23">
                  <c:v>-0.46807936674411232</c:v>
                </c:pt>
                <c:pt idx="24">
                  <c:v>-0.36410117235428591</c:v>
                </c:pt>
                <c:pt idx="25">
                  <c:v>-0.2490085988731959</c:v>
                </c:pt>
                <c:pt idx="26">
                  <c:v>-0.12637371785250268</c:v>
                </c:pt>
                <c:pt idx="27">
                  <c:v>-1.3366235808193767E-16</c:v>
                </c:pt>
                <c:pt idx="28">
                  <c:v>0.12620270934547465</c:v>
                </c:pt>
                <c:pt idx="29">
                  <c:v>0.24834552341346808</c:v>
                </c:pt>
                <c:pt idx="30">
                  <c:v>0.36268523438830536</c:v>
                </c:pt>
                <c:pt idx="31">
                  <c:v>0.46574183765301758</c:v>
                </c:pt>
                <c:pt idx="32">
                  <c:v>0.55440485028062991</c:v>
                </c:pt>
                <c:pt idx="33">
                  <c:v>0.62602515745429022</c:v>
                </c:pt>
                <c:pt idx="34">
                  <c:v>0.67848995797630129</c:v>
                </c:pt>
                <c:pt idx="35">
                  <c:v>0.71027923668555415</c:v>
                </c:pt>
                <c:pt idx="36">
                  <c:v>0.72050300143027768</c:v>
                </c:pt>
              </c:numCache>
            </c:numRef>
          </c:xVal>
          <c:yVal>
            <c:numRef>
              <c:f>Orbits!$O$14:$O$50</c:f>
              <c:numCache>
                <c:formatCode>_-* #,##0.0_-;\-* #,##0.0_-;_-* "-"??_-;_-@_-</c:formatCode>
                <c:ptCount val="37"/>
                <c:pt idx="0">
                  <c:v>0</c:v>
                </c:pt>
                <c:pt idx="1">
                  <c:v>0.12500158820007917</c:v>
                </c:pt>
                <c:pt idx="2">
                  <c:v>0.24601952591401308</c:v>
                </c:pt>
                <c:pt idx="3">
                  <c:v>0.35944576393273847</c:v>
                </c:pt>
                <c:pt idx="4">
                  <c:v>0.461909417230498</c:v>
                </c:pt>
                <c:pt idx="5">
                  <c:v>0.55037020098344325</c:v>
                </c:pt>
                <c:pt idx="6">
                  <c:v>0.62220214724885503</c:v>
                </c:pt>
                <c:pt idx="7">
                  <c:v>0.67526606446887028</c:v>
                </c:pt>
                <c:pt idx="8">
                  <c:v>0.70796938706910995</c:v>
                </c:pt>
                <c:pt idx="9">
                  <c:v>0.71931219539032343</c:v>
                </c:pt>
                <c:pt idx="10">
                  <c:v>0.70891828982000482</c:v>
                </c:pt>
                <c:pt idx="11">
                  <c:v>0.67705030749168826</c:v>
                </c:pt>
                <c:pt idx="12">
                  <c:v>0.62460800918699499</c:v>
                </c:pt>
                <c:pt idx="13">
                  <c:v>0.55310907147924226</c:v>
                </c:pt>
                <c:pt idx="14">
                  <c:v>0.46465202305023057</c:v>
                </c:pt>
                <c:pt idx="15">
                  <c:v>0.36186138334378143</c:v>
                </c:pt>
                <c:pt idx="16">
                  <c:v>0.24781560157663673</c:v>
                </c:pt>
                <c:pt idx="17">
                  <c:v>0.12595904323556978</c:v>
                </c:pt>
                <c:pt idx="18">
                  <c:v>8.8959573409631329E-17</c:v>
                </c:pt>
                <c:pt idx="19">
                  <c:v>-0.1262025395415669</c:v>
                </c:pt>
                <c:pt idx="20">
                  <c:v>-0.24875988839560306</c:v>
                </c:pt>
                <c:pt idx="21">
                  <c:v>-0.36387832509390428</c:v>
                </c:pt>
                <c:pt idx="22">
                  <c:v>-0.46798285486747565</c:v>
                </c:pt>
                <c:pt idx="23">
                  <c:v>-0.55783526693651841</c:v>
                </c:pt>
                <c:pt idx="24">
                  <c:v>-0.63064172961301512</c:v>
                </c:pt>
                <c:pt idx="25">
                  <c:v>-0.68414550265413987</c:v>
                </c:pt>
                <c:pt idx="26">
                  <c:v>-0.71670096853439647</c:v>
                </c:pt>
                <c:pt idx="27">
                  <c:v>-0.72732605068614387</c:v>
                </c:pt>
                <c:pt idx="28">
                  <c:v>-0.71573113109748998</c:v>
                </c:pt>
                <c:pt idx="29">
                  <c:v>-0.6823237178011422</c:v>
                </c:pt>
                <c:pt idx="30">
                  <c:v>-0.62818925311557172</c:v>
                </c:pt>
                <c:pt idx="31">
                  <c:v>-0.55504950824441313</c:v>
                </c:pt>
                <c:pt idx="32">
                  <c:v>-0.465200905393372</c:v>
                </c:pt>
                <c:pt idx="33">
                  <c:v>-0.36143579317571278</c:v>
                </c:pt>
                <c:pt idx="34">
                  <c:v>-0.24695014895190007</c:v>
                </c:pt>
                <c:pt idx="35">
                  <c:v>-0.12524139326467698</c:v>
                </c:pt>
                <c:pt idx="36">
                  <c:v>-1.7654462779186558E-16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7CA-47F9-817F-8BFE094CE0B9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Orbits!$S$14:$S$50</c:f>
              <c:numCache>
                <c:formatCode>_-* #,##0.0_-;\-* #,##0.0_-;_-* "-"??_-;_-@_-</c:formatCode>
                <c:ptCount val="37"/>
                <c:pt idx="0">
                  <c:v>1.4708552998962341</c:v>
                </c:pt>
                <c:pt idx="1">
                  <c:v>1.4713516148640002</c:v>
                </c:pt>
                <c:pt idx="2">
                  <c:v>1.4269179837660351</c:v>
                </c:pt>
                <c:pt idx="3">
                  <c:v>1.3367073897226225</c:v>
                </c:pt>
                <c:pt idx="4">
                  <c:v>1.2013678794313745</c:v>
                </c:pt>
                <c:pt idx="5">
                  <c:v>1.0233028567318176</c:v>
                </c:pt>
                <c:pt idx="6">
                  <c:v>0.80685864531994655</c:v>
                </c:pt>
                <c:pt idx="7">
                  <c:v>0.55838876340151677</c:v>
                </c:pt>
                <c:pt idx="8">
                  <c:v>0.28614962906502528</c:v>
                </c:pt>
                <c:pt idx="9">
                  <c:v>1.0161242899843102E-16</c:v>
                </c:pt>
                <c:pt idx="10">
                  <c:v>-0.28909426213486378</c:v>
                </c:pt>
                <c:pt idx="11">
                  <c:v>-0.56971253154669776</c:v>
                </c:pt>
                <c:pt idx="12">
                  <c:v>-0.83071748586555427</c:v>
                </c:pt>
                <c:pt idx="13">
                  <c:v>-1.0619859766813935</c:v>
                </c:pt>
                <c:pt idx="14">
                  <c:v>-1.255037851109214</c:v>
                </c:pt>
                <c:pt idx="15">
                  <c:v>-1.4034869013420723</c:v>
                </c:pt>
                <c:pt idx="16">
                  <c:v>-1.5032725963668301</c:v>
                </c:pt>
                <c:pt idx="17">
                  <c:v>-1.5526710694413575</c:v>
                </c:pt>
                <c:pt idx="18">
                  <c:v>-1.5521183875213154</c:v>
                </c:pt>
                <c:pt idx="19">
                  <c:v>-1.5039010895677676</c:v>
                </c:pt>
                <c:pt idx="20">
                  <c:v>-1.4117760919843476</c:v>
                </c:pt>
                <c:pt idx="21">
                  <c:v>-1.2805765780487948</c:v>
                </c:pt>
                <c:pt idx="22">
                  <c:v>-1.1158471754321775</c:v>
                </c:pt>
                <c:pt idx="23">
                  <c:v>-0.92353564946083277</c:v>
                </c:pt>
                <c:pt idx="24">
                  <c:v>-0.70975338008988009</c:v>
                </c:pt>
                <c:pt idx="25">
                  <c:v>-0.48060519969590054</c:v>
                </c:pt>
                <c:pt idx="26">
                  <c:v>-0.24208135450829132</c:v>
                </c:pt>
                <c:pt idx="27">
                  <c:v>-2.5477795693663567E-16</c:v>
                </c:pt>
                <c:pt idx="28">
                  <c:v>0.24001314328191242</c:v>
                </c:pt>
                <c:pt idx="29">
                  <c:v>0.47252152939795367</c:v>
                </c:pt>
                <c:pt idx="30">
                  <c:v>0.69226386933613548</c:v>
                </c:pt>
                <c:pt idx="31">
                  <c:v>0.89414166090717973</c:v>
                </c:pt>
                <c:pt idx="32">
                  <c:v>1.0732194859383688</c:v>
                </c:pt>
                <c:pt idx="33">
                  <c:v>1.2247487066237668</c:v>
                </c:pt>
                <c:pt idx="34">
                  <c:v>1.3442244160240795</c:v>
                </c:pt>
                <c:pt idx="35">
                  <c:v>1.4274842411825972</c:v>
                </c:pt>
                <c:pt idx="36">
                  <c:v>1.4708552998962341</c:v>
                </c:pt>
              </c:numCache>
            </c:numRef>
          </c:xVal>
          <c:yVal>
            <c:numRef>
              <c:f>Orbits!$T$14:$T$50</c:f>
              <c:numCache>
                <c:formatCode>_-* #,##0.0_-;\-* #,##0.0_-;_-* "-"??_-;_-@_-</c:formatCode>
                <c:ptCount val="37"/>
                <c:pt idx="0">
                  <c:v>0</c:v>
                </c:pt>
                <c:pt idx="1">
                  <c:v>0.25943898780949337</c:v>
                </c:pt>
                <c:pt idx="2">
                  <c:v>0.51935567282998085</c:v>
                </c:pt>
                <c:pt idx="3">
                  <c:v>0.77174837128411788</c:v>
                </c:pt>
                <c:pt idx="4">
                  <c:v>1.0080673445390973</c:v>
                </c:pt>
                <c:pt idx="5">
                  <c:v>1.2195248558220615</c:v>
                </c:pt>
                <c:pt idx="6">
                  <c:v>1.3975201682203433</c:v>
                </c:pt>
                <c:pt idx="7">
                  <c:v>1.5341605187228564</c:v>
                </c:pt>
                <c:pt idx="8">
                  <c:v>1.6228351890068287</c:v>
                </c:pt>
                <c:pt idx="9">
                  <c:v>1.6587774092407432</c:v>
                </c:pt>
                <c:pt idx="10">
                  <c:v>1.6395350330012497</c:v>
                </c:pt>
                <c:pt idx="11">
                  <c:v>1.5652723160048814</c:v>
                </c:pt>
                <c:pt idx="12">
                  <c:v>1.4388448922550214</c:v>
                </c:pt>
                <c:pt idx="13">
                  <c:v>1.2656256029947215</c:v>
                </c:pt>
                <c:pt idx="14">
                  <c:v>1.0531017979792678</c:v>
                </c:pt>
                <c:pt idx="15">
                  <c:v>0.81030354029395901</c:v>
                </c:pt>
                <c:pt idx="16">
                  <c:v>0.54714647906559766</c:v>
                </c:pt>
                <c:pt idx="17">
                  <c:v>0.27377780170797777</c:v>
                </c:pt>
                <c:pt idx="18">
                  <c:v>1.9015754443069983E-16</c:v>
                </c:pt>
                <c:pt idx="19">
                  <c:v>-0.26517833840765537</c:v>
                </c:pt>
                <c:pt idx="20">
                  <c:v>-0.51384447493096652</c:v>
                </c:pt>
                <c:pt idx="21">
                  <c:v>-0.73934123205440161</c:v>
                </c:pt>
                <c:pt idx="22">
                  <c:v>-0.93630695335534975</c:v>
                </c:pt>
                <c:pt idx="23">
                  <c:v>-1.1006269281337739</c:v>
                </c:pt>
                <c:pt idx="24">
                  <c:v>-1.2293289151594156</c:v>
                </c:pt>
                <c:pt idx="25">
                  <c:v>-1.3204519338369669</c:v>
                </c:pt>
                <c:pt idx="26">
                  <c:v>-1.3729115846913025</c:v>
                </c:pt>
                <c:pt idx="27">
                  <c:v>-1.3863786923990298</c:v>
                </c:pt>
                <c:pt idx="28">
                  <c:v>-1.3611821759640135</c:v>
                </c:pt>
                <c:pt idx="29">
                  <c:v>-1.2982422322270402</c:v>
                </c:pt>
                <c:pt idx="30">
                  <c:v>-1.199036193934409</c:v>
                </c:pt>
                <c:pt idx="31">
                  <c:v>-1.0655965366742854</c:v>
                </c:pt>
                <c:pt idx="32">
                  <c:v>-0.90053807482315584</c:v>
                </c:pt>
                <c:pt idx="33">
                  <c:v>-0.70710899545887862</c:v>
                </c:pt>
                <c:pt idx="34">
                  <c:v>-0.48925767560663308</c:v>
                </c:pt>
                <c:pt idx="35">
                  <c:v>-0.25170398625664164</c:v>
                </c:pt>
                <c:pt idx="36">
                  <c:v>-3.6040321961240524E-16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7CA-47F9-817F-8BFE094CE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957848"/>
        <c:axId val="615953584"/>
      </c:scatterChart>
      <c:valAx>
        <c:axId val="615957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_-;\-* #,##0.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953584"/>
        <c:crosses val="autoZero"/>
        <c:crossBetween val="midCat"/>
      </c:valAx>
      <c:valAx>
        <c:axId val="61595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_-;\-* #,##0.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957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27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556094</xdr:colOff>
      <xdr:row>30</xdr:row>
      <xdr:rowOff>0</xdr:rowOff>
    </xdr:from>
    <xdr:to>
      <xdr:col>6</xdr:col>
      <xdr:colOff>845710</xdr:colOff>
      <xdr:row>31</xdr:row>
      <xdr:rowOff>9485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720BBDC-8811-4EBC-B1BC-D8DABD4DE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37794" y="4791075"/>
          <a:ext cx="289616" cy="209510"/>
        </a:xfrm>
        <a:prstGeom prst="rect">
          <a:avLst/>
        </a:prstGeom>
      </xdr:spPr>
    </xdr:pic>
    <xdr:clientData/>
  </xdr:twoCellAnchor>
  <xdr:twoCellAnchor editAs="oneCell">
    <xdr:from>
      <xdr:col>7</xdr:col>
      <xdr:colOff>514350</xdr:colOff>
      <xdr:row>30</xdr:row>
      <xdr:rowOff>0</xdr:rowOff>
    </xdr:from>
    <xdr:to>
      <xdr:col>7</xdr:col>
      <xdr:colOff>857886</xdr:colOff>
      <xdr:row>31</xdr:row>
      <xdr:rowOff>76151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A57EED7-7489-480B-92D2-999F9BC09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2900" y="4724400"/>
          <a:ext cx="343536" cy="2761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266700</xdr:colOff>
      <xdr:row>8</xdr:row>
      <xdr:rowOff>142875</xdr:rowOff>
    </xdr:from>
    <xdr:to>
      <xdr:col>17</xdr:col>
      <xdr:colOff>142875</xdr:colOff>
      <xdr:row>13</xdr:row>
      <xdr:rowOff>57584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57798B-ABC2-44E5-B4D3-12166F617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39325" y="1771650"/>
          <a:ext cx="4752975" cy="867209"/>
        </a:xfrm>
        <a:prstGeom prst="rect">
          <a:avLst/>
        </a:prstGeom>
      </xdr:spPr>
    </xdr:pic>
    <xdr:clientData/>
  </xdr:twoCellAnchor>
  <xdr:twoCellAnchor editAs="oneCell">
    <xdr:from>
      <xdr:col>9</xdr:col>
      <xdr:colOff>333375</xdr:colOff>
      <xdr:row>15</xdr:row>
      <xdr:rowOff>131950</xdr:rowOff>
    </xdr:from>
    <xdr:to>
      <xdr:col>17</xdr:col>
      <xdr:colOff>190500</xdr:colOff>
      <xdr:row>20</xdr:row>
      <xdr:rowOff>28985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EA207F-6471-4037-9BC3-19D18D181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00" y="3094225"/>
          <a:ext cx="4733925" cy="849535"/>
        </a:xfrm>
        <a:prstGeom prst="rect">
          <a:avLst/>
        </a:prstGeom>
      </xdr:spPr>
    </xdr:pic>
    <xdr:clientData/>
  </xdr:twoCellAnchor>
  <xdr:oneCellAnchor>
    <xdr:from>
      <xdr:col>9</xdr:col>
      <xdr:colOff>60872</xdr:colOff>
      <xdr:row>35</xdr:row>
      <xdr:rowOff>136023</xdr:rowOff>
    </xdr:from>
    <xdr:ext cx="1707070" cy="1031629"/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4C6BE52-BD6D-42BB-A22A-0030BEF6B78A}"/>
            </a:ext>
          </a:extLst>
        </xdr:cNvPr>
        <xdr:cNvSpPr/>
      </xdr:nvSpPr>
      <xdr:spPr>
        <a:xfrm>
          <a:off x="9633497" y="6908298"/>
          <a:ext cx="1707070" cy="1031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Note</a:t>
          </a:r>
        </a:p>
        <a:p>
          <a:pPr algn="ctr"/>
          <a:r>
            <a:rPr lang="en-US" sz="2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Earth</a:t>
          </a:r>
          <a:r>
            <a:rPr lang="en-US" sz="20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rotation </a:t>
          </a:r>
        </a:p>
        <a:p>
          <a:pPr algn="ctr"/>
          <a:r>
            <a:rPr lang="en-US" sz="20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not required</a:t>
          </a:r>
          <a:endParaRPr lang="en-US" sz="2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161925</xdr:colOff>
      <xdr:row>19</xdr:row>
      <xdr:rowOff>114300</xdr:rowOff>
    </xdr:from>
    <xdr:to>
      <xdr:col>10</xdr:col>
      <xdr:colOff>418839</xdr:colOff>
      <xdr:row>24</xdr:row>
      <xdr:rowOff>47514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3E5ADF-3676-41E1-A0DE-3BA63E8C9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57925" y="3867150"/>
          <a:ext cx="2085714" cy="8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5</xdr:row>
      <xdr:rowOff>47625</xdr:rowOff>
    </xdr:from>
    <xdr:to>
      <xdr:col>16</xdr:col>
      <xdr:colOff>551681</xdr:colOff>
      <xdr:row>17</xdr:row>
      <xdr:rowOff>199720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431E2F-327A-407F-8318-CC720526B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91275" y="1114425"/>
          <a:ext cx="6152381" cy="2438095"/>
        </a:xfrm>
        <a:prstGeom prst="rect">
          <a:avLst/>
        </a:prstGeom>
      </xdr:spPr>
    </xdr:pic>
    <xdr:clientData/>
  </xdr:twoCellAnchor>
  <xdr:oneCellAnchor>
    <xdr:from>
      <xdr:col>7</xdr:col>
      <xdr:colOff>219075</xdr:colOff>
      <xdr:row>34</xdr:row>
      <xdr:rowOff>85725</xdr:rowOff>
    </xdr:from>
    <xdr:ext cx="5180952" cy="609524"/>
    <xdr:pic>
      <xdr:nvPicPr>
        <xdr:cNvPr id="5" name="Picture 4">
          <a:extLst>
            <a:ext uri="{FF2B5EF4-FFF2-40B4-BE49-F238E27FC236}">
              <a16:creationId xmlns:a16="http://schemas.microsoft.com/office/drawing/2014/main" id="{E3F969DC-E4D7-4EFE-9A57-ACBE8D970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67425" y="1181100"/>
          <a:ext cx="5180952" cy="609524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</xdr:colOff>
      <xdr:row>35</xdr:row>
      <xdr:rowOff>0</xdr:rowOff>
    </xdr:from>
    <xdr:to>
      <xdr:col>9</xdr:col>
      <xdr:colOff>9524</xdr:colOff>
      <xdr:row>39</xdr:row>
      <xdr:rowOff>180975</xdr:rowOff>
    </xdr:to>
    <xdr:sp macro="" textlink="">
      <xdr:nvSpPr>
        <xdr:cNvPr id="4" name="Smiley Face 3">
          <a:extLst>
            <a:ext uri="{FF2B5EF4-FFF2-40B4-BE49-F238E27FC236}">
              <a16:creationId xmlns:a16="http://schemas.microsoft.com/office/drawing/2014/main" id="{C1CD6C3F-BDB2-4EBB-BE26-5B68BBB7E29A}"/>
            </a:ext>
          </a:extLst>
        </xdr:cNvPr>
        <xdr:cNvSpPr/>
      </xdr:nvSpPr>
      <xdr:spPr>
        <a:xfrm>
          <a:off x="9010649" y="6791325"/>
          <a:ext cx="962025" cy="942975"/>
        </a:xfrm>
        <a:prstGeom prst="smileyFac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361950</xdr:colOff>
      <xdr:row>37</xdr:row>
      <xdr:rowOff>19050</xdr:rowOff>
    </xdr:from>
    <xdr:to>
      <xdr:col>33</xdr:col>
      <xdr:colOff>551893</xdr:colOff>
      <xdr:row>45</xdr:row>
      <xdr:rowOff>85526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7A1699B-6766-49E8-8637-DB91D0A4F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87575" y="7200900"/>
          <a:ext cx="4457143" cy="15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9</xdr:row>
      <xdr:rowOff>57150</xdr:rowOff>
    </xdr:from>
    <xdr:to>
      <xdr:col>12</xdr:col>
      <xdr:colOff>342574</xdr:colOff>
      <xdr:row>16</xdr:row>
      <xdr:rowOff>18888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D397EA-1EE2-4281-82A0-00FD42214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24775" y="1876425"/>
          <a:ext cx="2609524" cy="12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2</xdr:row>
      <xdr:rowOff>76200</xdr:rowOff>
    </xdr:from>
    <xdr:to>
      <xdr:col>15</xdr:col>
      <xdr:colOff>599494</xdr:colOff>
      <xdr:row>7</xdr:row>
      <xdr:rowOff>114176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9E393DE-9459-47D7-A423-5909A9A70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00" y="561975"/>
          <a:ext cx="4647619" cy="99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</xdr:colOff>
      <xdr:row>3</xdr:row>
      <xdr:rowOff>23131</xdr:rowOff>
    </xdr:from>
    <xdr:to>
      <xdr:col>15</xdr:col>
      <xdr:colOff>647617</xdr:colOff>
      <xdr:row>4</xdr:row>
      <xdr:rowOff>180926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1069E7-6139-4C08-B18F-3AA4DCE68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30050" y="594631"/>
          <a:ext cx="609517" cy="348295"/>
        </a:xfrm>
        <a:prstGeom prst="rect">
          <a:avLst/>
        </a:prstGeom>
      </xdr:spPr>
    </xdr:pic>
    <xdr:clientData/>
  </xdr:twoCellAnchor>
  <xdr:twoCellAnchor editAs="oneCell">
    <xdr:from>
      <xdr:col>18</xdr:col>
      <xdr:colOff>228600</xdr:colOff>
      <xdr:row>3</xdr:row>
      <xdr:rowOff>57150</xdr:rowOff>
    </xdr:from>
    <xdr:to>
      <xdr:col>18</xdr:col>
      <xdr:colOff>514314</xdr:colOff>
      <xdr:row>4</xdr:row>
      <xdr:rowOff>180936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5AFEBA-FD32-4AA7-9AAE-8BE65E35A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77950" y="628650"/>
          <a:ext cx="285714" cy="3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</xdr:colOff>
      <xdr:row>3</xdr:row>
      <xdr:rowOff>38100</xdr:rowOff>
    </xdr:from>
    <xdr:to>
      <xdr:col>17</xdr:col>
      <xdr:colOff>600010</xdr:colOff>
      <xdr:row>4</xdr:row>
      <xdr:rowOff>152362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DBE73B-5949-4BE5-8ED5-8DC9C1ECA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39750" y="609600"/>
          <a:ext cx="523810" cy="304762"/>
        </a:xfrm>
        <a:prstGeom prst="rect">
          <a:avLst/>
        </a:prstGeom>
      </xdr:spPr>
    </xdr:pic>
    <xdr:clientData/>
  </xdr:twoCellAnchor>
  <xdr:twoCellAnchor editAs="oneCell">
    <xdr:from>
      <xdr:col>19</xdr:col>
      <xdr:colOff>142875</xdr:colOff>
      <xdr:row>3</xdr:row>
      <xdr:rowOff>57150</xdr:rowOff>
    </xdr:from>
    <xdr:to>
      <xdr:col>19</xdr:col>
      <xdr:colOff>609542</xdr:colOff>
      <xdr:row>4</xdr:row>
      <xdr:rowOff>152364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59E1176-EC5C-4A2E-9F2E-7AD1F2E62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01850" y="628650"/>
          <a:ext cx="466667" cy="285714"/>
        </a:xfrm>
        <a:prstGeom prst="rect">
          <a:avLst/>
        </a:prstGeom>
      </xdr:spPr>
    </xdr:pic>
    <xdr:clientData/>
  </xdr:twoCellAnchor>
  <xdr:twoCellAnchor editAs="oneCell">
    <xdr:from>
      <xdr:col>16</xdr:col>
      <xdr:colOff>161925</xdr:colOff>
      <xdr:row>3</xdr:row>
      <xdr:rowOff>95250</xdr:rowOff>
    </xdr:from>
    <xdr:to>
      <xdr:col>16</xdr:col>
      <xdr:colOff>533354</xdr:colOff>
      <xdr:row>4</xdr:row>
      <xdr:rowOff>123798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041315-72B6-41AB-902C-89F2D984C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639675" y="666750"/>
          <a:ext cx="371429" cy="219048"/>
        </a:xfrm>
        <a:prstGeom prst="rect">
          <a:avLst/>
        </a:prstGeom>
      </xdr:spPr>
    </xdr:pic>
    <xdr:clientData/>
  </xdr:twoCellAnchor>
  <xdr:twoCellAnchor editAs="oneCell">
    <xdr:from>
      <xdr:col>20</xdr:col>
      <xdr:colOff>152400</xdr:colOff>
      <xdr:row>3</xdr:row>
      <xdr:rowOff>28575</xdr:rowOff>
    </xdr:from>
    <xdr:to>
      <xdr:col>20</xdr:col>
      <xdr:colOff>657162</xdr:colOff>
      <xdr:row>4</xdr:row>
      <xdr:rowOff>161885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FD12514-D441-411A-8195-DCE1456AA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621000" y="600075"/>
          <a:ext cx="504762" cy="323810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190500</xdr:colOff>
      <xdr:row>45</xdr:row>
      <xdr:rowOff>180975</xdr:rowOff>
    </xdr:from>
    <xdr:to>
      <xdr:col>41</xdr:col>
      <xdr:colOff>484259</xdr:colOff>
      <xdr:row>97</xdr:row>
      <xdr:rowOff>179737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80B4F2-4D5C-453E-AC7F-9C094394D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030825" y="8905875"/>
          <a:ext cx="12123809" cy="990476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57</xdr:col>
      <xdr:colOff>323850</xdr:colOff>
      <xdr:row>14</xdr:row>
      <xdr:rowOff>114300</xdr:rowOff>
    </xdr:from>
    <xdr:to>
      <xdr:col>57</xdr:col>
      <xdr:colOff>2971469</xdr:colOff>
      <xdr:row>60</xdr:row>
      <xdr:rowOff>122712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91AF89-AD99-4A8E-B5EE-3B9D01501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16275" y="2905125"/>
          <a:ext cx="2647619" cy="890476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</xdr:row>
      <xdr:rowOff>85725</xdr:rowOff>
    </xdr:from>
    <xdr:to>
      <xdr:col>6</xdr:col>
      <xdr:colOff>219075</xdr:colOff>
      <xdr:row>71</xdr:row>
      <xdr:rowOff>180975</xdr:rowOff>
    </xdr:to>
    <xdr:cxnSp macro="">
      <xdr:nvCxnSpPr>
        <xdr:cNvPr id="7" name="Connector: Elbow 6">
          <a:extLst>
            <a:ext uri="{FF2B5EF4-FFF2-40B4-BE49-F238E27FC236}">
              <a16:creationId xmlns:a16="http://schemas.microsoft.com/office/drawing/2014/main" id="{A094D139-34C4-43AC-9DB8-0935C2D19048}"/>
            </a:ext>
          </a:extLst>
        </xdr:cNvPr>
        <xdr:cNvCxnSpPr/>
      </xdr:nvCxnSpPr>
      <xdr:spPr>
        <a:xfrm>
          <a:off x="8181977" y="11010900"/>
          <a:ext cx="5514973" cy="295275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150514</xdr:colOff>
      <xdr:row>15</xdr:row>
      <xdr:rowOff>133350</xdr:rowOff>
    </xdr:from>
    <xdr:to>
      <xdr:col>18</xdr:col>
      <xdr:colOff>75581</xdr:colOff>
      <xdr:row>32</xdr:row>
      <xdr:rowOff>151919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4A5413-51B7-4EDB-83DC-4145674CC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99114" y="3171825"/>
          <a:ext cx="4192267" cy="325706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47624</xdr:colOff>
      <xdr:row>3</xdr:row>
      <xdr:rowOff>95250</xdr:rowOff>
    </xdr:from>
    <xdr:to>
      <xdr:col>25</xdr:col>
      <xdr:colOff>704767</xdr:colOff>
      <xdr:row>7</xdr:row>
      <xdr:rowOff>9440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D091AD-F12C-4600-960F-F4A2ABE95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41499" y="769938"/>
          <a:ext cx="657143" cy="6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35279</xdr:colOff>
      <xdr:row>9</xdr:row>
      <xdr:rowOff>103187</xdr:rowOff>
    </xdr:from>
    <xdr:to>
      <xdr:col>25</xdr:col>
      <xdr:colOff>706439</xdr:colOff>
      <xdr:row>13</xdr:row>
      <xdr:rowOff>66040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128166-F0FB-4EA6-B094-D73E41D63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29154" y="1920875"/>
          <a:ext cx="671160" cy="724853"/>
        </a:xfrm>
        <a:prstGeom prst="rect">
          <a:avLst/>
        </a:prstGeom>
      </xdr:spPr>
    </xdr:pic>
    <xdr:clientData/>
  </xdr:twoCellAnchor>
  <xdr:twoCellAnchor editAs="oneCell">
    <xdr:from>
      <xdr:col>25</xdr:col>
      <xdr:colOff>42110</xdr:colOff>
      <xdr:row>15</xdr:row>
      <xdr:rowOff>119062</xdr:rowOff>
    </xdr:from>
    <xdr:to>
      <xdr:col>25</xdr:col>
      <xdr:colOff>690563</xdr:colOff>
      <xdr:row>19</xdr:row>
      <xdr:rowOff>57097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9ABCA7-12B3-4DDB-A73A-3230EBFFF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35985" y="3079750"/>
          <a:ext cx="648453" cy="700035"/>
        </a:xfrm>
        <a:prstGeom prst="rect">
          <a:avLst/>
        </a:prstGeom>
      </xdr:spPr>
    </xdr:pic>
    <xdr:clientData/>
  </xdr:twoCellAnchor>
  <xdr:twoCellAnchor editAs="oneCell">
    <xdr:from>
      <xdr:col>25</xdr:col>
      <xdr:colOff>52079</xdr:colOff>
      <xdr:row>21</xdr:row>
      <xdr:rowOff>63499</xdr:rowOff>
    </xdr:from>
    <xdr:to>
      <xdr:col>25</xdr:col>
      <xdr:colOff>650875</xdr:colOff>
      <xdr:row>25</xdr:row>
      <xdr:rowOff>133843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06F851-7AC3-4FCE-BAB8-36D2AC7A4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45954" y="4167187"/>
          <a:ext cx="598796" cy="832344"/>
        </a:xfrm>
        <a:prstGeom prst="rect">
          <a:avLst/>
        </a:prstGeom>
      </xdr:spPr>
    </xdr:pic>
    <xdr:clientData/>
  </xdr:twoCellAnchor>
  <xdr:twoCellAnchor editAs="oneCell">
    <xdr:from>
      <xdr:col>25</xdr:col>
      <xdr:colOff>36012</xdr:colOff>
      <xdr:row>27</xdr:row>
      <xdr:rowOff>174625</xdr:rowOff>
    </xdr:from>
    <xdr:to>
      <xdr:col>25</xdr:col>
      <xdr:colOff>698501</xdr:colOff>
      <xdr:row>30</xdr:row>
      <xdr:rowOff>182074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B4D9E77-BC89-4C61-ADC8-126DEA79C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529887" y="5421313"/>
          <a:ext cx="662489" cy="578949"/>
        </a:xfrm>
        <a:prstGeom prst="rect">
          <a:avLst/>
        </a:prstGeom>
      </xdr:spPr>
    </xdr:pic>
    <xdr:clientData/>
  </xdr:twoCellAnchor>
  <xdr:twoCellAnchor editAs="oneCell">
    <xdr:from>
      <xdr:col>25</xdr:col>
      <xdr:colOff>39688</xdr:colOff>
      <xdr:row>33</xdr:row>
      <xdr:rowOff>103187</xdr:rowOff>
    </xdr:from>
    <xdr:to>
      <xdr:col>25</xdr:col>
      <xdr:colOff>674688</xdr:colOff>
      <xdr:row>37</xdr:row>
      <xdr:rowOff>31706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97000AB-2538-470F-A542-402F18DFF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533563" y="6492875"/>
          <a:ext cx="635000" cy="690519"/>
        </a:xfrm>
        <a:prstGeom prst="rect">
          <a:avLst/>
        </a:prstGeom>
      </xdr:spPr>
    </xdr:pic>
    <xdr:clientData/>
  </xdr:twoCellAnchor>
  <xdr:twoCellAnchor editAs="oneCell">
    <xdr:from>
      <xdr:col>25</xdr:col>
      <xdr:colOff>71438</xdr:colOff>
      <xdr:row>39</xdr:row>
      <xdr:rowOff>95250</xdr:rowOff>
    </xdr:from>
    <xdr:to>
      <xdr:col>25</xdr:col>
      <xdr:colOff>642938</xdr:colOff>
      <xdr:row>42</xdr:row>
      <xdr:rowOff>159145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29460E0-9839-4604-A84D-505D122F0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65313" y="7627938"/>
          <a:ext cx="571500" cy="63539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523874</xdr:colOff>
      <xdr:row>3</xdr:row>
      <xdr:rowOff>114299</xdr:rowOff>
    </xdr:from>
    <xdr:to>
      <xdr:col>28</xdr:col>
      <xdr:colOff>381000</xdr:colOff>
      <xdr:row>35</xdr:row>
      <xdr:rowOff>85724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BEBCCF2-7E11-440B-AD7C-EB917E49E9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395287</xdr:colOff>
      <xdr:row>4</xdr:row>
      <xdr:rowOff>80962</xdr:rowOff>
    </xdr:from>
    <xdr:to>
      <xdr:col>16</xdr:col>
      <xdr:colOff>304800</xdr:colOff>
      <xdr:row>18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E0E9F94-0AD0-49F6-BD56-595EAFF62B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361950</xdr:colOff>
      <xdr:row>19</xdr:row>
      <xdr:rowOff>95250</xdr:rowOff>
    </xdr:from>
    <xdr:to>
      <xdr:col>16</xdr:col>
      <xdr:colOff>271463</xdr:colOff>
      <xdr:row>33</xdr:row>
      <xdr:rowOff>119063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781B551-1F3F-4A8A-B069-5E517D0DE5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361950</xdr:colOff>
      <xdr:row>3</xdr:row>
      <xdr:rowOff>123825</xdr:rowOff>
    </xdr:from>
    <xdr:to>
      <xdr:col>17</xdr:col>
      <xdr:colOff>419100</xdr:colOff>
      <xdr:row>35</xdr:row>
      <xdr:rowOff>80962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384F513-8FB0-4594-B619-2D3959171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247650</xdr:colOff>
      <xdr:row>22</xdr:row>
      <xdr:rowOff>123825</xdr:rowOff>
    </xdr:from>
    <xdr:to>
      <xdr:col>44</xdr:col>
      <xdr:colOff>528547</xdr:colOff>
      <xdr:row>28</xdr:row>
      <xdr:rowOff>163455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9572BF-8751-4846-8440-3470890AF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21875" y="3886200"/>
          <a:ext cx="2719297" cy="1182630"/>
        </a:xfrm>
        <a:prstGeom prst="rect">
          <a:avLst/>
        </a:prstGeom>
      </xdr:spPr>
    </xdr:pic>
    <xdr:clientData/>
  </xdr:twoCellAnchor>
  <xdr:twoCellAnchor>
    <xdr:from>
      <xdr:col>28</xdr:col>
      <xdr:colOff>152400</xdr:colOff>
      <xdr:row>13</xdr:row>
      <xdr:rowOff>142875</xdr:rowOff>
    </xdr:from>
    <xdr:to>
      <xdr:col>37</xdr:col>
      <xdr:colOff>419100</xdr:colOff>
      <xdr:row>37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2139F2-26D1-4561-8CD8-983BF058B1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419100</xdr:colOff>
      <xdr:row>14</xdr:row>
      <xdr:rowOff>85724</xdr:rowOff>
    </xdr:from>
    <xdr:to>
      <xdr:col>22</xdr:col>
      <xdr:colOff>314325</xdr:colOff>
      <xdr:row>36</xdr:row>
      <xdr:rowOff>152399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95F10EF-3E1F-4C1E-B416-CD361CECD2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</xdr:col>
      <xdr:colOff>276912</xdr:colOff>
      <xdr:row>15</xdr:row>
      <xdr:rowOff>66674</xdr:rowOff>
    </xdr:from>
    <xdr:to>
      <xdr:col>12</xdr:col>
      <xdr:colOff>488061</xdr:colOff>
      <xdr:row>35</xdr:row>
      <xdr:rowOff>94325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90B18C4-73E7-4638-BFEA-B044CDD0C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10412" y="3067049"/>
          <a:ext cx="4678374" cy="38376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nist.gov/pml/time-and-frequency-division/time-realization/leap-seconds" TargetMode="External"/><Relationship Id="rId13" Type="http://schemas.openxmlformats.org/officeDocument/2006/relationships/vmlDrawing" Target="../drawings/vmlDrawing1.vml"/><Relationship Id="rId3" Type="http://schemas.openxmlformats.org/officeDocument/2006/relationships/hyperlink" Target="https://hpiers.obspm.fr/iers/bul/bulc/Leap_Second.dat" TargetMode="External"/><Relationship Id="rId7" Type="http://schemas.openxmlformats.org/officeDocument/2006/relationships/hyperlink" Target="http://www-star.st-and.ac.uk/~fv/webnotes/chapter6.htm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s://www.iers.org/IERS/EN/DataProducts/EarthOrientationData/eop.html" TargetMode="External"/><Relationship Id="rId1" Type="http://schemas.openxmlformats.org/officeDocument/2006/relationships/hyperlink" Target="http://stjarnhimlen.se/comp/ppcomp.html" TargetMode="External"/><Relationship Id="rId6" Type="http://schemas.openxmlformats.org/officeDocument/2006/relationships/hyperlink" Target="http://hpiers.obspm.fr/eop-pc/index.php" TargetMode="External"/><Relationship Id="rId11" Type="http://schemas.openxmlformats.org/officeDocument/2006/relationships/hyperlink" Target="https://keisan.casio.com/exec/system/1227779487" TargetMode="External"/><Relationship Id="rId5" Type="http://schemas.openxmlformats.org/officeDocument/2006/relationships/hyperlink" Target="http://leapsecond.com/java/gpsclock.htm" TargetMode="External"/><Relationship Id="rId10" Type="http://schemas.openxmlformats.org/officeDocument/2006/relationships/hyperlink" Target="https://scienceworld.wolfram.com/astronomy/JulianDate.html" TargetMode="External"/><Relationship Id="rId4" Type="http://schemas.openxmlformats.org/officeDocument/2006/relationships/hyperlink" Target="https://stjarnhimlen.se/comp/time.html" TargetMode="External"/><Relationship Id="rId9" Type="http://schemas.openxmlformats.org/officeDocument/2006/relationships/hyperlink" Target="https://www.ipses.com/eng/in-depth-analysis/standard-of-time-definition" TargetMode="External"/><Relationship Id="rId1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scielo.br/pdf/jatm/v11/2175-9146-jatm-11-e3619.pdf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4.xml"/><Relationship Id="rId3" Type="http://schemas.openxmlformats.org/officeDocument/2006/relationships/hyperlink" Target="https://www2.mps.mpg.de/homes/fraenz/systems/systems3art/node10.html" TargetMode="External"/><Relationship Id="rId7" Type="http://schemas.openxmlformats.org/officeDocument/2006/relationships/hyperlink" Target="https://www.timeanddate.com/astronomy/perihelion-aphelion-solstice.html" TargetMode="External"/><Relationship Id="rId2" Type="http://schemas.openxmlformats.org/officeDocument/2006/relationships/hyperlink" Target="https://gssc.esa.int/navipedia/index.php/CEP_to_ITRF" TargetMode="External"/><Relationship Id="rId1" Type="http://schemas.openxmlformats.org/officeDocument/2006/relationships/hyperlink" Target="http://neoprogrammics.com/sidereal_time_calculator/" TargetMode="External"/><Relationship Id="rId6" Type="http://schemas.openxmlformats.org/officeDocument/2006/relationships/hyperlink" Target="https://www.suncalc.org/" TargetMode="External"/><Relationship Id="rId5" Type="http://schemas.openxmlformats.org/officeDocument/2006/relationships/hyperlink" Target="http://www.jgiesen.de/astro/astroJS/siderealClock/" TargetMode="External"/><Relationship Id="rId10" Type="http://schemas.openxmlformats.org/officeDocument/2006/relationships/comments" Target="../comments3.xml"/><Relationship Id="rId4" Type="http://schemas.openxmlformats.org/officeDocument/2006/relationships/hyperlink" Target="https://www.suncalc.org/" TargetMode="External"/><Relationship Id="rId9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hyperlink" Target="http://www.jgiesen.de/astro/astroJS/siderealClock/" TargetMode="External"/><Relationship Id="rId1" Type="http://schemas.openxmlformats.org/officeDocument/2006/relationships/hyperlink" Target="http://www.ppowers.com/EoT.htm" TargetMode="External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astronomynow.com/javascript/solar_system.html" TargetMode="External"/><Relationship Id="rId13" Type="http://schemas.openxmlformats.org/officeDocument/2006/relationships/vmlDrawing" Target="../drawings/vmlDrawing5.vml"/><Relationship Id="rId3" Type="http://schemas.openxmlformats.org/officeDocument/2006/relationships/hyperlink" Target="http://www.stjarnhimlen.se/comp/ppcomp.html" TargetMode="External"/><Relationship Id="rId7" Type="http://schemas.openxmlformats.org/officeDocument/2006/relationships/hyperlink" Target="https://theskylive.com/moon-info" TargetMode="External"/><Relationship Id="rId12" Type="http://schemas.openxmlformats.org/officeDocument/2006/relationships/drawing" Target="../drawings/drawing5.xml"/><Relationship Id="rId2" Type="http://schemas.openxmlformats.org/officeDocument/2006/relationships/hyperlink" Target="https://www.mooncalc.org/" TargetMode="External"/><Relationship Id="rId1" Type="http://schemas.openxmlformats.org/officeDocument/2006/relationships/hyperlink" Target="http://www.stjarnhimlen.se/comp/ppcomp.html" TargetMode="External"/><Relationship Id="rId6" Type="http://schemas.openxmlformats.org/officeDocument/2006/relationships/hyperlink" Target="http://www.stjarnhimlen.se/comp/ppcomp.html" TargetMode="External"/><Relationship Id="rId11" Type="http://schemas.openxmlformats.org/officeDocument/2006/relationships/hyperlink" Target="http://www.stjarnhimlen.se/comp/tutorial.html" TargetMode="External"/><Relationship Id="rId5" Type="http://schemas.openxmlformats.org/officeDocument/2006/relationships/hyperlink" Target="http://www.geoastro.de/elevazmoon/basics/meeus.htm" TargetMode="External"/><Relationship Id="rId10" Type="http://schemas.openxmlformats.org/officeDocument/2006/relationships/hyperlink" Target="https://theskylive.com/planetarium?obj=moon" TargetMode="External"/><Relationship Id="rId4" Type="http://schemas.openxmlformats.org/officeDocument/2006/relationships/hyperlink" Target="https://futureboy.us/fsp/moon.fsp" TargetMode="External"/><Relationship Id="rId9" Type="http://schemas.openxmlformats.org/officeDocument/2006/relationships/hyperlink" Target="https://www.heavens-above.com/moon.aspx?lat=0&amp;lng=0&amp;loc=M&amp;alt=0&amp;tz=CET" TargetMode="External"/><Relationship Id="rId14" Type="http://schemas.openxmlformats.org/officeDocument/2006/relationships/comments" Target="../comments5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atellite-calculations.com/Satellite/suncalc.htm" TargetMode="External"/><Relationship Id="rId3" Type="http://schemas.openxmlformats.org/officeDocument/2006/relationships/hyperlink" Target="https://www.heavens-above.com/moon.aspx?lat=0&amp;lng=0&amp;loc=Unspecified&amp;alt=0&amp;tz=CET" TargetMode="External"/><Relationship Id="rId7" Type="http://schemas.openxmlformats.org/officeDocument/2006/relationships/hyperlink" Target="http://time.unitarium.com/moon/where.html" TargetMode="External"/><Relationship Id="rId2" Type="http://schemas.openxmlformats.org/officeDocument/2006/relationships/hyperlink" Target="https://www.mooncalc.org/" TargetMode="External"/><Relationship Id="rId1" Type="http://schemas.openxmlformats.org/officeDocument/2006/relationships/hyperlink" Target="http://www.stjarnhimlen.se/comp/ppcomp.html" TargetMode="External"/><Relationship Id="rId6" Type="http://schemas.openxmlformats.org/officeDocument/2006/relationships/hyperlink" Target="https://futureboy.us/fsp/moon.fsp" TargetMode="External"/><Relationship Id="rId5" Type="http://schemas.openxmlformats.org/officeDocument/2006/relationships/hyperlink" Target="http://www.geoastro.de/elevazmoon/basics/index.htm" TargetMode="External"/><Relationship Id="rId10" Type="http://schemas.openxmlformats.org/officeDocument/2006/relationships/comments" Target="../comments6.xml"/><Relationship Id="rId4" Type="http://schemas.openxmlformats.org/officeDocument/2006/relationships/hyperlink" Target="https://people.physics.tamu.edu/krisciunas/ra_dec_moon_2020.html" TargetMode="External"/><Relationship Id="rId9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hyperlink" Target="http://www.stjarnhimlen.se/comp/ppcomp.html" TargetMode="External"/><Relationship Id="rId4" Type="http://schemas.openxmlformats.org/officeDocument/2006/relationships/comments" Target="../comments7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spaceplace.nasa.gov/moon-phases/en/" TargetMode="External"/><Relationship Id="rId3" Type="http://schemas.openxmlformats.org/officeDocument/2006/relationships/hyperlink" Target="https://www.timeanddate.com/moon/phases/" TargetMode="External"/><Relationship Id="rId7" Type="http://schemas.openxmlformats.org/officeDocument/2006/relationships/hyperlink" Target="https://stardate.org/nightsky/moon" TargetMode="External"/><Relationship Id="rId2" Type="http://schemas.openxmlformats.org/officeDocument/2006/relationships/hyperlink" Target="https://www.timeanddate.com/astronomy/moon/waning-crescent.html" TargetMode="External"/><Relationship Id="rId1" Type="http://schemas.openxmlformats.org/officeDocument/2006/relationships/hyperlink" Target="https://www.space.com/18880-moon-phases.html" TargetMode="External"/><Relationship Id="rId6" Type="http://schemas.openxmlformats.org/officeDocument/2006/relationships/hyperlink" Target="https://www.almanac.com/astronomy/moon/calendar" TargetMode="External"/><Relationship Id="rId11" Type="http://schemas.openxmlformats.org/officeDocument/2006/relationships/drawing" Target="../drawings/drawing8.xml"/><Relationship Id="rId5" Type="http://schemas.openxmlformats.org/officeDocument/2006/relationships/hyperlink" Target="https://www.moongiant.com/phase/12/12/2020" TargetMode="External"/><Relationship Id="rId10" Type="http://schemas.openxmlformats.org/officeDocument/2006/relationships/hyperlink" Target="https://www.perkinselearning.org/accessible-science/activities/relating-tides-moon-phases" TargetMode="External"/><Relationship Id="rId4" Type="http://schemas.openxmlformats.org/officeDocument/2006/relationships/hyperlink" Target="https://en.wikipedia.org/wiki/Lunar_phase" TargetMode="External"/><Relationship Id="rId9" Type="http://schemas.openxmlformats.org/officeDocument/2006/relationships/hyperlink" Target="https://www.ducksters.com/science/phases_of_the_moon.php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F452C-61A0-4BE1-B14E-972377DF1B45}">
  <dimension ref="A2:AA35"/>
  <sheetViews>
    <sheetView workbookViewId="0">
      <selection activeCell="C6" sqref="C6"/>
    </sheetView>
  </sheetViews>
  <sheetFormatPr defaultRowHeight="15"/>
  <cols>
    <col min="1" max="1" width="2.42578125" customWidth="1"/>
    <col min="2" max="2" width="8.28515625" customWidth="1"/>
    <col min="3" max="3" width="31.28515625" style="17" customWidth="1"/>
    <col min="4" max="4" width="15.28515625" customWidth="1"/>
    <col min="5" max="5" width="28.7109375" bestFit="1" customWidth="1"/>
    <col min="6" max="6" width="15.28515625" customWidth="1"/>
    <col min="7" max="7" width="18.42578125" bestFit="1" customWidth="1"/>
    <col min="8" max="8" width="21" customWidth="1"/>
    <col min="9" max="9" width="1.7109375" customWidth="1"/>
    <col min="10" max="10" width="16.85546875" customWidth="1"/>
    <col min="11" max="11" width="19" bestFit="1" customWidth="1"/>
    <col min="12" max="12" width="1.85546875" customWidth="1"/>
    <col min="13" max="13" width="21.85546875" bestFit="1" customWidth="1"/>
    <col min="14" max="14" width="14.7109375" customWidth="1"/>
    <col min="15" max="15" width="9.5703125" customWidth="1"/>
  </cols>
  <sheetData>
    <row r="2" spans="1:27" ht="26.25">
      <c r="A2" s="25"/>
      <c r="B2" s="24" t="s">
        <v>38</v>
      </c>
      <c r="C2" s="43"/>
      <c r="D2" s="25"/>
      <c r="E2" s="25"/>
      <c r="F2" s="25"/>
      <c r="G2" s="25"/>
      <c r="H2" s="25"/>
      <c r="I2" s="25"/>
      <c r="J2" s="25"/>
      <c r="K2" s="24"/>
      <c r="L2" s="24"/>
      <c r="M2" s="24"/>
      <c r="N2" s="24"/>
      <c r="O2" s="24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4" spans="1:27">
      <c r="C4" s="3" t="s">
        <v>13</v>
      </c>
      <c r="D4" s="17"/>
      <c r="E4" s="7" t="s">
        <v>19</v>
      </c>
      <c r="H4" s="17"/>
      <c r="I4" s="17"/>
      <c r="J4" s="17"/>
      <c r="P4" s="7" t="s">
        <v>54</v>
      </c>
      <c r="Y4" s="48" t="s">
        <v>59</v>
      </c>
    </row>
    <row r="5" spans="1:27">
      <c r="C5" s="44">
        <f ca="1">NOW()</f>
        <v>44982.800206828702</v>
      </c>
      <c r="D5" s="17" t="str">
        <f>CONCATENATE("UTC+",F6+F5)</f>
        <v>UTC+0</v>
      </c>
      <c r="E5" t="s">
        <v>18</v>
      </c>
      <c r="F5" s="27">
        <v>0</v>
      </c>
      <c r="H5" s="49">
        <f ca="1">C5-(F5+F6)/24</f>
        <v>44982.800206828702</v>
      </c>
      <c r="I5" s="17"/>
      <c r="J5" s="17"/>
      <c r="Y5" s="48" t="s">
        <v>60</v>
      </c>
    </row>
    <row r="6" spans="1:27">
      <c r="E6" t="s">
        <v>114</v>
      </c>
      <c r="F6" s="27">
        <v>0</v>
      </c>
      <c r="P6" s="6" t="s">
        <v>42</v>
      </c>
      <c r="Y6" s="48" t="s">
        <v>61</v>
      </c>
    </row>
    <row r="7" spans="1:27">
      <c r="P7" s="6" t="s">
        <v>48</v>
      </c>
      <c r="Y7" s="48" t="s">
        <v>62</v>
      </c>
    </row>
    <row r="8" spans="1:27">
      <c r="C8" s="68" t="s">
        <v>32</v>
      </c>
      <c r="D8" s="68" t="s">
        <v>33</v>
      </c>
      <c r="E8" s="68" t="s">
        <v>34</v>
      </c>
      <c r="F8" s="68" t="s">
        <v>11</v>
      </c>
      <c r="G8" s="68" t="s">
        <v>12</v>
      </c>
      <c r="H8" s="68" t="s">
        <v>20</v>
      </c>
      <c r="P8" s="6" t="s">
        <v>52</v>
      </c>
      <c r="Y8" s="48" t="s">
        <v>63</v>
      </c>
    </row>
    <row r="9" spans="1:27">
      <c r="C9" s="17">
        <f ca="1">YEAR(H5)</f>
        <v>2023</v>
      </c>
      <c r="D9" s="17">
        <f ca="1">MONTH(H5)</f>
        <v>2</v>
      </c>
      <c r="E9" s="17">
        <f ca="1">DAY(H5)</f>
        <v>25</v>
      </c>
      <c r="F9" s="17">
        <f ca="1">HOUR(H5)</f>
        <v>19</v>
      </c>
      <c r="G9" s="17">
        <f ca="1">MINUTE(H5)</f>
        <v>12</v>
      </c>
      <c r="H9" s="17">
        <f ca="1">SECOND(H5)</f>
        <v>18</v>
      </c>
      <c r="P9" s="6" t="s">
        <v>43</v>
      </c>
      <c r="Y9" s="48" t="s">
        <v>64</v>
      </c>
    </row>
    <row r="10" spans="1:27">
      <c r="P10" s="6" t="s">
        <v>51</v>
      </c>
      <c r="Y10" s="48" t="s">
        <v>65</v>
      </c>
    </row>
    <row r="11" spans="1:27">
      <c r="P11" s="6" t="s">
        <v>47</v>
      </c>
      <c r="Y11" s="48" t="s">
        <v>66</v>
      </c>
    </row>
    <row r="12" spans="1:27">
      <c r="D12" s="36" t="s">
        <v>35</v>
      </c>
      <c r="E12" s="36" t="s">
        <v>20</v>
      </c>
      <c r="F12" s="36" t="s">
        <v>31</v>
      </c>
      <c r="G12" s="36" t="s">
        <v>121</v>
      </c>
      <c r="H12" s="36" t="s">
        <v>56</v>
      </c>
      <c r="L12" s="30"/>
      <c r="M12" s="36" t="s">
        <v>122</v>
      </c>
      <c r="N12" s="36" t="s">
        <v>56</v>
      </c>
      <c r="O12" s="30"/>
      <c r="P12" s="6" t="s">
        <v>49</v>
      </c>
      <c r="Y12" s="48" t="s">
        <v>67</v>
      </c>
    </row>
    <row r="13" spans="1:27">
      <c r="C13" s="3" t="s">
        <v>36</v>
      </c>
      <c r="D13" s="30"/>
      <c r="E13" s="30"/>
      <c r="F13" s="30"/>
      <c r="P13" s="6" t="s">
        <v>50</v>
      </c>
      <c r="Y13" s="48" t="s">
        <v>68</v>
      </c>
    </row>
    <row r="14" spans="1:27" ht="15.75">
      <c r="B14" s="35" t="s">
        <v>25</v>
      </c>
      <c r="C14" s="45">
        <f ca="1">D14</f>
        <v>0.8002083333333333</v>
      </c>
      <c r="D14" s="31">
        <f ca="1">E14/86400</f>
        <v>0.8002083333333333</v>
      </c>
      <c r="E14" s="21">
        <f ca="1">F9*3600+G9*60+H9</f>
        <v>69138</v>
      </c>
      <c r="G14" s="22">
        <f ca="1">367*$C$9-INT((7/4)*($C$9+INT(($D$9+9)/12))) +INT((275*$D$9)/9)+$E$9+1721013.5+D14</f>
        <v>2460001.3002083334</v>
      </c>
      <c r="H14" s="47">
        <f ca="1">(G14-2451545)/36525</f>
        <v>0.23152088181610989</v>
      </c>
      <c r="I14" s="57"/>
      <c r="J14" s="58"/>
      <c r="K14" s="58"/>
      <c r="L14" s="59"/>
      <c r="P14" s="6" t="s">
        <v>53</v>
      </c>
      <c r="Y14" s="48" t="s">
        <v>69</v>
      </c>
    </row>
    <row r="15" spans="1:27" ht="15.75">
      <c r="B15" s="35"/>
      <c r="C15" s="46"/>
      <c r="G15" s="22"/>
      <c r="I15" s="60"/>
      <c r="J15" s="104" t="s">
        <v>119</v>
      </c>
      <c r="K15" s="104" t="s">
        <v>120</v>
      </c>
      <c r="L15" s="61"/>
      <c r="P15" s="6" t="s">
        <v>21</v>
      </c>
      <c r="Y15" s="48" t="s">
        <v>70</v>
      </c>
    </row>
    <row r="16" spans="1:27" ht="15.75">
      <c r="B16" s="35"/>
      <c r="C16" s="3" t="s">
        <v>30</v>
      </c>
      <c r="G16" s="22"/>
      <c r="I16" s="60"/>
      <c r="J16" s="12"/>
      <c r="K16" s="12"/>
      <c r="L16" s="61"/>
      <c r="M16" s="69">
        <f ca="1">367*$C$9-INT((7/4)*($C$9+INT(($D$9+9)/12))) +INT((275*$D$9)/9)+$E$9-730531.5</f>
        <v>8455.5</v>
      </c>
      <c r="P16" s="6" t="s">
        <v>22</v>
      </c>
      <c r="Y16" s="48" t="s">
        <v>71</v>
      </c>
    </row>
    <row r="17" spans="2:25" ht="15.75">
      <c r="B17" s="35" t="s">
        <v>26</v>
      </c>
      <c r="C17" s="45">
        <f ca="1">D17</f>
        <v>0.80020297076388891</v>
      </c>
      <c r="D17" s="31">
        <f ca="1">E17/86400</f>
        <v>0.80020297076388891</v>
      </c>
      <c r="E17" s="21">
        <f ca="1">E14+F17</f>
        <v>69137.536674000003</v>
      </c>
      <c r="F17">
        <v>-0.46332600000000002</v>
      </c>
      <c r="G17" s="22">
        <f ca="1">367*$C$9-INT((7/4)*($C$9+INT(($D$9+9)/12))) +INT((275*$D$9)/9)+$E$9+1721013.5+D17</f>
        <v>2460001.3002029709</v>
      </c>
      <c r="H17" s="47">
        <f ca="1">(G17-2451545)/36525</f>
        <v>0.23152088166929113</v>
      </c>
      <c r="I17" s="60"/>
      <c r="J17" s="105">
        <f ca="1">367*$C$9-INT((7/4)*($C$9+INT(($D$9+9)/12))) +INT((275*$D$9)/9)+$E$9+1721013.5</f>
        <v>2460000.5</v>
      </c>
      <c r="K17" s="106">
        <f ca="1">(J17-2451545)/36525</f>
        <v>0.23149897330595481</v>
      </c>
      <c r="L17" s="107"/>
      <c r="M17" s="69">
        <f ca="1">367*$C$9-INT((7/4)*($C$9+INT(($D$9+9)/12))) +INT((275*$D$9)/9)+$E$9-730530</f>
        <v>8457</v>
      </c>
      <c r="N17" s="47">
        <f ca="1">M17/36525</f>
        <v>0.2315400410677618</v>
      </c>
      <c r="O17" s="47"/>
      <c r="P17" t="s">
        <v>185</v>
      </c>
      <c r="Y17" s="48" t="s">
        <v>72</v>
      </c>
    </row>
    <row r="18" spans="2:25">
      <c r="G18" s="22"/>
      <c r="I18" s="60"/>
      <c r="J18" s="12"/>
      <c r="K18" s="12"/>
      <c r="L18" s="61"/>
      <c r="Y18" s="48" t="s">
        <v>73</v>
      </c>
    </row>
    <row r="19" spans="2:25">
      <c r="I19" s="60"/>
      <c r="J19" s="104" t="s">
        <v>161</v>
      </c>
      <c r="K19" s="104" t="s">
        <v>162</v>
      </c>
      <c r="L19" s="61"/>
      <c r="Y19" s="48" t="s">
        <v>74</v>
      </c>
    </row>
    <row r="20" spans="2:25">
      <c r="I20" s="60"/>
      <c r="J20" s="12"/>
      <c r="K20" s="12"/>
      <c r="L20" s="61"/>
      <c r="Y20" s="48" t="s">
        <v>75</v>
      </c>
    </row>
    <row r="21" spans="2:25">
      <c r="I21" s="60"/>
      <c r="J21" s="105">
        <f ca="1">J17+0.5</f>
        <v>2460001</v>
      </c>
      <c r="K21" s="106">
        <f ca="1">(J21-2451545)/36525</f>
        <v>0.23151266255989048</v>
      </c>
      <c r="L21" s="61"/>
      <c r="Y21" s="48" t="s">
        <v>76</v>
      </c>
    </row>
    <row r="22" spans="2:25" ht="15.75">
      <c r="B22" s="35"/>
      <c r="C22" s="3" t="s">
        <v>41</v>
      </c>
      <c r="G22" s="22"/>
      <c r="I22" s="62"/>
      <c r="J22" s="63"/>
      <c r="K22" s="63"/>
      <c r="L22" s="64"/>
      <c r="Y22" s="48" t="s">
        <v>77</v>
      </c>
    </row>
    <row r="23" spans="2:25" ht="15.75">
      <c r="B23" s="35" t="s">
        <v>27</v>
      </c>
      <c r="C23" s="86">
        <f ca="1">D23</f>
        <v>0.80063657407407407</v>
      </c>
      <c r="D23" s="31">
        <f ca="1">E23/86400</f>
        <v>0.80063657407407407</v>
      </c>
      <c r="E23" s="21">
        <f ca="1">E14+F23</f>
        <v>69175</v>
      </c>
      <c r="F23" s="26">
        <v>37</v>
      </c>
      <c r="G23" s="22">
        <f ca="1">367*$C$9-INT((7/4)*($C$9+INT(($D$9+9)/12))) +INT((275*$D$9)/9)+$E$9+1721013.5+D23</f>
        <v>2460001.3006365742</v>
      </c>
      <c r="H23" s="47">
        <f ca="1">(G23-2451545)/36525</f>
        <v>0.23152089354070254</v>
      </c>
      <c r="Y23" s="48" t="s">
        <v>78</v>
      </c>
    </row>
    <row r="24" spans="2:25" ht="15.75">
      <c r="B24" s="35"/>
      <c r="G24" s="22"/>
      <c r="Y24" s="48" t="s">
        <v>79</v>
      </c>
    </row>
    <row r="25" spans="2:25" ht="15.75">
      <c r="B25" s="35"/>
      <c r="C25" s="3" t="s">
        <v>37</v>
      </c>
      <c r="G25" s="22"/>
      <c r="Y25" s="48" t="s">
        <v>80</v>
      </c>
    </row>
    <row r="26" spans="2:25" ht="15.75">
      <c r="B26" s="35" t="s">
        <v>28</v>
      </c>
      <c r="C26" s="86">
        <f ca="1">D26</f>
        <v>0.80041666666666667</v>
      </c>
      <c r="D26" s="31">
        <f ca="1">E26/86400</f>
        <v>0.80041666666666667</v>
      </c>
      <c r="E26" s="34">
        <f ca="1">E14+F23+F26</f>
        <v>69156</v>
      </c>
      <c r="F26">
        <v>-19</v>
      </c>
      <c r="G26" s="22">
        <f ca="1">367*$C$9-INT((7/4)*($C$9+INT(($D$9+9)/12))) +INT((275*$D$9)/9)+$E$9+1721013.5+D26</f>
        <v>2460001.3004166665</v>
      </c>
      <c r="H26" s="47">
        <f ca="1">(G26-2451545)/36525</f>
        <v>0.23152088751996028</v>
      </c>
      <c r="Y26" s="48" t="s">
        <v>81</v>
      </c>
    </row>
    <row r="27" spans="2:25" ht="15.75">
      <c r="B27" s="35"/>
      <c r="G27" s="22"/>
      <c r="Y27" s="48" t="s">
        <v>82</v>
      </c>
    </row>
    <row r="28" spans="2:25">
      <c r="C28" s="3" t="s">
        <v>58</v>
      </c>
      <c r="G28" s="22"/>
      <c r="Y28" s="48" t="s">
        <v>83</v>
      </c>
    </row>
    <row r="29" spans="2:25" ht="15.75">
      <c r="B29" s="35" t="s">
        <v>57</v>
      </c>
      <c r="C29" s="86">
        <f ca="1">D29</f>
        <v>0.80052083333333335</v>
      </c>
      <c r="D29" s="31">
        <f ca="1">E29/86400</f>
        <v>0.80052083333333335</v>
      </c>
      <c r="E29" s="34">
        <f ca="1">E14+F29</f>
        <v>69165</v>
      </c>
      <c r="F29" s="26">
        <v>27</v>
      </c>
      <c r="G29" s="22">
        <f ca="1">367*$C$9-INT((7/4)*($C$9+INT(($D$9+9)/12))) +INT((275*$D$9)/9)+$E$9+1721013.5+D29</f>
        <v>2460001.3005208331</v>
      </c>
      <c r="H29" s="47">
        <f ca="1">(G29-2451545)/36525</f>
        <v>0.23152089037188545</v>
      </c>
      <c r="Y29" s="48" t="s">
        <v>84</v>
      </c>
    </row>
    <row r="30" spans="2:25">
      <c r="G30" s="22"/>
      <c r="Y30" s="48" t="s">
        <v>85</v>
      </c>
    </row>
    <row r="31" spans="2:25" ht="15.75">
      <c r="B31" s="35"/>
      <c r="C31" s="3" t="s">
        <v>39</v>
      </c>
      <c r="G31" s="22"/>
      <c r="Y31" s="48" t="s">
        <v>86</v>
      </c>
    </row>
    <row r="32" spans="2:25" ht="15.75">
      <c r="B32" s="35" t="s">
        <v>29</v>
      </c>
      <c r="C32" s="86">
        <f ca="1">D32</f>
        <v>0.80100907407407396</v>
      </c>
      <c r="D32" s="31">
        <f ca="1">E32/86400</f>
        <v>0.80100907407407396</v>
      </c>
      <c r="E32" s="5">
        <f ca="1">E23+F32</f>
        <v>69207.183999999994</v>
      </c>
      <c r="F32">
        <v>32.183999999999997</v>
      </c>
      <c r="G32" s="22">
        <f ca="1">367*$C$9-INT((7/4)*($C$9+INT(($D$9+9)/12))) +INT((275*$D$9)/9)+$E$9+1721013.5+D32</f>
        <v>2460001.3010090739</v>
      </c>
      <c r="H32" s="47">
        <f ca="1">(G32-2451545)/36525</f>
        <v>0.23152090373918832</v>
      </c>
      <c r="Y32" s="48" t="s">
        <v>87</v>
      </c>
    </row>
    <row r="33" spans="2:25">
      <c r="G33" s="22"/>
      <c r="Y33" s="48" t="s">
        <v>88</v>
      </c>
    </row>
    <row r="34" spans="2:25" ht="15.75">
      <c r="B34" s="35" t="s">
        <v>55</v>
      </c>
      <c r="C34" s="3" t="s">
        <v>40</v>
      </c>
      <c r="F34">
        <v>1.6570000000000001E-3</v>
      </c>
      <c r="G34" s="22"/>
      <c r="Y34" s="48" t="s">
        <v>89</v>
      </c>
    </row>
    <row r="35" spans="2:25">
      <c r="C35" s="86">
        <f ca="1">C32+F35*SIN(628.3076*H32+6.2401)</f>
        <v>0.80100908921531977</v>
      </c>
      <c r="D35" s="31">
        <f ca="1">C35</f>
        <v>0.80100908921531977</v>
      </c>
      <c r="F35">
        <f>F34/86400</f>
        <v>1.917824074074074E-8</v>
      </c>
      <c r="G35" s="22">
        <f ca="1">367*$C$9-INT((7/4)*($C$9+INT(($D$9+9)/12))) +INT((275*$D$9)/9)+$E$9+1721013.5+D35</f>
        <v>2460001.3010090892</v>
      </c>
      <c r="H35" s="47">
        <f ca="1">(G35-2451545)/36525</f>
        <v>0.23152090373960904</v>
      </c>
      <c r="Y35" s="48" t="s">
        <v>90</v>
      </c>
    </row>
  </sheetData>
  <hyperlinks>
    <hyperlink ref="P6" r:id="rId1" location="5b" xr:uid="{91CFA5AA-076D-41E7-B8A2-590B9E28C5EE}"/>
    <hyperlink ref="P9" r:id="rId2" xr:uid="{0FD3A80B-E58A-4DA8-9EA7-5EC39406651B}"/>
    <hyperlink ref="P11" r:id="rId3" xr:uid="{C6EFF39B-7CDA-4492-B99C-122DC1BFBD59}"/>
    <hyperlink ref="P7" r:id="rId4" location="deltat" xr:uid="{BB024EF3-1C66-4875-A05D-E108E374F933}"/>
    <hyperlink ref="P8" r:id="rId5" xr:uid="{179D3799-FBEA-4329-94FE-8D4B318E008A}"/>
    <hyperlink ref="P10" r:id="rId6" xr:uid="{435E92D7-5270-4311-985D-BF441180A881}"/>
    <hyperlink ref="P12" r:id="rId7" xr:uid="{04DBFF9D-735F-40EB-9F30-148778C14418}"/>
    <hyperlink ref="P13" r:id="rId8" xr:uid="{30CEC3D1-E395-4808-B3C6-AB702779381F}"/>
    <hyperlink ref="P14" r:id="rId9" xr:uid="{95B0D692-C787-4541-9561-AAB36DA9B9B6}"/>
    <hyperlink ref="P16" r:id="rId10" xr:uid="{04F758B8-BEBF-4EDE-B637-3D650BA58696}"/>
    <hyperlink ref="P15" r:id="rId11" xr:uid="{3B489A6E-CC1B-4EC7-9EF3-90532CAFD0A2}"/>
  </hyperlinks>
  <pageMargins left="0.7" right="0.7" top="0.75" bottom="0.75" header="0.3" footer="0.3"/>
  <drawing r:id="rId12"/>
  <legacyDrawing r:id="rId1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C721A-C517-4F3B-A0EE-702FC54BB7CF}">
  <dimension ref="B1:AA46"/>
  <sheetViews>
    <sheetView workbookViewId="0">
      <selection activeCell="F4" sqref="F4"/>
    </sheetView>
  </sheetViews>
  <sheetFormatPr defaultRowHeight="15"/>
  <cols>
    <col min="1" max="1" width="3.42578125" customWidth="1"/>
    <col min="2" max="2" width="45.28515625" bestFit="1" customWidth="1"/>
    <col min="3" max="3" width="15.42578125" customWidth="1"/>
    <col min="4" max="4" width="21.42578125" bestFit="1" customWidth="1"/>
    <col min="5" max="5" width="16.28515625" bestFit="1" customWidth="1"/>
    <col min="6" max="6" width="10.140625" customWidth="1"/>
    <col min="7" max="7" width="15.28515625" customWidth="1"/>
    <col min="8" max="8" width="12" customWidth="1"/>
    <col min="9" max="9" width="3" customWidth="1"/>
    <col min="19" max="19" width="3.28515625" customWidth="1"/>
    <col min="20" max="20" width="3.85546875" customWidth="1"/>
    <col min="21" max="21" width="37" bestFit="1" customWidth="1"/>
    <col min="22" max="22" width="21.42578125" customWidth="1"/>
    <col min="23" max="23" width="21.42578125" bestFit="1" customWidth="1"/>
    <col min="24" max="24" width="16.28515625" bestFit="1" customWidth="1"/>
    <col min="25" max="25" width="10.140625" customWidth="1"/>
    <col min="26" max="26" width="15.28515625" customWidth="1"/>
    <col min="27" max="27" width="12" customWidth="1"/>
  </cols>
  <sheetData>
    <row r="1" spans="2:26">
      <c r="S1" s="108"/>
    </row>
    <row r="2" spans="2:26" ht="23.25">
      <c r="B2" s="20" t="s">
        <v>91</v>
      </c>
      <c r="S2" s="108"/>
      <c r="U2" s="20" t="s">
        <v>163</v>
      </c>
    </row>
    <row r="3" spans="2:26">
      <c r="S3" s="108"/>
    </row>
    <row r="4" spans="2:26">
      <c r="B4" t="s">
        <v>92</v>
      </c>
      <c r="C4">
        <f ca="1">TimeScales!H17</f>
        <v>0.23152088166929113</v>
      </c>
      <c r="D4" t="s">
        <v>99</v>
      </c>
      <c r="S4" s="108"/>
      <c r="U4" t="s">
        <v>92</v>
      </c>
      <c r="V4" s="110">
        <f ca="1">TimeScales!K21</f>
        <v>0.23151266255989048</v>
      </c>
      <c r="W4" t="s">
        <v>99</v>
      </c>
    </row>
    <row r="5" spans="2:26">
      <c r="S5" s="108"/>
    </row>
    <row r="6" spans="2:26">
      <c r="B6" t="s">
        <v>93</v>
      </c>
      <c r="C6">
        <f ca="1">TimeScales!H35</f>
        <v>0.23152090373960904</v>
      </c>
      <c r="D6" t="s">
        <v>99</v>
      </c>
      <c r="G6" s="109"/>
      <c r="S6" s="108"/>
      <c r="U6" t="s">
        <v>93</v>
      </c>
      <c r="V6" s="110">
        <f ca="1">V4+C6-C4</f>
        <v>0.23151268463020841</v>
      </c>
      <c r="W6" t="s">
        <v>99</v>
      </c>
      <c r="Z6" s="109"/>
    </row>
    <row r="7" spans="2:26">
      <c r="S7" s="108"/>
    </row>
    <row r="8" spans="2:26">
      <c r="B8" t="s">
        <v>97</v>
      </c>
      <c r="C8" s="51">
        <v>1.0000010180000001</v>
      </c>
      <c r="D8" t="s">
        <v>94</v>
      </c>
      <c r="E8" s="65">
        <v>149597870700</v>
      </c>
      <c r="F8" t="s">
        <v>109</v>
      </c>
      <c r="S8" s="108"/>
      <c r="U8" t="s">
        <v>97</v>
      </c>
      <c r="V8" s="51">
        <v>1.0000010180000001</v>
      </c>
      <c r="W8" t="s">
        <v>94</v>
      </c>
      <c r="X8" s="65">
        <v>149597870700</v>
      </c>
      <c r="Y8" t="s">
        <v>109</v>
      </c>
    </row>
    <row r="9" spans="2:26">
      <c r="J9" s="57"/>
      <c r="K9" s="58"/>
      <c r="L9" s="58"/>
      <c r="M9" s="58"/>
      <c r="N9" s="58"/>
      <c r="O9" s="58"/>
      <c r="P9" s="58"/>
      <c r="Q9" s="58"/>
      <c r="R9" s="59"/>
      <c r="S9" s="108"/>
    </row>
    <row r="10" spans="2:26">
      <c r="B10" t="s">
        <v>3</v>
      </c>
      <c r="C10">
        <f ca="1">0.016708634-C4*(0.000042037+0.0000001267*C4)</f>
        <v>1.6698894765334177E-2</v>
      </c>
      <c r="J10" s="60"/>
      <c r="K10" s="12"/>
      <c r="L10" s="12"/>
      <c r="M10" s="12"/>
      <c r="N10" s="12"/>
      <c r="O10" s="12"/>
      <c r="P10" s="12"/>
      <c r="Q10" s="12"/>
      <c r="R10" s="61"/>
      <c r="S10" s="108"/>
      <c r="U10" t="s">
        <v>3</v>
      </c>
      <c r="V10">
        <f ca="1">0.016708634-V4*(0.000042037+0.0000001267*V4)</f>
        <v>1.6698895111323064E-2</v>
      </c>
    </row>
    <row r="11" spans="2:26">
      <c r="J11" s="60"/>
      <c r="K11" s="12"/>
      <c r="L11" s="12"/>
      <c r="M11" s="12"/>
      <c r="N11" s="12"/>
      <c r="O11" s="12"/>
      <c r="P11" s="12"/>
      <c r="Q11" s="12"/>
      <c r="R11" s="61"/>
      <c r="S11" s="108"/>
    </row>
    <row r="12" spans="2:26">
      <c r="B12" t="s">
        <v>98</v>
      </c>
      <c r="C12" s="51">
        <f ca="1">C8*SQRT(1-C10^2)</f>
        <v>0.99986158159362615</v>
      </c>
      <c r="D12" t="s">
        <v>94</v>
      </c>
      <c r="J12" s="60"/>
      <c r="K12" s="12"/>
      <c r="L12" s="12"/>
      <c r="M12" s="12"/>
      <c r="N12" s="12"/>
      <c r="O12" s="12"/>
      <c r="P12" s="12"/>
      <c r="Q12" s="12"/>
      <c r="R12" s="61"/>
      <c r="S12" s="108"/>
      <c r="U12" t="s">
        <v>98</v>
      </c>
      <c r="V12" s="51">
        <f ca="1">V8*SQRT(1-V10^2)</f>
        <v>0.99986158158784777</v>
      </c>
      <c r="W12" t="s">
        <v>94</v>
      </c>
    </row>
    <row r="13" spans="2:26">
      <c r="J13" s="60"/>
      <c r="K13" s="12"/>
      <c r="L13" s="12"/>
      <c r="M13" s="12"/>
      <c r="N13" s="12"/>
      <c r="O13" s="12"/>
      <c r="P13" s="12"/>
      <c r="Q13" s="12"/>
      <c r="R13" s="61"/>
      <c r="S13" s="108"/>
    </row>
    <row r="14" spans="2:26">
      <c r="B14" t="s">
        <v>17</v>
      </c>
      <c r="C14" s="2">
        <f ca="1">MOD(280.46646+C4*(36000.76983 + C4*0.0003032),360)</f>
        <v>335.39644806691649</v>
      </c>
      <c r="D14" t="s">
        <v>1</v>
      </c>
      <c r="E14">
        <f ca="1">MOD(C14,360)*PI()/180</f>
        <v>5.8537723182618633</v>
      </c>
      <c r="F14" t="s">
        <v>103</v>
      </c>
      <c r="J14" s="62"/>
      <c r="K14" s="63"/>
      <c r="L14" s="63"/>
      <c r="M14" s="63"/>
      <c r="N14" s="63"/>
      <c r="O14" s="63"/>
      <c r="P14" s="63"/>
      <c r="Q14" s="63"/>
      <c r="R14" s="64"/>
      <c r="S14" s="108"/>
      <c r="U14" t="s">
        <v>17</v>
      </c>
      <c r="V14" s="2">
        <f ca="1">MOD(280.46646+V4*(36000.76983 + V4*0.0003032),360)</f>
        <v>335.10055380002268</v>
      </c>
      <c r="W14" t="s">
        <v>1</v>
      </c>
      <c r="X14">
        <f ca="1">MOD(V14,360)*PI()/180</f>
        <v>5.8486079890667915</v>
      </c>
      <c r="Y14" t="s">
        <v>103</v>
      </c>
    </row>
    <row r="15" spans="2:26">
      <c r="S15" s="108"/>
    </row>
    <row r="16" spans="2:26">
      <c r="B16" t="s">
        <v>100</v>
      </c>
      <c r="C16" s="39">
        <f ca="1">MOD(357.52911+C6*(35999.05029 - 0.0001537*C6),360)</f>
        <v>52.061758669817209</v>
      </c>
      <c r="D16" t="s">
        <v>1</v>
      </c>
      <c r="E16">
        <f ca="1">MOD(C16,360)*PI()/180</f>
        <v>0.90864910316701375</v>
      </c>
      <c r="F16" t="s">
        <v>103</v>
      </c>
      <c r="J16" s="57"/>
      <c r="K16" s="58"/>
      <c r="L16" s="58"/>
      <c r="M16" s="58"/>
      <c r="N16" s="58"/>
      <c r="O16" s="58"/>
      <c r="P16" s="58"/>
      <c r="Q16" s="58"/>
      <c r="R16" s="59"/>
      <c r="S16" s="108"/>
      <c r="U16" t="s">
        <v>100</v>
      </c>
      <c r="V16" s="39">
        <f ca="1">MOD(357.52911+V6*(35999.05029 - 0.0001537*V6),360)</f>
        <v>51.765878537749813</v>
      </c>
      <c r="W16" t="s">
        <v>1</v>
      </c>
      <c r="X16">
        <f ca="1">MOD(V16,360)*PI()/180</f>
        <v>0.90348502067120195</v>
      </c>
      <c r="Y16" t="s">
        <v>103</v>
      </c>
    </row>
    <row r="17" spans="2:27">
      <c r="J17" s="60"/>
      <c r="K17" s="12"/>
      <c r="L17" s="12"/>
      <c r="M17" s="12"/>
      <c r="N17" s="12"/>
      <c r="O17" s="12"/>
      <c r="P17" s="12"/>
      <c r="Q17" s="12"/>
      <c r="R17" s="61"/>
      <c r="S17" s="108"/>
    </row>
    <row r="18" spans="2:27">
      <c r="B18" t="s">
        <v>101</v>
      </c>
      <c r="E18">
        <f ca="1">E16-(E16-C10*SIN(E16)-E16)/(1-C10*COS(E16))</f>
        <v>0.9219557003601897</v>
      </c>
      <c r="F18" t="s">
        <v>103</v>
      </c>
      <c r="J18" s="60"/>
      <c r="K18" s="12"/>
      <c r="L18" s="12"/>
      <c r="M18" s="12"/>
      <c r="N18" s="12"/>
      <c r="O18" s="12"/>
      <c r="P18" s="12"/>
      <c r="Q18" s="12"/>
      <c r="R18" s="61"/>
      <c r="S18" s="108"/>
      <c r="U18" t="s">
        <v>101</v>
      </c>
      <c r="X18">
        <f ca="1">X16-(X16-V10*SIN(X16)-X16)/(1-V10*COS(X16))</f>
        <v>0.91673878193677472</v>
      </c>
      <c r="Y18" t="s">
        <v>103</v>
      </c>
    </row>
    <row r="19" spans="2:27">
      <c r="B19" t="s">
        <v>102</v>
      </c>
      <c r="E19">
        <f ca="1">E18-(E18-$C$10*SIN(E18)-$E$16)/(1-$C$10*COS(E18))</f>
        <v>0.92195451844468834</v>
      </c>
      <c r="F19" t="s">
        <v>103</v>
      </c>
      <c r="H19" s="17" t="s">
        <v>105</v>
      </c>
      <c r="J19" s="60"/>
      <c r="K19" s="12"/>
      <c r="L19" s="12"/>
      <c r="M19" s="12"/>
      <c r="N19" s="12"/>
      <c r="O19" s="12"/>
      <c r="P19" s="12"/>
      <c r="Q19" s="12"/>
      <c r="R19" s="61"/>
      <c r="S19" s="108"/>
      <c r="U19" t="s">
        <v>102</v>
      </c>
      <c r="X19">
        <f ca="1">X18-(X18-$V$10*SIN(X18)-$X$16)/(1-$V$10*COS(X18))</f>
        <v>0.91673761401572695</v>
      </c>
      <c r="Y19" t="s">
        <v>103</v>
      </c>
      <c r="AA19" s="17" t="s">
        <v>105</v>
      </c>
    </row>
    <row r="20" spans="2:27">
      <c r="B20" t="s">
        <v>104</v>
      </c>
      <c r="C20">
        <f ca="1">180/PI()*E20</f>
        <v>52.82410280989631</v>
      </c>
      <c r="E20">
        <f ca="1">E19-(E19-$C$10*SIN(E19)-$E$16)/(1-$C$10*COS(E19))</f>
        <v>0.92195451844467891</v>
      </c>
      <c r="F20" t="s">
        <v>103</v>
      </c>
      <c r="G20">
        <f ca="1">E20-C10*SIN(E20)</f>
        <v>0.90864910316701375</v>
      </c>
      <c r="H20" s="17">
        <f ca="1">G20-E16</f>
        <v>0</v>
      </c>
      <c r="J20" s="60"/>
      <c r="K20" s="12"/>
      <c r="L20" s="12"/>
      <c r="M20" s="12"/>
      <c r="N20" s="12"/>
      <c r="O20" s="12"/>
      <c r="P20" s="12"/>
      <c r="Q20" s="12"/>
      <c r="R20" s="61"/>
      <c r="S20" s="108"/>
      <c r="U20" t="s">
        <v>104</v>
      </c>
      <c r="V20">
        <f ca="1">180/PI()*X20</f>
        <v>52.52519620399373</v>
      </c>
      <c r="X20">
        <f ca="1">X19-(X19-$V$10*SIN(X19)-$X$16)/(1-$V$10*COS(X19))</f>
        <v>0.91673761401571774</v>
      </c>
      <c r="Y20" t="s">
        <v>103</v>
      </c>
      <c r="Z20">
        <f ca="1">X20-V10*SIN(X20)</f>
        <v>0.90348502067120195</v>
      </c>
      <c r="AA20" s="17">
        <f ca="1">Z20-X16</f>
        <v>0</v>
      </c>
    </row>
    <row r="21" spans="2:27">
      <c r="J21" s="62"/>
      <c r="K21" s="63"/>
      <c r="L21" s="63"/>
      <c r="M21" s="63"/>
      <c r="N21" s="63"/>
      <c r="O21" s="63"/>
      <c r="P21" s="63"/>
      <c r="Q21" s="63"/>
      <c r="R21" s="64"/>
      <c r="S21" s="108"/>
    </row>
    <row r="22" spans="2:27">
      <c r="B22" t="s">
        <v>45</v>
      </c>
      <c r="C22" s="53">
        <f ca="1">C8*(1-C10*COS(E20))</f>
        <v>0.98991046707469432</v>
      </c>
      <c r="D22" t="s">
        <v>94</v>
      </c>
      <c r="S22" s="108"/>
      <c r="U22" t="s">
        <v>45</v>
      </c>
      <c r="V22" s="53">
        <f ca="1">V8*(1-V10*COS(X20))</f>
        <v>0.9898411913408639</v>
      </c>
      <c r="W22" t="s">
        <v>94</v>
      </c>
    </row>
    <row r="23" spans="2:27">
      <c r="S23" s="108"/>
    </row>
    <row r="24" spans="2:27">
      <c r="B24" s="50" t="s">
        <v>106</v>
      </c>
      <c r="C24">
        <f ca="1">MOD(180/PI()*E24,360)</f>
        <v>53.590354958493286</v>
      </c>
      <c r="D24" t="s">
        <v>1</v>
      </c>
      <c r="E24">
        <f ca="1">2*ATAN(TAN(E20/2)/SQRT((1-$C$10)/(1+$C$10)))</f>
        <v>0.93532814133817699</v>
      </c>
      <c r="F24" t="s">
        <v>103</v>
      </c>
      <c r="S24" s="108"/>
      <c r="U24" s="50" t="s">
        <v>106</v>
      </c>
      <c r="V24">
        <f ca="1">MOD(180/PI()*X24,360)</f>
        <v>53.288433026270717</v>
      </c>
      <c r="W24" t="s">
        <v>1</v>
      </c>
      <c r="X24">
        <f ca="1">2*ATAN(TAN(X20/2)/SQRT((1-$V$10)/(1+$V$10)))</f>
        <v>0.93005860953691</v>
      </c>
      <c r="Y24" t="s">
        <v>103</v>
      </c>
    </row>
    <row r="25" spans="2:27">
      <c r="H25" s="17" t="s">
        <v>105</v>
      </c>
      <c r="S25" s="108"/>
      <c r="AA25" s="17" t="s">
        <v>105</v>
      </c>
    </row>
    <row r="26" spans="2:27">
      <c r="B26" t="s">
        <v>45</v>
      </c>
      <c r="C26" s="52">
        <f ca="1">$C$8*(1-C10*C10)/(1+C10*COS(RADIANS(C24)))</f>
        <v>0.98991046707469432</v>
      </c>
      <c r="D26" t="s">
        <v>94</v>
      </c>
      <c r="H26" s="17">
        <f ca="1">C26-C22</f>
        <v>0</v>
      </c>
      <c r="S26" s="108"/>
      <c r="U26" t="s">
        <v>45</v>
      </c>
      <c r="V26" s="52">
        <f ca="1">$C$8*(1-V10*V10)/(1+V10*COS(RADIANS(V24)))</f>
        <v>0.9898411913408639</v>
      </c>
      <c r="W26" t="s">
        <v>94</v>
      </c>
      <c r="AA26" s="17">
        <f ca="1">V26-V22</f>
        <v>0</v>
      </c>
    </row>
    <row r="27" spans="2:27">
      <c r="S27" s="108"/>
    </row>
    <row r="28" spans="2:27">
      <c r="B28" t="s">
        <v>44</v>
      </c>
      <c r="C28" s="4">
        <f ca="1">C24-C16</f>
        <v>1.5285962886760771</v>
      </c>
      <c r="S28" s="108"/>
      <c r="U28" t="s">
        <v>44</v>
      </c>
      <c r="V28" s="4">
        <f ca="1">V24-V16</f>
        <v>1.5225544885209032</v>
      </c>
    </row>
    <row r="29" spans="2:27">
      <c r="S29" s="108"/>
    </row>
    <row r="30" spans="2:27">
      <c r="B30" t="s">
        <v>96</v>
      </c>
      <c r="C30" s="38">
        <f ca="1">C14+C28</f>
        <v>336.92504435559255</v>
      </c>
      <c r="D30" t="s">
        <v>1</v>
      </c>
      <c r="S30" s="108"/>
      <c r="U30" t="s">
        <v>96</v>
      </c>
      <c r="V30" s="38">
        <f ca="1">V14+V28</f>
        <v>336.62310828854356</v>
      </c>
      <c r="W30" t="s">
        <v>1</v>
      </c>
    </row>
    <row r="31" spans="2:27">
      <c r="S31" s="108"/>
    </row>
    <row r="32" spans="2:27">
      <c r="B32" t="s">
        <v>46</v>
      </c>
      <c r="C32">
        <f ca="1">C30-0.00569-0.00478*SIN(RADIANS(125.04-1934.136*C4))</f>
        <v>336.91646124105591</v>
      </c>
      <c r="D32" t="s">
        <v>1</v>
      </c>
      <c r="S32" s="108"/>
      <c r="U32" t="s">
        <v>46</v>
      </c>
      <c r="V32">
        <f ca="1">V30-0.00569-0.00478*SIN(RADIANS(125.04-1934.136*V4))</f>
        <v>336.61452411840071</v>
      </c>
      <c r="W32" t="s">
        <v>1</v>
      </c>
    </row>
    <row r="33" spans="2:27">
      <c r="S33" s="108"/>
    </row>
    <row r="34" spans="2:27">
      <c r="B34" t="s">
        <v>95</v>
      </c>
      <c r="C34" s="42">
        <f ca="1">23+(26+((21.448-C6*(46.815+C6*(0.00059-C6*0.001813))))/60)/60</f>
        <v>23.4362803721571</v>
      </c>
      <c r="D34" t="s">
        <v>1</v>
      </c>
      <c r="S34" s="108"/>
      <c r="U34" t="s">
        <v>95</v>
      </c>
      <c r="V34" s="42">
        <f ca="1">23+(26+((21.448-V6*(46.815+V6*(0.00059-V6*0.001813))))/60)/60</f>
        <v>23.436280479039727</v>
      </c>
      <c r="W34" t="s">
        <v>1</v>
      </c>
    </row>
    <row r="35" spans="2:27">
      <c r="H35" s="29" t="s">
        <v>107</v>
      </c>
      <c r="S35" s="108"/>
      <c r="AA35" s="29" t="s">
        <v>107</v>
      </c>
    </row>
    <row r="36" spans="2:27">
      <c r="B36" t="s">
        <v>115</v>
      </c>
      <c r="C36">
        <f ca="1">C34+0.00256*COS(RADIANS(125.04-1934.136*C4))</f>
        <v>23.438318214953362</v>
      </c>
      <c r="D36" t="s">
        <v>1</v>
      </c>
      <c r="S36" s="108"/>
      <c r="U36" t="s">
        <v>115</v>
      </c>
      <c r="V36">
        <f ca="1">V34+0.00256*COS(RADIANS(125.04-1934.136*V4))</f>
        <v>23.438317891858166</v>
      </c>
      <c r="W36" t="s">
        <v>1</v>
      </c>
    </row>
    <row r="37" spans="2:27">
      <c r="F37" s="3" t="s">
        <v>11</v>
      </c>
      <c r="G37" s="3" t="s">
        <v>12</v>
      </c>
      <c r="H37" s="3" t="s">
        <v>20</v>
      </c>
      <c r="J37" s="57"/>
      <c r="K37" s="58"/>
      <c r="L37" s="59"/>
      <c r="N37" t="s">
        <v>110</v>
      </c>
      <c r="S37" s="108"/>
      <c r="Y37" s="3" t="s">
        <v>11</v>
      </c>
      <c r="Z37" s="3" t="s">
        <v>12</v>
      </c>
      <c r="AA37" s="3" t="s">
        <v>20</v>
      </c>
    </row>
    <row r="38" spans="2:27" ht="18.75">
      <c r="B38" s="170" t="s">
        <v>108</v>
      </c>
      <c r="C38" s="171">
        <f ca="1">MOD(DEGREES(ATAN2(COS(RADIANS(C32)),COS(RADIANS(C34))*SIN(RADIANS(C32)))),360)</f>
        <v>338.64267986532917</v>
      </c>
      <c r="D38" t="s">
        <v>1</v>
      </c>
      <c r="E38">
        <f ca="1">C38*24/360</f>
        <v>22.576178657688612</v>
      </c>
      <c r="F38" s="55">
        <f ca="1">TRUNC(E38,0)</f>
        <v>22</v>
      </c>
      <c r="G38" s="55">
        <f ca="1">TRUNC(60*(E38-F38),0)</f>
        <v>34</v>
      </c>
      <c r="H38" s="56">
        <f ca="1">3600*(E38-F38-G38/60)</f>
        <v>34.243167679001999</v>
      </c>
      <c r="J38" s="60"/>
      <c r="K38" s="12"/>
      <c r="L38" s="61"/>
      <c r="N38" t="s">
        <v>111</v>
      </c>
      <c r="S38" s="108"/>
      <c r="U38" s="37" t="s">
        <v>108</v>
      </c>
      <c r="V38" s="98">
        <f ca="1">MOD(DEGREES(ATAN2(COS(RADIANS(V32)),COS(RADIANS(V34))*SIN(RADIANS(V32)))),360)</f>
        <v>338.3586594933106</v>
      </c>
      <c r="W38" t="s">
        <v>1</v>
      </c>
      <c r="X38">
        <f ca="1">V38*24/360</f>
        <v>22.557243966220707</v>
      </c>
      <c r="Y38" s="55">
        <f ca="1">TRUNC(X38,0)</f>
        <v>22</v>
      </c>
      <c r="Z38" s="55">
        <f ca="1">TRUNC(60*(X38-Y38),0)</f>
        <v>33</v>
      </c>
      <c r="AA38" s="56">
        <f ca="1">3600*(X38-Y38-Z38/60)</f>
        <v>26.078278394543997</v>
      </c>
    </row>
    <row r="39" spans="2:27">
      <c r="C39" s="1"/>
      <c r="J39" s="60"/>
      <c r="K39" s="12"/>
      <c r="L39" s="61"/>
      <c r="N39" t="s">
        <v>112</v>
      </c>
      <c r="S39" s="108"/>
      <c r="V39" s="1"/>
    </row>
    <row r="40" spans="2:27">
      <c r="C40" s="1"/>
      <c r="F40" s="3" t="s">
        <v>10</v>
      </c>
      <c r="G40" s="3" t="s">
        <v>12</v>
      </c>
      <c r="H40" s="3" t="s">
        <v>20</v>
      </c>
      <c r="J40" s="60"/>
      <c r="K40" s="12"/>
      <c r="L40" s="61"/>
      <c r="S40" s="108"/>
      <c r="V40" s="1"/>
      <c r="Y40" s="3" t="s">
        <v>10</v>
      </c>
      <c r="Z40" s="3" t="s">
        <v>12</v>
      </c>
      <c r="AA40" s="3" t="s">
        <v>20</v>
      </c>
    </row>
    <row r="41" spans="2:27" ht="18.75">
      <c r="B41" s="169" t="s">
        <v>4</v>
      </c>
      <c r="C41" s="172">
        <f ca="1">DEGREES(ASIN(SIN(RADIANS(C36))*SIN(RADIANS(C32))))</f>
        <v>-8.9719847738756346</v>
      </c>
      <c r="D41" t="s">
        <v>1</v>
      </c>
      <c r="E41">
        <f ca="1">C41</f>
        <v>-8.9719847738756346</v>
      </c>
      <c r="F41" s="55">
        <f ca="1">TRUNC(E41,0)</f>
        <v>-8</v>
      </c>
      <c r="G41" s="55">
        <f ca="1">TRUNC(60*(E41-F41),0)</f>
        <v>-58</v>
      </c>
      <c r="H41" s="56">
        <f ca="1">3600*(E41-F41-G41/60)</f>
        <v>-19.145185952284692</v>
      </c>
      <c r="J41" s="62"/>
      <c r="K41" s="63"/>
      <c r="L41" s="64"/>
      <c r="S41" s="108"/>
      <c r="U41" s="37" t="s">
        <v>4</v>
      </c>
      <c r="V41" s="98">
        <f ca="1">DEGREES(ASIN(SIN(RADIANS(V36))*SIN(RADIANS(V32))))</f>
        <v>-9.0837275039224608</v>
      </c>
      <c r="W41" t="s">
        <v>1</v>
      </c>
      <c r="X41">
        <f ca="1">V41</f>
        <v>-9.0837275039224608</v>
      </c>
      <c r="Y41" s="55">
        <f ca="1">TRUNC(X41,0)</f>
        <v>-9</v>
      </c>
      <c r="Z41" s="55">
        <f ca="1">TRUNC(60*(X41-Y41),0)</f>
        <v>-5</v>
      </c>
      <c r="AA41" s="56">
        <f ca="1">3600*(X41-Y41-Z41/60)</f>
        <v>-1.4190141208587359</v>
      </c>
    </row>
    <row r="42" spans="2:27">
      <c r="S42" s="108"/>
    </row>
    <row r="43" spans="2:27">
      <c r="S43" s="108"/>
    </row>
    <row r="44" spans="2:27">
      <c r="B44" s="33"/>
      <c r="U44" s="33"/>
    </row>
    <row r="46" spans="2:27">
      <c r="B46" s="33"/>
      <c r="U46" s="33"/>
    </row>
  </sheetData>
  <conditionalFormatting sqref="H20">
    <cfRule type="cellIs" dxfId="5" priority="7" operator="equal">
      <formula>0</formula>
    </cfRule>
  </conditionalFormatting>
  <conditionalFormatting sqref="H26">
    <cfRule type="cellIs" dxfId="4" priority="6" operator="equal">
      <formula>0</formula>
    </cfRule>
  </conditionalFormatting>
  <conditionalFormatting sqref="AA20">
    <cfRule type="cellIs" dxfId="3" priority="3" operator="equal">
      <formula>0</formula>
    </cfRule>
  </conditionalFormatting>
  <conditionalFormatting sqref="AA26">
    <cfRule type="cellIs" dxfId="2" priority="1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34674-CE4F-409E-9E1B-A22C4A6621FE}">
  <dimension ref="B2:Q44"/>
  <sheetViews>
    <sheetView workbookViewId="0">
      <selection activeCell="H29" sqref="H29"/>
    </sheetView>
  </sheetViews>
  <sheetFormatPr defaultRowHeight="15"/>
  <cols>
    <col min="1" max="1" width="5.28515625" customWidth="1"/>
    <col min="2" max="2" width="21" customWidth="1"/>
    <col min="3" max="3" width="14" customWidth="1"/>
    <col min="4" max="4" width="21.42578125" bestFit="1" customWidth="1"/>
    <col min="5" max="5" width="16.140625" customWidth="1"/>
    <col min="15" max="15" width="11.42578125" customWidth="1"/>
  </cols>
  <sheetData>
    <row r="2" spans="2:17" ht="26.25">
      <c r="B2" s="92" t="s">
        <v>146</v>
      </c>
    </row>
    <row r="3" spans="2:17">
      <c r="B3" t="s">
        <v>136</v>
      </c>
    </row>
    <row r="4" spans="2:17">
      <c r="H4" s="6" t="s">
        <v>142</v>
      </c>
    </row>
    <row r="5" spans="2:17" ht="15.75" thickBot="1">
      <c r="H5" t="s">
        <v>148</v>
      </c>
    </row>
    <row r="6" spans="2:17">
      <c r="B6" t="s">
        <v>92</v>
      </c>
      <c r="C6">
        <f ca="1">RightAscensionDecl!C4</f>
        <v>0.23152088166929113</v>
      </c>
      <c r="D6" t="s">
        <v>99</v>
      </c>
      <c r="H6" s="8"/>
      <c r="I6" s="9"/>
      <c r="J6" s="9"/>
      <c r="K6" s="9"/>
      <c r="L6" s="9"/>
      <c r="M6" s="9"/>
      <c r="N6" s="9"/>
      <c r="O6" s="9"/>
      <c r="P6" s="9"/>
      <c r="Q6" s="10"/>
    </row>
    <row r="7" spans="2:17">
      <c r="H7" s="11"/>
      <c r="I7" s="12"/>
      <c r="J7" s="12"/>
      <c r="K7" s="12"/>
      <c r="L7" s="12"/>
      <c r="M7" s="12"/>
      <c r="N7" s="12"/>
      <c r="O7" s="12"/>
      <c r="P7" s="12"/>
      <c r="Q7" s="13"/>
    </row>
    <row r="8" spans="2:17">
      <c r="B8" t="s">
        <v>45</v>
      </c>
      <c r="C8">
        <f ca="1">RightAscensionDecl!C22</f>
        <v>0.98991046707469432</v>
      </c>
      <c r="D8" t="s">
        <v>94</v>
      </c>
      <c r="H8" s="11"/>
      <c r="I8" s="12"/>
      <c r="J8" s="12"/>
      <c r="K8" s="12"/>
      <c r="L8" s="12"/>
      <c r="M8" s="12"/>
      <c r="N8" s="12"/>
      <c r="O8" s="12"/>
      <c r="P8" s="12"/>
      <c r="Q8" s="13"/>
    </row>
    <row r="9" spans="2:17">
      <c r="H9" s="11"/>
      <c r="I9" s="12"/>
      <c r="J9" s="12"/>
      <c r="K9" s="12"/>
      <c r="L9" s="12"/>
      <c r="M9" s="12"/>
      <c r="N9" s="12"/>
      <c r="O9" s="12"/>
      <c r="P9" s="12"/>
      <c r="Q9" s="13"/>
    </row>
    <row r="10" spans="2:17">
      <c r="B10" t="s">
        <v>17</v>
      </c>
      <c r="C10">
        <f ca="1">MOD(280.4665+36000.7698*C6,360)</f>
        <v>335.39646486919082</v>
      </c>
      <c r="D10" t="s">
        <v>1</v>
      </c>
      <c r="H10" s="11"/>
      <c r="I10" s="12"/>
      <c r="J10" s="12"/>
      <c r="K10" s="12"/>
      <c r="L10" s="12"/>
      <c r="M10" s="12"/>
      <c r="N10" s="12"/>
      <c r="O10" s="12"/>
      <c r="P10" s="12"/>
      <c r="Q10" s="13"/>
    </row>
    <row r="11" spans="2:17">
      <c r="H11" s="11"/>
      <c r="I11" s="12"/>
      <c r="J11" s="12"/>
      <c r="K11" s="12"/>
      <c r="L11" s="12"/>
      <c r="M11" s="12"/>
      <c r="N11" s="12"/>
      <c r="O11" s="12"/>
      <c r="P11" s="12"/>
      <c r="Q11" s="13"/>
    </row>
    <row r="12" spans="2:17">
      <c r="B12" t="s">
        <v>137</v>
      </c>
      <c r="C12">
        <f ca="1">MOD(218.3165+481267.8813*C6,360)</f>
        <v>41.880697687753127</v>
      </c>
      <c r="H12" s="11"/>
      <c r="I12" s="12"/>
      <c r="J12" s="12"/>
      <c r="K12" s="12"/>
      <c r="L12" s="12"/>
      <c r="M12" s="12"/>
      <c r="N12" s="12"/>
      <c r="O12" s="12"/>
      <c r="P12" s="12"/>
      <c r="Q12" s="13"/>
    </row>
    <row r="13" spans="2:17">
      <c r="H13" s="11"/>
      <c r="I13" s="12"/>
      <c r="J13" s="12"/>
      <c r="K13" s="12"/>
      <c r="L13" s="12"/>
      <c r="M13" s="12"/>
      <c r="N13" s="12"/>
      <c r="O13" s="12"/>
      <c r="P13" s="12"/>
      <c r="Q13" s="13"/>
    </row>
    <row r="14" spans="2:17">
      <c r="B14" t="s">
        <v>138</v>
      </c>
      <c r="C14" s="88">
        <f>125.04452</f>
        <v>125.04452000000001</v>
      </c>
      <c r="D14" s="88">
        <v>1</v>
      </c>
      <c r="E14" s="88">
        <f>C14*D14</f>
        <v>125.04452000000001</v>
      </c>
      <c r="H14" s="11"/>
      <c r="I14" s="12"/>
      <c r="J14" s="12"/>
      <c r="K14" s="12"/>
      <c r="L14" s="12"/>
      <c r="M14" s="12"/>
      <c r="N14" s="12"/>
      <c r="O14" s="12"/>
      <c r="P14" s="12"/>
      <c r="Q14" s="13"/>
    </row>
    <row r="15" spans="2:17">
      <c r="C15" s="88">
        <v>-1934.13626</v>
      </c>
      <c r="D15" s="88">
        <f ca="1">C6</f>
        <v>0.23152088166929113</v>
      </c>
      <c r="E15" s="88">
        <f t="shared" ref="E15:E17" ca="1" si="0">C15*D15</f>
        <v>-447.79293218374534</v>
      </c>
      <c r="H15" s="11"/>
      <c r="I15" s="12"/>
      <c r="J15" s="12"/>
      <c r="K15" s="12"/>
      <c r="L15" s="12"/>
      <c r="M15" s="12"/>
      <c r="N15" s="12"/>
      <c r="O15" s="12"/>
      <c r="P15" s="12"/>
      <c r="Q15" s="13"/>
    </row>
    <row r="16" spans="2:17">
      <c r="C16" s="88">
        <v>2.0707999999999998E-3</v>
      </c>
      <c r="D16" s="88">
        <f ca="1">C6^2</f>
        <v>5.3601918648925904E-2</v>
      </c>
      <c r="E16" s="88">
        <f t="shared" ca="1" si="0"/>
        <v>1.1099885313819575E-4</v>
      </c>
      <c r="H16" s="11"/>
      <c r="I16" s="12"/>
      <c r="J16" s="12"/>
      <c r="K16" s="12"/>
      <c r="L16" s="12"/>
      <c r="M16" s="12"/>
      <c r="N16" s="12"/>
      <c r="O16" s="12"/>
      <c r="P16" s="12"/>
      <c r="Q16" s="13"/>
    </row>
    <row r="17" spans="2:17">
      <c r="C17" s="88">
        <f>1/450000</f>
        <v>2.2222222222222221E-6</v>
      </c>
      <c r="D17" s="88">
        <f ca="1">C6^3</f>
        <v>1.2409963464764945E-2</v>
      </c>
      <c r="E17" s="88">
        <f t="shared" ca="1" si="0"/>
        <v>2.7577696588366542E-8</v>
      </c>
      <c r="H17" s="11"/>
      <c r="I17" s="12"/>
      <c r="J17" s="12"/>
      <c r="K17" s="12"/>
      <c r="L17" s="12"/>
      <c r="M17" s="12"/>
      <c r="N17" s="12"/>
      <c r="O17" s="12"/>
      <c r="P17" s="12"/>
      <c r="Q17" s="13"/>
    </row>
    <row r="18" spans="2:17" ht="15.75" thickBot="1">
      <c r="D18" s="91">
        <f ca="1">SUMPRODUCT(C14:C17,D14:D17)</f>
        <v>-322.74830115731453</v>
      </c>
      <c r="E18" s="91">
        <f ca="1">SUM(E14:E17)</f>
        <v>-322.74830115731453</v>
      </c>
      <c r="H18" s="14"/>
      <c r="I18" s="15"/>
      <c r="J18" s="15"/>
      <c r="K18" s="15"/>
      <c r="L18" s="15"/>
      <c r="M18" s="15"/>
      <c r="N18" s="15"/>
      <c r="O18" s="15"/>
      <c r="P18" s="15"/>
      <c r="Q18" s="16"/>
    </row>
    <row r="19" spans="2:17" ht="16.5" thickTop="1" thickBot="1"/>
    <row r="20" spans="2:17">
      <c r="B20" t="s">
        <v>15</v>
      </c>
      <c r="C20">
        <f ca="1">MOD(D18,360)</f>
        <v>37.251698842685471</v>
      </c>
      <c r="D20" t="s">
        <v>1</v>
      </c>
      <c r="H20" s="8"/>
      <c r="I20" s="9"/>
      <c r="J20" s="9"/>
      <c r="K20" s="10"/>
      <c r="N20" s="57"/>
      <c r="O20" s="58"/>
      <c r="P20" s="59"/>
    </row>
    <row r="21" spans="2:17">
      <c r="H21" s="11"/>
      <c r="I21" s="12"/>
      <c r="J21" s="12"/>
      <c r="K21" s="13"/>
      <c r="N21" s="60"/>
      <c r="O21" s="93" t="s">
        <v>141</v>
      </c>
      <c r="P21" s="61"/>
    </row>
    <row r="22" spans="2:17">
      <c r="B22" t="s">
        <v>140</v>
      </c>
      <c r="C22" s="89">
        <f>-17.2/3600</f>
        <v>-4.7777777777777775E-3</v>
      </c>
      <c r="D22" s="89">
        <f ca="1">SIN(RADIANS(C20))</f>
        <v>0.60531758955327053</v>
      </c>
      <c r="E22" s="89">
        <f ca="1">C22*D22</f>
        <v>-2.8920729278656258E-3</v>
      </c>
      <c r="H22" s="11"/>
      <c r="I22" s="12"/>
      <c r="J22" s="12"/>
      <c r="K22" s="13"/>
      <c r="N22" s="60"/>
      <c r="O22" s="12"/>
      <c r="P22" s="61"/>
    </row>
    <row r="23" spans="2:17">
      <c r="C23" s="89">
        <f>-1.32/3600</f>
        <v>-3.6666666666666667E-4</v>
      </c>
      <c r="D23" s="89">
        <f ca="1">SIN(RADIANS(2*C10))</f>
        <v>-0.75707568156204952</v>
      </c>
      <c r="E23" s="89">
        <f t="shared" ref="E23:E25" ca="1" si="1">C23*D23</f>
        <v>2.7759441657275149E-4</v>
      </c>
      <c r="H23" s="11"/>
      <c r="I23" s="12"/>
      <c r="J23" s="12"/>
      <c r="K23" s="13"/>
      <c r="N23" s="60"/>
      <c r="O23" s="94">
        <v>-5.6899999999999997E-3</v>
      </c>
      <c r="P23" s="61"/>
    </row>
    <row r="24" spans="2:17">
      <c r="C24" s="89">
        <f>-0.23/3600</f>
        <v>-6.3888888888888895E-5</v>
      </c>
      <c r="D24" s="89">
        <f ca="1">SIN(RADIANS(2*C12))</f>
        <v>0.99407797074851623</v>
      </c>
      <c r="E24" s="89">
        <f t="shared" ca="1" si="1"/>
        <v>-6.3510537020044095E-5</v>
      </c>
      <c r="H24" s="11"/>
      <c r="I24" s="12"/>
      <c r="J24" s="12"/>
      <c r="K24" s="13"/>
      <c r="N24" s="60"/>
      <c r="O24" s="94">
        <f ca="1">-0.00478*SIN(RADIANS(125.04-1934.136*C6))</f>
        <v>-2.8931145366389559E-3</v>
      </c>
      <c r="P24" s="61"/>
    </row>
    <row r="25" spans="2:17" ht="15.75" thickBot="1">
      <c r="C25" s="89">
        <f>0.21/3600</f>
        <v>5.8333333333333333E-5</v>
      </c>
      <c r="D25" s="89">
        <f ca="1">SIN(RADIANS(2*C20))</f>
        <v>0.96364629896287191</v>
      </c>
      <c r="E25" s="89">
        <f t="shared" ca="1" si="1"/>
        <v>5.6212700772834194E-5</v>
      </c>
      <c r="H25" s="14"/>
      <c r="I25" s="15"/>
      <c r="J25" s="15"/>
      <c r="K25" s="16"/>
      <c r="N25" s="60"/>
      <c r="O25" s="12"/>
      <c r="P25" s="61"/>
    </row>
    <row r="26" spans="2:17" ht="15.75" thickBot="1">
      <c r="D26" s="90">
        <f ca="1">SUMPRODUCT(C22:C25,D22:D25)</f>
        <v>-2.6217763475400841E-3</v>
      </c>
      <c r="E26" s="90">
        <f ca="1">SUM(E22:E25)</f>
        <v>-2.6217763475400841E-3</v>
      </c>
      <c r="N26" s="60"/>
      <c r="O26" s="96">
        <f ca="1">O23+O24</f>
        <v>-8.5831145366389548E-3</v>
      </c>
      <c r="P26" s="61"/>
    </row>
    <row r="27" spans="2:17" ht="15.75" thickTop="1">
      <c r="N27" s="62"/>
      <c r="O27" s="63"/>
      <c r="P27" s="64"/>
    </row>
    <row r="28" spans="2:17">
      <c r="B28" t="s">
        <v>139</v>
      </c>
      <c r="C28" s="89">
        <f ca="1">(-20.4898/3600)/C8</f>
        <v>-5.7496221127255201E-3</v>
      </c>
    </row>
    <row r="29" spans="2:17">
      <c r="C29" s="89">
        <f ca="1">E26</f>
        <v>-2.6217763475400841E-3</v>
      </c>
    </row>
    <row r="30" spans="2:17" ht="15.75" thickBot="1">
      <c r="C30" s="96">
        <f ca="1">C28+C29</f>
        <v>-8.3713984602656038E-3</v>
      </c>
      <c r="D30" t="s">
        <v>1</v>
      </c>
    </row>
    <row r="31" spans="2:17" ht="15.75" thickTop="1"/>
    <row r="34" spans="2:16" ht="27" thickBot="1">
      <c r="B34" s="92" t="s">
        <v>143</v>
      </c>
    </row>
    <row r="35" spans="2:16">
      <c r="H35" s="8"/>
      <c r="I35" s="9"/>
      <c r="J35" s="9"/>
      <c r="K35" s="9"/>
      <c r="L35" s="9"/>
      <c r="M35" s="9"/>
      <c r="N35" s="9"/>
      <c r="O35" s="9"/>
      <c r="P35" s="10"/>
    </row>
    <row r="36" spans="2:16">
      <c r="B36" t="s">
        <v>145</v>
      </c>
      <c r="C36" s="89">
        <f>9.2/3600</f>
        <v>2.5555555555555553E-3</v>
      </c>
      <c r="D36" s="89">
        <f ca="1">COS(RADIANS(C20))</f>
        <v>0.79598405497686842</v>
      </c>
      <c r="E36" s="89">
        <f ca="1">C36*D36</f>
        <v>2.0341814738297748E-3</v>
      </c>
      <c r="H36" s="11"/>
      <c r="I36" s="12"/>
      <c r="J36" s="12"/>
      <c r="K36" s="12"/>
      <c r="L36" s="12"/>
      <c r="M36" s="12"/>
      <c r="N36" s="12"/>
      <c r="O36" s="12"/>
      <c r="P36" s="13"/>
    </row>
    <row r="37" spans="2:16">
      <c r="C37" s="89">
        <f>0.57/3600</f>
        <v>1.5833333333333332E-4</v>
      </c>
      <c r="D37" s="89">
        <f ca="1">COS(RADIANS(2*C10))</f>
        <v>0.65332718632195175</v>
      </c>
      <c r="E37" s="89">
        <f t="shared" ref="E37:E39" ca="1" si="2">C37*D37</f>
        <v>1.0344347116764236E-4</v>
      </c>
      <c r="H37" s="11"/>
      <c r="I37" s="12"/>
      <c r="J37" s="12"/>
      <c r="K37" s="12"/>
      <c r="L37" s="12"/>
      <c r="M37" s="12"/>
      <c r="N37" s="12"/>
      <c r="O37" s="12"/>
      <c r="P37" s="13"/>
    </row>
    <row r="38" spans="2:16" ht="15.75" thickBot="1">
      <c r="C38" s="89">
        <f>0.1/3600</f>
        <v>2.7777777777777779E-5</v>
      </c>
      <c r="D38" s="89">
        <f ca="1">COS(RADIANS(2*C12))</f>
        <v>0.10866916799401788</v>
      </c>
      <c r="E38" s="89">
        <f t="shared" ca="1" si="2"/>
        <v>3.0185879998338302E-6</v>
      </c>
      <c r="H38" s="14"/>
      <c r="I38" s="15"/>
      <c r="J38" s="15"/>
      <c r="K38" s="15"/>
      <c r="L38" s="15"/>
      <c r="M38" s="15"/>
      <c r="N38" s="15"/>
      <c r="O38" s="15"/>
      <c r="P38" s="16"/>
    </row>
    <row r="39" spans="2:16">
      <c r="C39" s="89">
        <f>-0.09/3600</f>
        <v>-2.4999999999999998E-5</v>
      </c>
      <c r="D39" s="89">
        <f ca="1">COS(RADIANS(2*C20))</f>
        <v>0.2671812315548367</v>
      </c>
      <c r="E39" s="89">
        <f t="shared" ca="1" si="2"/>
        <v>-6.6795307888709172E-6</v>
      </c>
    </row>
    <row r="40" spans="2:16" ht="15.75" thickBot="1">
      <c r="E40" s="90">
        <f ca="1">SUM(E36:E39)</f>
        <v>2.1339640022083797E-3</v>
      </c>
      <c r="N40" s="57"/>
      <c r="O40" s="58"/>
      <c r="P40" s="59"/>
    </row>
    <row r="41" spans="2:16" ht="15.75" thickTop="1">
      <c r="N41" s="60"/>
      <c r="O41" s="93" t="s">
        <v>141</v>
      </c>
      <c r="P41" s="61"/>
    </row>
    <row r="42" spans="2:16">
      <c r="N42" s="60"/>
      <c r="O42" s="12"/>
      <c r="P42" s="61"/>
    </row>
    <row r="43" spans="2:16">
      <c r="B43" t="s">
        <v>144</v>
      </c>
      <c r="C43" s="95">
        <f ca="1">E40</f>
        <v>2.1339640022083797E-3</v>
      </c>
      <c r="D43" t="s">
        <v>1</v>
      </c>
      <c r="N43" s="60"/>
      <c r="O43" s="95">
        <f ca="1">0.00256*COS(RADIANS(125.04-1934.136*C6))</f>
        <v>2.0378427962637292E-3</v>
      </c>
      <c r="P43" s="61"/>
    </row>
    <row r="44" spans="2:16">
      <c r="N44" s="62"/>
      <c r="O44" s="63"/>
      <c r="P44" s="64"/>
    </row>
  </sheetData>
  <hyperlinks>
    <hyperlink ref="H4" r:id="rId1" xr:uid="{E1B15375-AA3F-4BA0-A924-BBB5BCF5F631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3D00E-B1DE-42F4-9401-44B319813CE4}">
  <dimension ref="B2:N60"/>
  <sheetViews>
    <sheetView workbookViewId="0">
      <selection activeCell="H33" sqref="H33"/>
    </sheetView>
  </sheetViews>
  <sheetFormatPr defaultRowHeight="15"/>
  <cols>
    <col min="1" max="1" width="4.42578125" customWidth="1"/>
    <col min="2" max="2" width="45.28515625" bestFit="1" customWidth="1"/>
    <col min="3" max="3" width="15.28515625" bestFit="1" customWidth="1"/>
    <col min="4" max="4" width="21.42578125" bestFit="1" customWidth="1"/>
    <col min="5" max="5" width="9" customWidth="1"/>
    <col min="7" max="7" width="10" customWidth="1"/>
    <col min="8" max="8" width="12" customWidth="1"/>
    <col min="9" max="9" width="14.42578125" customWidth="1"/>
    <col min="10" max="10" width="14.7109375" bestFit="1" customWidth="1"/>
    <col min="11" max="11" width="12.5703125" bestFit="1" customWidth="1"/>
    <col min="13" max="13" width="7.140625" customWidth="1"/>
    <col min="14" max="14" width="16" bestFit="1" customWidth="1"/>
  </cols>
  <sheetData>
    <row r="2" spans="2:14" ht="23.25">
      <c r="B2" s="20" t="s">
        <v>91</v>
      </c>
    </row>
    <row r="4" spans="2:14">
      <c r="B4" t="s">
        <v>123</v>
      </c>
      <c r="C4" s="23">
        <f ca="1">TimeScales!K17</f>
        <v>0.23149897330595481</v>
      </c>
      <c r="E4" t="s">
        <v>126</v>
      </c>
      <c r="H4">
        <f ca="1">TimeScales!K17</f>
        <v>0.23149897330595481</v>
      </c>
      <c r="K4" s="7" t="s">
        <v>54</v>
      </c>
    </row>
    <row r="5" spans="2:14">
      <c r="C5" s="23"/>
    </row>
    <row r="6" spans="2:14">
      <c r="B6" t="s">
        <v>124</v>
      </c>
      <c r="C6" s="23">
        <f ca="1">TimeScales!H17</f>
        <v>0.23152088166929113</v>
      </c>
      <c r="K6" s="6" t="s">
        <v>113</v>
      </c>
    </row>
    <row r="7" spans="2:14">
      <c r="C7" s="23"/>
      <c r="K7" s="6" t="s">
        <v>117</v>
      </c>
    </row>
    <row r="8" spans="2:14">
      <c r="B8" t="s">
        <v>125</v>
      </c>
      <c r="C8" s="23">
        <f ca="1">TimeScales!H35</f>
        <v>0.23152090373960904</v>
      </c>
      <c r="K8" s="6" t="s">
        <v>23</v>
      </c>
    </row>
    <row r="9" spans="2:14">
      <c r="K9" s="6" t="s">
        <v>134</v>
      </c>
    </row>
    <row r="10" spans="2:14">
      <c r="B10" s="37" t="s">
        <v>108</v>
      </c>
      <c r="C10" s="66">
        <f ca="1">RightAscensionDecl!C38</f>
        <v>338.64267986532917</v>
      </c>
      <c r="D10" t="s">
        <v>1</v>
      </c>
      <c r="E10" s="81">
        <f ca="1">C10*PI()/180</f>
        <v>5.9104297514271016</v>
      </c>
      <c r="F10" t="s">
        <v>103</v>
      </c>
      <c r="G10" s="5">
        <f ca="1">C10/360*24</f>
        <v>22.576178657688612</v>
      </c>
      <c r="H10" s="85">
        <f ca="1">G10/24</f>
        <v>0.94067411073702545</v>
      </c>
      <c r="K10" s="6" t="s">
        <v>16</v>
      </c>
    </row>
    <row r="11" spans="2:14">
      <c r="K11" s="6" t="s">
        <v>147</v>
      </c>
    </row>
    <row r="12" spans="2:14">
      <c r="B12" s="37" t="s">
        <v>4</v>
      </c>
      <c r="C12" s="67">
        <f ca="1">RightAscensionDecl!C41</f>
        <v>-8.9719847738756346</v>
      </c>
      <c r="D12" t="s">
        <v>1</v>
      </c>
      <c r="E12" s="81">
        <f ca="1">C12*PI()/180</f>
        <v>-0.15659067474292876</v>
      </c>
      <c r="F12" t="s">
        <v>103</v>
      </c>
      <c r="K12" s="6" t="s">
        <v>176</v>
      </c>
    </row>
    <row r="13" spans="2:14">
      <c r="B13" s="37"/>
    </row>
    <row r="14" spans="2:14">
      <c r="B14" s="78" t="s">
        <v>131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</row>
    <row r="16" spans="2:14">
      <c r="B16" t="s">
        <v>118</v>
      </c>
      <c r="I16" s="7" t="s">
        <v>130</v>
      </c>
    </row>
    <row r="17" spans="2:12">
      <c r="C17">
        <v>67310.548410000003</v>
      </c>
      <c r="D17">
        <v>1</v>
      </c>
      <c r="I17" s="54"/>
      <c r="J17" s="70"/>
      <c r="K17" s="54"/>
      <c r="L17" s="54"/>
    </row>
    <row r="18" spans="2:12">
      <c r="B18">
        <v>876600</v>
      </c>
      <c r="C18">
        <f>B18*60*60</f>
        <v>3155760000</v>
      </c>
      <c r="D18" s="32">
        <f ca="1">C6</f>
        <v>0.23152088166929113</v>
      </c>
      <c r="I18" s="54"/>
      <c r="J18" s="70"/>
      <c r="K18" s="77" t="s">
        <v>0</v>
      </c>
      <c r="L18" s="54"/>
    </row>
    <row r="19" spans="2:12">
      <c r="C19">
        <v>8640184.8128660005</v>
      </c>
      <c r="D19" s="32">
        <f ca="1">C6</f>
        <v>0.23152088166929113</v>
      </c>
      <c r="I19" s="54">
        <v>6.6973745579999999</v>
      </c>
      <c r="J19" s="54">
        <v>1</v>
      </c>
      <c r="K19" s="54">
        <f>I19*3600</f>
        <v>24110.548408800001</v>
      </c>
      <c r="L19" s="54"/>
    </row>
    <row r="20" spans="2:12">
      <c r="C20">
        <v>9.3104000000000006E-2</v>
      </c>
      <c r="D20" s="32">
        <f ca="1">C6^2</f>
        <v>5.3601918648925904E-2</v>
      </c>
      <c r="I20" s="54">
        <v>1.0027379093</v>
      </c>
      <c r="J20" s="74">
        <f ca="1">TimeScales!D17*24</f>
        <v>19.204871298333334</v>
      </c>
      <c r="K20" s="73">
        <f>3600*I20</f>
        <v>3609.8564734799997</v>
      </c>
      <c r="L20" s="54"/>
    </row>
    <row r="21" spans="2:12">
      <c r="C21">
        <v>-6.1999999999999999E-6</v>
      </c>
      <c r="D21" s="32">
        <f ca="1">C6^3</f>
        <v>1.2409963464764945E-2</v>
      </c>
      <c r="I21" s="54"/>
      <c r="J21" s="54"/>
      <c r="K21" s="54"/>
      <c r="L21" s="54"/>
    </row>
    <row r="22" spans="2:12" ht="15.75" thickBot="1">
      <c r="C22" s="29" t="s">
        <v>24</v>
      </c>
      <c r="D22" s="28">
        <f ca="1">SUMPRODUCT(C17:C21,D17:D21)</f>
        <v>732692031.29574311</v>
      </c>
      <c r="I22" s="54"/>
      <c r="J22" s="54">
        <v>8640184.8128660005</v>
      </c>
      <c r="K22" s="54">
        <f ca="1">H4</f>
        <v>0.23149897330595481</v>
      </c>
      <c r="L22" s="54"/>
    </row>
    <row r="23" spans="2:12">
      <c r="I23" s="54"/>
      <c r="J23" s="54">
        <v>9.3104000000000006E-2</v>
      </c>
      <c r="K23" s="54">
        <f ca="1">H4^2</f>
        <v>5.3591774641711179E-2</v>
      </c>
      <c r="L23" s="54"/>
    </row>
    <row r="24" spans="2:12">
      <c r="C24">
        <f ca="1">MOD(D22,86400)</f>
        <v>20031.295743107796</v>
      </c>
      <c r="D24" t="s">
        <v>0</v>
      </c>
      <c r="I24" s="54"/>
      <c r="J24" s="54">
        <v>-6.1999999999999999E-6</v>
      </c>
      <c r="K24" s="54">
        <f ca="1">H4^3</f>
        <v>1.2406440807200242E-2</v>
      </c>
      <c r="L24" s="54"/>
    </row>
    <row r="25" spans="2:12">
      <c r="B25" t="s">
        <v>129</v>
      </c>
      <c r="C25" s="40">
        <f ca="1">C24/60/60</f>
        <v>5.5642488175299434</v>
      </c>
      <c r="D25" t="s">
        <v>2</v>
      </c>
      <c r="E25" s="3" t="s">
        <v>11</v>
      </c>
      <c r="F25" s="3" t="s">
        <v>12</v>
      </c>
      <c r="G25" s="3" t="s">
        <v>20</v>
      </c>
      <c r="I25" s="54"/>
      <c r="J25" s="54"/>
      <c r="K25" s="70"/>
      <c r="L25" s="54"/>
    </row>
    <row r="26" spans="2:12" ht="15.75" thickBot="1">
      <c r="E26" s="55">
        <f ca="1">TRUNC(C25)</f>
        <v>5</v>
      </c>
      <c r="F26" s="55">
        <f ca="1">TRUNC(60*(C25-E26))</f>
        <v>33</v>
      </c>
      <c r="G26" s="55">
        <f ca="1">TRUNC(3600*(C25-E26-F26/60))</f>
        <v>51</v>
      </c>
      <c r="I26" s="54"/>
      <c r="J26" s="76" t="s">
        <v>24</v>
      </c>
      <c r="K26" s="71">
        <f ca="1">SUMPRODUCT(J19:J24,K19:K24)</f>
        <v>2093631.2957291531</v>
      </c>
      <c r="L26" s="54"/>
    </row>
    <row r="27" spans="2:12">
      <c r="C27" s="75">
        <f ca="1">C25*360/24</f>
        <v>83.463732262949151</v>
      </c>
      <c r="D27" t="s">
        <v>1</v>
      </c>
      <c r="I27" s="54"/>
      <c r="J27" s="70"/>
      <c r="K27" s="54"/>
      <c r="L27" s="54"/>
    </row>
    <row r="28" spans="2:12">
      <c r="I28" s="54"/>
      <c r="J28" s="70"/>
      <c r="K28" s="54">
        <f ca="1">K26/86400</f>
        <v>24.231843700568902</v>
      </c>
      <c r="L28" s="54" t="s">
        <v>127</v>
      </c>
    </row>
    <row r="29" spans="2:12">
      <c r="B29" t="s">
        <v>116</v>
      </c>
      <c r="C29" s="54"/>
      <c r="I29" s="54"/>
      <c r="J29" s="54"/>
      <c r="K29" s="54">
        <f ca="1">TRUNC(K28,0)</f>
        <v>24</v>
      </c>
      <c r="L29" s="54"/>
    </row>
    <row r="30" spans="2:12">
      <c r="I30" s="54"/>
      <c r="J30" s="72"/>
      <c r="K30" s="54">
        <f ca="1">K28-K29</f>
        <v>0.23184370056890202</v>
      </c>
      <c r="L30" s="54"/>
    </row>
    <row r="31" spans="2:12">
      <c r="B31" t="s">
        <v>128</v>
      </c>
      <c r="C31" s="54"/>
      <c r="I31" s="54"/>
      <c r="J31" s="54"/>
      <c r="K31" s="4">
        <f ca="1">K30*24</f>
        <v>5.5642488136536485</v>
      </c>
      <c r="L31" s="54"/>
    </row>
    <row r="32" spans="2:12">
      <c r="I32" s="54"/>
      <c r="J32" s="54"/>
      <c r="K32" s="54"/>
      <c r="L32" s="54"/>
    </row>
    <row r="34" spans="2:14">
      <c r="B34" s="78" t="s">
        <v>132</v>
      </c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</row>
    <row r="36" spans="2:14">
      <c r="B36" t="s">
        <v>150</v>
      </c>
      <c r="C36" s="79">
        <v>51.287840000000003</v>
      </c>
      <c r="D36" t="s">
        <v>1</v>
      </c>
      <c r="E36" s="82">
        <f>C36*PI()/180</f>
        <v>0.89514167423604851</v>
      </c>
      <c r="F36" t="s">
        <v>103</v>
      </c>
    </row>
    <row r="38" spans="2:14">
      <c r="B38" t="s">
        <v>151</v>
      </c>
      <c r="C38" s="79">
        <v>0.16183</v>
      </c>
      <c r="D38" t="s">
        <v>1</v>
      </c>
      <c r="E38" s="82">
        <f>C38*PI()/180</f>
        <v>2.8244663285024235E-3</v>
      </c>
      <c r="F38" t="s">
        <v>103</v>
      </c>
    </row>
    <row r="40" spans="2:14">
      <c r="B40" t="s">
        <v>14</v>
      </c>
      <c r="C40" s="41">
        <f ca="1">C25+C38*24/360</f>
        <v>5.5750374841966099</v>
      </c>
      <c r="D40" t="s">
        <v>2</v>
      </c>
      <c r="E40" s="3" t="s">
        <v>11</v>
      </c>
      <c r="F40" s="3" t="s">
        <v>12</v>
      </c>
      <c r="G40" s="3" t="s">
        <v>20</v>
      </c>
    </row>
    <row r="41" spans="2:14">
      <c r="E41" s="55">
        <f ca="1">TRUNC(C40)</f>
        <v>5</v>
      </c>
      <c r="F41" s="55">
        <f ca="1">TRUNC(60*(C40-E41))</f>
        <v>34</v>
      </c>
      <c r="G41" s="55">
        <f ca="1">TRUNC(3600*(C40-E41-F41/60))</f>
        <v>30</v>
      </c>
    </row>
    <row r="42" spans="2:14">
      <c r="C42" s="18">
        <f ca="1">C27+C38</f>
        <v>83.625562262949146</v>
      </c>
      <c r="D42" t="s">
        <v>1</v>
      </c>
    </row>
    <row r="44" spans="2:14">
      <c r="B44" s="78" t="s">
        <v>135</v>
      </c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</row>
    <row r="46" spans="2:14">
      <c r="B46" t="s">
        <v>133</v>
      </c>
      <c r="C46" s="5">
        <f ca="1">MOD(C42-C10,360)</f>
        <v>104.98288239761996</v>
      </c>
      <c r="D46" t="s">
        <v>1</v>
      </c>
      <c r="E46" s="82">
        <f ca="1">C46*PI()/180</f>
        <v>1.8322969560724671</v>
      </c>
      <c r="F46" t="s">
        <v>103</v>
      </c>
    </row>
    <row r="48" spans="2:14">
      <c r="B48" t="s">
        <v>5</v>
      </c>
      <c r="C48" s="5">
        <f ca="1">C46*24/360</f>
        <v>6.9988588265079974</v>
      </c>
      <c r="D48" t="s">
        <v>2</v>
      </c>
    </row>
    <row r="50" spans="2:14" ht="18.75">
      <c r="B50" s="130" t="s">
        <v>8</v>
      </c>
      <c r="C50" s="97">
        <f ca="1">E50*180/PI()</f>
        <v>-16.343623617036076</v>
      </c>
      <c r="D50" t="s">
        <v>1</v>
      </c>
      <c r="E50" s="83">
        <f ca="1">ASIN(SIN(E36)*SIN(E12)+COS(E36)*COS(E12)*COS(E46))</f>
        <v>-0.28525004382398433</v>
      </c>
      <c r="F50" t="s">
        <v>103</v>
      </c>
    </row>
    <row r="52" spans="2:14">
      <c r="B52" t="s">
        <v>6</v>
      </c>
      <c r="C52" s="84">
        <f ca="1">90-C50</f>
        <v>106.34362361703607</v>
      </c>
    </row>
    <row r="54" spans="2:14">
      <c r="B54" t="s">
        <v>7</v>
      </c>
      <c r="E54" s="80">
        <f ca="1">COS(E12)*SIN(-E46)/COS(E50)</f>
        <v>-0.99436474765178284</v>
      </c>
      <c r="F54" t="s">
        <v>103</v>
      </c>
    </row>
    <row r="55" spans="2:14">
      <c r="B55" t="s">
        <v>9</v>
      </c>
    </row>
    <row r="56" spans="2:14">
      <c r="E56">
        <f ca="1">(SIN(E12)-SIN(E50)*SIN(E36))/(COS(E50)*COS(E36))</f>
        <v>0.10601296443080155</v>
      </c>
      <c r="F56" t="s">
        <v>103</v>
      </c>
    </row>
    <row r="58" spans="2:14" ht="18.75">
      <c r="B58" s="129" t="s">
        <v>7</v>
      </c>
      <c r="C58" s="87">
        <f ca="1">MOD(E58*180/PI(),360)</f>
        <v>276.08553090326592</v>
      </c>
      <c r="D58" t="s">
        <v>1</v>
      </c>
      <c r="E58">
        <f ca="1">ATAN2(E56,E54)</f>
        <v>-1.4645837758010416</v>
      </c>
      <c r="F58" t="s">
        <v>103</v>
      </c>
    </row>
    <row r="60" spans="2:14"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</row>
  </sheetData>
  <hyperlinks>
    <hyperlink ref="K6" r:id="rId1" xr:uid="{6D8ED4B5-5255-4922-AA01-A1814170BAA6}"/>
    <hyperlink ref="K7" r:id="rId2" xr:uid="{0160C505-963C-49BA-9AB8-795C14B3197D}"/>
    <hyperlink ref="K8" r:id="rId3" xr:uid="{77081CEF-9273-4D7C-8312-15C4A106CE34}"/>
    <hyperlink ref="K9" r:id="rId4" location="/51.2885,0.1646,16/2020.11.29/12:02/1/0" xr:uid="{9B1F1033-4C85-4B55-83E0-D511EDFE1902}"/>
    <hyperlink ref="K10" r:id="rId5" xr:uid="{E9EE7467-18EC-45AE-997E-506D92A68CF8}"/>
    <hyperlink ref="K11" r:id="rId6" location="/51.2884,0.1649,16/2020.11.29/13:22/1/0" xr:uid="{A4940CE8-3BED-43D9-AF29-DAD6D70C4B29}"/>
    <hyperlink ref="K12" r:id="rId7" display="https://www.timeanddate.com/astronomy/perihelion-aphelion-solstice.html" xr:uid="{84E77FE7-A598-436E-ABEA-8143591BF47B}"/>
  </hyperlinks>
  <pageMargins left="0.7" right="0.7" top="0.75" bottom="0.75" header="0.3" footer="0.3"/>
  <drawing r:id="rId8"/>
  <legacyDrawing r:id="rId9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42AB4-6E4A-4F8B-9B5A-FEE0D6728B81}">
  <dimension ref="B1:AZ39"/>
  <sheetViews>
    <sheetView workbookViewId="0">
      <selection activeCell="A6" sqref="A6"/>
    </sheetView>
  </sheetViews>
  <sheetFormatPr defaultRowHeight="15"/>
  <cols>
    <col min="1" max="1" width="4.85546875" customWidth="1"/>
    <col min="2" max="2" width="16" bestFit="1" customWidth="1"/>
    <col min="3" max="3" width="9.5703125" customWidth="1"/>
    <col min="4" max="4" width="9.28515625" customWidth="1"/>
    <col min="5" max="5" width="2.85546875" customWidth="1"/>
    <col min="6" max="6" width="3.140625" customWidth="1"/>
    <col min="7" max="7" width="29.140625" bestFit="1" customWidth="1"/>
    <col min="8" max="8" width="12.140625" customWidth="1"/>
    <col min="9" max="9" width="11" customWidth="1"/>
    <col min="10" max="10" width="15.140625" customWidth="1"/>
    <col min="12" max="12" width="13.85546875" customWidth="1"/>
    <col min="14" max="15" width="2.85546875" customWidth="1"/>
    <col min="16" max="16" width="29.140625" bestFit="1" customWidth="1"/>
    <col min="17" max="17" width="12.140625" customWidth="1"/>
    <col min="18" max="18" width="11" customWidth="1"/>
    <col min="19" max="19" width="15.140625" customWidth="1"/>
    <col min="21" max="21" width="13.85546875" customWidth="1"/>
    <col min="23" max="24" width="2.85546875" customWidth="1"/>
    <col min="25" max="25" width="29.140625" bestFit="1" customWidth="1"/>
    <col min="26" max="26" width="12.140625" customWidth="1"/>
    <col min="27" max="27" width="11" customWidth="1"/>
    <col min="28" max="28" width="15.140625" customWidth="1"/>
    <col min="30" max="30" width="13.85546875" customWidth="1"/>
    <col min="31" max="31" width="9" customWidth="1"/>
    <col min="32" max="33" width="2.85546875" customWidth="1"/>
    <col min="34" max="34" width="29.140625" bestFit="1" customWidth="1"/>
    <col min="35" max="35" width="12.140625" customWidth="1"/>
    <col min="36" max="36" width="11" customWidth="1"/>
    <col min="37" max="37" width="15.140625" customWidth="1"/>
    <col min="39" max="39" width="13.85546875" customWidth="1"/>
    <col min="41" max="42" width="2.85546875" customWidth="1"/>
    <col min="43" max="43" width="29.140625" bestFit="1" customWidth="1"/>
    <col min="44" max="44" width="12.140625" customWidth="1"/>
    <col min="45" max="45" width="11" customWidth="1"/>
    <col min="46" max="46" width="15.140625" customWidth="1"/>
    <col min="48" max="48" width="13.85546875" customWidth="1"/>
    <col min="50" max="51" width="2.85546875" customWidth="1"/>
  </cols>
  <sheetData>
    <row r="1" spans="2:52">
      <c r="E1" s="108"/>
      <c r="N1" s="108"/>
      <c r="W1" s="108"/>
      <c r="AF1" s="108"/>
      <c r="AO1" s="108"/>
      <c r="AX1" s="108"/>
    </row>
    <row r="2" spans="2:52" ht="23.25">
      <c r="E2" s="108"/>
      <c r="G2" s="20" t="s">
        <v>91</v>
      </c>
      <c r="N2" s="108"/>
      <c r="P2" s="20" t="s">
        <v>165</v>
      </c>
      <c r="W2" s="108"/>
      <c r="Y2" s="20" t="s">
        <v>166</v>
      </c>
      <c r="AF2" s="108"/>
      <c r="AH2" s="20" t="s">
        <v>167</v>
      </c>
      <c r="AO2" s="108"/>
      <c r="AQ2" s="20" t="s">
        <v>168</v>
      </c>
      <c r="AX2" s="108"/>
      <c r="AZ2" s="20" t="s">
        <v>169</v>
      </c>
    </row>
    <row r="3" spans="2:52">
      <c r="E3" s="108"/>
      <c r="N3" s="108"/>
      <c r="W3" s="108"/>
      <c r="AF3" s="108"/>
      <c r="AO3" s="108"/>
      <c r="AX3" s="108"/>
    </row>
    <row r="4" spans="2:52">
      <c r="E4" s="108"/>
      <c r="N4" s="108"/>
      <c r="W4" s="108"/>
      <c r="Z4" s="112">
        <v>-6</v>
      </c>
      <c r="AA4" t="s">
        <v>1</v>
      </c>
      <c r="AB4" s="88">
        <f>Z4*PI()/180</f>
        <v>-0.10471975511965977</v>
      </c>
      <c r="AC4" t="s">
        <v>103</v>
      </c>
      <c r="AF4" s="108"/>
      <c r="AI4" s="112">
        <v>-12</v>
      </c>
      <c r="AJ4" t="s">
        <v>1</v>
      </c>
      <c r="AK4" s="88">
        <f>AI4*PI()/180</f>
        <v>-0.20943951023931953</v>
      </c>
      <c r="AL4" t="s">
        <v>103</v>
      </c>
      <c r="AO4" s="108"/>
      <c r="AR4" s="112">
        <v>-18</v>
      </c>
      <c r="AS4" t="s">
        <v>1</v>
      </c>
      <c r="AT4" s="88">
        <f>AR4*PI()/180</f>
        <v>-0.31415926535897931</v>
      </c>
      <c r="AU4" t="s">
        <v>103</v>
      </c>
      <c r="AX4" s="108"/>
    </row>
    <row r="5" spans="2:52" ht="15.75" thickBot="1">
      <c r="E5" s="108"/>
      <c r="N5" s="108"/>
      <c r="W5" s="108"/>
      <c r="AF5" s="108"/>
      <c r="AO5" s="108"/>
      <c r="AX5" s="108"/>
    </row>
    <row r="6" spans="2:52">
      <c r="B6" s="119" t="s">
        <v>169</v>
      </c>
      <c r="C6" s="113">
        <v>0</v>
      </c>
      <c r="D6" s="114">
        <f ca="1">C8</f>
        <v>0.20992421184789603</v>
      </c>
      <c r="E6" s="108"/>
      <c r="G6" t="s">
        <v>18</v>
      </c>
      <c r="H6">
        <f>TimeScales!$F$5+TimeScales!$F$6</f>
        <v>0</v>
      </c>
      <c r="I6" t="s">
        <v>2</v>
      </c>
      <c r="N6" s="108"/>
      <c r="P6" t="s">
        <v>18</v>
      </c>
      <c r="Q6">
        <f>TimeScales!$F$5+TimeScales!$F$6</f>
        <v>0</v>
      </c>
      <c r="R6" t="s">
        <v>2</v>
      </c>
      <c r="W6" s="108"/>
      <c r="Y6" t="s">
        <v>18</v>
      </c>
      <c r="Z6">
        <f>TimeScales!$F$5+TimeScales!$F$6</f>
        <v>0</v>
      </c>
      <c r="AA6" t="s">
        <v>2</v>
      </c>
      <c r="AF6" s="108"/>
      <c r="AH6" t="s">
        <v>18</v>
      </c>
      <c r="AI6">
        <f>TimeScales!$F$5+TimeScales!$F$6</f>
        <v>0</v>
      </c>
      <c r="AJ6" t="s">
        <v>2</v>
      </c>
      <c r="AO6" s="108"/>
      <c r="AQ6" t="s">
        <v>18</v>
      </c>
      <c r="AR6">
        <f>TimeScales!$F$5+TimeScales!$F$6</f>
        <v>0</v>
      </c>
      <c r="AS6" t="s">
        <v>2</v>
      </c>
      <c r="AX6" s="108"/>
    </row>
    <row r="7" spans="2:52">
      <c r="B7" s="120"/>
      <c r="C7" s="12"/>
      <c r="D7" s="13"/>
      <c r="E7" s="108"/>
      <c r="N7" s="108"/>
      <c r="W7" s="108"/>
      <c r="AF7" s="108"/>
      <c r="AO7" s="108"/>
      <c r="AX7" s="108"/>
    </row>
    <row r="8" spans="2:52">
      <c r="B8" s="121" t="s">
        <v>170</v>
      </c>
      <c r="C8" s="115">
        <f ca="1">AR30</f>
        <v>0.20992421184789603</v>
      </c>
      <c r="D8" s="116">
        <f ca="1">C10</f>
        <v>0.23666516856140141</v>
      </c>
      <c r="E8" s="108"/>
      <c r="G8" t="s">
        <v>150</v>
      </c>
      <c r="H8" s="99">
        <f>AzimuthAlt!C36</f>
        <v>51.287840000000003</v>
      </c>
      <c r="I8" t="s">
        <v>1</v>
      </c>
      <c r="J8" s="34">
        <f>H8*PI()/180</f>
        <v>0.89514167423604851</v>
      </c>
      <c r="K8" t="s">
        <v>103</v>
      </c>
      <c r="N8" s="108"/>
      <c r="P8" t="s">
        <v>150</v>
      </c>
      <c r="Q8" s="99">
        <f>H8</f>
        <v>51.287840000000003</v>
      </c>
      <c r="R8" t="s">
        <v>1</v>
      </c>
      <c r="S8" s="34">
        <f>Q8*PI()/180</f>
        <v>0.89514167423604851</v>
      </c>
      <c r="T8" t="s">
        <v>103</v>
      </c>
      <c r="W8" s="108"/>
      <c r="Y8" t="s">
        <v>150</v>
      </c>
      <c r="Z8" s="99">
        <f>Q8</f>
        <v>51.287840000000003</v>
      </c>
      <c r="AA8" t="s">
        <v>1</v>
      </c>
      <c r="AB8" s="34">
        <f>Z8*PI()/180</f>
        <v>0.89514167423604851</v>
      </c>
      <c r="AC8" t="s">
        <v>103</v>
      </c>
      <c r="AF8" s="108"/>
      <c r="AH8" t="s">
        <v>150</v>
      </c>
      <c r="AI8" s="99">
        <f>Z8</f>
        <v>51.287840000000003</v>
      </c>
      <c r="AJ8" t="s">
        <v>1</v>
      </c>
      <c r="AK8" s="34">
        <f>AI8*PI()/180</f>
        <v>0.89514167423604851</v>
      </c>
      <c r="AL8" t="s">
        <v>103</v>
      </c>
      <c r="AO8" s="108"/>
      <c r="AQ8" t="s">
        <v>150</v>
      </c>
      <c r="AR8" s="99">
        <f>AI8</f>
        <v>51.287840000000003</v>
      </c>
      <c r="AS8" t="s">
        <v>1</v>
      </c>
      <c r="AT8" s="34">
        <f>AR8*PI()/180</f>
        <v>0.89514167423604851</v>
      </c>
      <c r="AU8" t="s">
        <v>103</v>
      </c>
      <c r="AX8" s="108"/>
    </row>
    <row r="9" spans="2:52">
      <c r="B9" s="120"/>
      <c r="C9" s="12"/>
      <c r="D9" s="13"/>
      <c r="E9" s="108"/>
      <c r="N9" s="108"/>
      <c r="W9" s="108"/>
      <c r="AF9" s="108"/>
      <c r="AO9" s="108"/>
      <c r="AX9" s="108"/>
    </row>
    <row r="10" spans="2:52">
      <c r="B10" s="122" t="s">
        <v>167</v>
      </c>
      <c r="C10" s="115">
        <f ca="1">AI30</f>
        <v>0.23666516856140141</v>
      </c>
      <c r="D10" s="116">
        <f ca="1">C12</f>
        <v>0.26337824856319503</v>
      </c>
      <c r="E10" s="108"/>
      <c r="G10" t="s">
        <v>151</v>
      </c>
      <c r="H10" s="99">
        <f>AzimuthAlt!C38</f>
        <v>0.16183</v>
      </c>
      <c r="I10" t="s">
        <v>1</v>
      </c>
      <c r="J10" s="34">
        <f>H10*PI()/180</f>
        <v>2.8244663285024235E-3</v>
      </c>
      <c r="K10" t="s">
        <v>103</v>
      </c>
      <c r="N10" s="108"/>
      <c r="P10" t="s">
        <v>151</v>
      </c>
      <c r="Q10" s="99">
        <f>H10</f>
        <v>0.16183</v>
      </c>
      <c r="R10" t="s">
        <v>1</v>
      </c>
      <c r="S10" s="34">
        <f>Q10*PI()/180</f>
        <v>2.8244663285024235E-3</v>
      </c>
      <c r="T10" t="s">
        <v>103</v>
      </c>
      <c r="W10" s="108"/>
      <c r="Y10" t="s">
        <v>151</v>
      </c>
      <c r="Z10" s="99">
        <f>Q10</f>
        <v>0.16183</v>
      </c>
      <c r="AA10" t="s">
        <v>1</v>
      </c>
      <c r="AB10" s="34">
        <f>Z10*PI()/180</f>
        <v>2.8244663285024235E-3</v>
      </c>
      <c r="AC10" t="s">
        <v>103</v>
      </c>
      <c r="AF10" s="108"/>
      <c r="AH10" t="s">
        <v>151</v>
      </c>
      <c r="AI10" s="99">
        <f>Z10</f>
        <v>0.16183</v>
      </c>
      <c r="AJ10" t="s">
        <v>1</v>
      </c>
      <c r="AK10" s="34">
        <f>AI10*PI()/180</f>
        <v>2.8244663285024235E-3</v>
      </c>
      <c r="AL10" t="s">
        <v>103</v>
      </c>
      <c r="AO10" s="108"/>
      <c r="AQ10" t="s">
        <v>151</v>
      </c>
      <c r="AR10" s="99">
        <f>AI10</f>
        <v>0.16183</v>
      </c>
      <c r="AS10" t="s">
        <v>1</v>
      </c>
      <c r="AT10" s="34">
        <f>AR10*PI()/180</f>
        <v>2.8244663285024235E-3</v>
      </c>
      <c r="AU10" t="s">
        <v>103</v>
      </c>
      <c r="AX10" s="108"/>
    </row>
    <row r="11" spans="2:52">
      <c r="B11" s="120"/>
      <c r="C11" s="12"/>
      <c r="D11" s="13"/>
      <c r="E11" s="108"/>
      <c r="N11" s="108"/>
      <c r="W11" s="108"/>
      <c r="AF11" s="108"/>
      <c r="AO11" s="108"/>
      <c r="AX11" s="108"/>
    </row>
    <row r="12" spans="2:52">
      <c r="B12" s="123" t="s">
        <v>166</v>
      </c>
      <c r="C12" s="115">
        <f ca="1">Z30</f>
        <v>0.26337824856319503</v>
      </c>
      <c r="D12" s="116">
        <f ca="1">C14</f>
        <v>0.28752008793634376</v>
      </c>
      <c r="E12" s="108"/>
      <c r="G12" t="s">
        <v>17</v>
      </c>
      <c r="H12">
        <f ca="1">RightAscensionDecl!C14</f>
        <v>335.39644806691649</v>
      </c>
      <c r="I12" t="s">
        <v>1</v>
      </c>
      <c r="J12" s="34">
        <f ca="1">H12*PI()/180</f>
        <v>5.8537723182618633</v>
      </c>
      <c r="K12" t="s">
        <v>103</v>
      </c>
      <c r="N12" s="108"/>
      <c r="P12" t="s">
        <v>17</v>
      </c>
      <c r="Q12">
        <f ca="1">H12</f>
        <v>335.39644806691649</v>
      </c>
      <c r="R12" t="s">
        <v>1</v>
      </c>
      <c r="S12" s="34">
        <f ca="1">Q12*PI()/180</f>
        <v>5.8537723182618633</v>
      </c>
      <c r="T12" t="s">
        <v>103</v>
      </c>
      <c r="W12" s="108"/>
      <c r="Y12" t="s">
        <v>17</v>
      </c>
      <c r="Z12">
        <f ca="1">Q12</f>
        <v>335.39644806691649</v>
      </c>
      <c r="AA12" t="s">
        <v>1</v>
      </c>
      <c r="AB12" s="34">
        <f ca="1">Z12*PI()/180</f>
        <v>5.8537723182618633</v>
      </c>
      <c r="AC12" t="s">
        <v>103</v>
      </c>
      <c r="AF12" s="108"/>
      <c r="AH12" t="s">
        <v>17</v>
      </c>
      <c r="AI12">
        <f ca="1">Z12</f>
        <v>335.39644806691649</v>
      </c>
      <c r="AJ12" t="s">
        <v>1</v>
      </c>
      <c r="AK12" s="34">
        <f ca="1">AI12*PI()/180</f>
        <v>5.8537723182618633</v>
      </c>
      <c r="AL12" t="s">
        <v>103</v>
      </c>
      <c r="AO12" s="108"/>
      <c r="AQ12" t="s">
        <v>17</v>
      </c>
      <c r="AR12">
        <f ca="1">AI12</f>
        <v>335.39644806691649</v>
      </c>
      <c r="AS12" t="s">
        <v>1</v>
      </c>
      <c r="AT12" s="34">
        <f ca="1">AR12*PI()/180</f>
        <v>5.8537723182618633</v>
      </c>
      <c r="AU12" t="s">
        <v>103</v>
      </c>
      <c r="AX12" s="108"/>
    </row>
    <row r="13" spans="2:52">
      <c r="B13" s="120"/>
      <c r="C13" s="115"/>
      <c r="D13" s="13"/>
      <c r="E13" s="108"/>
      <c r="N13" s="108"/>
      <c r="W13" s="108"/>
      <c r="AF13" s="108"/>
      <c r="AO13" s="108"/>
      <c r="AX13" s="108"/>
    </row>
    <row r="14" spans="2:52">
      <c r="B14" s="124" t="s">
        <v>171</v>
      </c>
      <c r="C14" s="126">
        <f ca="1">Q30</f>
        <v>0.28752008793634376</v>
      </c>
      <c r="D14" s="126">
        <f ca="1">Q32</f>
        <v>0.72961547761039336</v>
      </c>
      <c r="E14" s="108"/>
      <c r="G14" s="37" t="s">
        <v>108</v>
      </c>
      <c r="H14">
        <f ca="1">RightAscensionDecl!C38</f>
        <v>338.64267986532917</v>
      </c>
      <c r="I14" t="s">
        <v>1</v>
      </c>
      <c r="J14" s="34">
        <f ca="1">H14*PI()/180</f>
        <v>5.9104297514271016</v>
      </c>
      <c r="K14" t="s">
        <v>103</v>
      </c>
      <c r="N14" s="108"/>
      <c r="P14" s="37" t="s">
        <v>108</v>
      </c>
      <c r="Q14">
        <f ca="1">H14</f>
        <v>338.64267986532917</v>
      </c>
      <c r="R14" t="s">
        <v>1</v>
      </c>
      <c r="S14" s="34">
        <f ca="1">Q14*PI()/180</f>
        <v>5.9104297514271016</v>
      </c>
      <c r="T14" t="s">
        <v>103</v>
      </c>
      <c r="W14" s="108"/>
      <c r="Y14" s="37" t="s">
        <v>108</v>
      </c>
      <c r="Z14">
        <f ca="1">Q14</f>
        <v>338.64267986532917</v>
      </c>
      <c r="AA14" t="s">
        <v>1</v>
      </c>
      <c r="AB14" s="34">
        <f ca="1">Z14*PI()/180</f>
        <v>5.9104297514271016</v>
      </c>
      <c r="AC14" t="s">
        <v>103</v>
      </c>
      <c r="AF14" s="108"/>
      <c r="AH14" s="37" t="s">
        <v>108</v>
      </c>
      <c r="AI14">
        <f ca="1">Z14</f>
        <v>338.64267986532917</v>
      </c>
      <c r="AJ14" t="s">
        <v>1</v>
      </c>
      <c r="AK14" s="34">
        <f ca="1">AI14*PI()/180</f>
        <v>5.9104297514271016</v>
      </c>
      <c r="AL14" t="s">
        <v>103</v>
      </c>
      <c r="AO14" s="108"/>
      <c r="AQ14" s="37" t="s">
        <v>108</v>
      </c>
      <c r="AR14">
        <f ca="1">AI14</f>
        <v>338.64267986532917</v>
      </c>
      <c r="AS14" t="s">
        <v>1</v>
      </c>
      <c r="AT14" s="34">
        <f ca="1">AR14*PI()/180</f>
        <v>5.9104297514271016</v>
      </c>
      <c r="AU14" t="s">
        <v>103</v>
      </c>
      <c r="AX14" s="108"/>
    </row>
    <row r="15" spans="2:52">
      <c r="B15" s="120"/>
      <c r="C15" s="12"/>
      <c r="D15" s="13"/>
      <c r="E15" s="108"/>
      <c r="N15" s="108"/>
      <c r="W15" s="108"/>
      <c r="AF15" s="108"/>
      <c r="AO15" s="108"/>
      <c r="AX15" s="108"/>
    </row>
    <row r="16" spans="2:52">
      <c r="B16" s="123" t="s">
        <v>166</v>
      </c>
      <c r="C16" s="115">
        <f ca="1">D14</f>
        <v>0.72961547761039336</v>
      </c>
      <c r="D16" s="116">
        <f ca="1">Z32</f>
        <v>0.75375731698354198</v>
      </c>
      <c r="E16" s="108"/>
      <c r="G16" s="127" t="s">
        <v>153</v>
      </c>
      <c r="H16" s="100">
        <f ca="1">H12-H14</f>
        <v>-3.2462317984126798</v>
      </c>
      <c r="I16" t="s">
        <v>1</v>
      </c>
      <c r="J16" s="34">
        <f ca="1">H16*PI()/180</f>
        <v>-5.6657433165238094E-2</v>
      </c>
      <c r="K16" t="s">
        <v>103</v>
      </c>
      <c r="L16" s="128">
        <f ca="1">H16*24*60/360/24/60</f>
        <v>-9.0173105511463323E-3</v>
      </c>
      <c r="M16" t="s">
        <v>172</v>
      </c>
      <c r="N16" s="108"/>
      <c r="P16" t="s">
        <v>153</v>
      </c>
      <c r="Q16" s="100">
        <f ca="1">Q12-Q14</f>
        <v>-3.2462317984126798</v>
      </c>
      <c r="R16" t="s">
        <v>1</v>
      </c>
      <c r="S16" s="34">
        <f ca="1">Q16*PI()/180</f>
        <v>-5.6657433165238094E-2</v>
      </c>
      <c r="T16" t="s">
        <v>103</v>
      </c>
      <c r="U16">
        <f ca="1">Q16*24*60/360</f>
        <v>-12.984927193650719</v>
      </c>
      <c r="V16" t="s">
        <v>154</v>
      </c>
      <c r="W16" s="108"/>
      <c r="Y16" t="s">
        <v>153</v>
      </c>
      <c r="Z16" s="100">
        <f ca="1">Z12-Z14</f>
        <v>-3.2462317984126798</v>
      </c>
      <c r="AA16" t="s">
        <v>1</v>
      </c>
      <c r="AB16" s="34">
        <f ca="1">Z16*PI()/180</f>
        <v>-5.6657433165238094E-2</v>
      </c>
      <c r="AC16" t="s">
        <v>103</v>
      </c>
      <c r="AD16">
        <f ca="1">Z16*24*60/360</f>
        <v>-12.984927193650719</v>
      </c>
      <c r="AE16" t="s">
        <v>154</v>
      </c>
      <c r="AF16" s="108"/>
      <c r="AH16" t="s">
        <v>153</v>
      </c>
      <c r="AI16" s="100">
        <f ca="1">AI12-AI14</f>
        <v>-3.2462317984126798</v>
      </c>
      <c r="AJ16" t="s">
        <v>1</v>
      </c>
      <c r="AK16" s="34">
        <f ca="1">AI16*PI()/180</f>
        <v>-5.6657433165238094E-2</v>
      </c>
      <c r="AL16" t="s">
        <v>103</v>
      </c>
      <c r="AM16">
        <f ca="1">AI16*24*60/360</f>
        <v>-12.984927193650719</v>
      </c>
      <c r="AN16" t="s">
        <v>154</v>
      </c>
      <c r="AO16" s="108"/>
      <c r="AQ16" t="s">
        <v>153</v>
      </c>
      <c r="AR16" s="100">
        <f ca="1">AR12-AR14</f>
        <v>-3.2462317984126798</v>
      </c>
      <c r="AS16" t="s">
        <v>1</v>
      </c>
      <c r="AT16" s="34">
        <f ca="1">AR16*PI()/180</f>
        <v>-5.6657433165238094E-2</v>
      </c>
      <c r="AU16" t="s">
        <v>103</v>
      </c>
      <c r="AV16">
        <f ca="1">AR16*24*60/360</f>
        <v>-12.984927193650719</v>
      </c>
      <c r="AW16" t="s">
        <v>154</v>
      </c>
      <c r="AX16" s="108"/>
    </row>
    <row r="17" spans="2:50">
      <c r="B17" s="120"/>
      <c r="C17" s="12"/>
      <c r="D17" s="116"/>
      <c r="E17" s="108"/>
      <c r="N17" s="108"/>
      <c r="W17" s="108"/>
      <c r="AF17" s="108"/>
      <c r="AO17" s="108"/>
      <c r="AX17" s="108"/>
    </row>
    <row r="18" spans="2:50">
      <c r="B18" s="122" t="s">
        <v>167</v>
      </c>
      <c r="C18" s="115">
        <f ca="1">D16</f>
        <v>0.75375731698354198</v>
      </c>
      <c r="D18" s="116">
        <f ca="1">AI32</f>
        <v>0.7804703969853356</v>
      </c>
      <c r="E18" s="108"/>
      <c r="G18" s="37" t="s">
        <v>4</v>
      </c>
      <c r="H18" s="88">
        <f ca="1">RightAscensionDecl!V41</f>
        <v>-9.0837275039224608</v>
      </c>
      <c r="I18" t="s">
        <v>1</v>
      </c>
      <c r="J18" s="88">
        <f ca="1">H18*PI()/180</f>
        <v>-0.15854095329741308</v>
      </c>
      <c r="K18" t="s">
        <v>103</v>
      </c>
      <c r="N18" s="108"/>
      <c r="P18" s="37" t="s">
        <v>4</v>
      </c>
      <c r="Q18" s="88">
        <f ca="1">$H$18+P19</f>
        <v>-8.2503941705891268</v>
      </c>
      <c r="R18" t="s">
        <v>1</v>
      </c>
      <c r="S18" s="88">
        <f ca="1">Q18*PI()/180</f>
        <v>-0.14399654286412697</v>
      </c>
      <c r="T18" t="s">
        <v>103</v>
      </c>
      <c r="W18" s="108"/>
      <c r="Y18" s="37" t="s">
        <v>4</v>
      </c>
      <c r="Z18" s="88">
        <f ca="1">$H$18+Y19</f>
        <v>-9.0837275039224608</v>
      </c>
      <c r="AA18" t="s">
        <v>1</v>
      </c>
      <c r="AB18" s="88">
        <f ca="1">Z18*PI()/180</f>
        <v>-0.15854095329741308</v>
      </c>
      <c r="AC18" t="s">
        <v>103</v>
      </c>
      <c r="AF18" s="108"/>
      <c r="AH18" s="37" t="s">
        <v>4</v>
      </c>
      <c r="AI18" s="88">
        <f ca="1">$H$18+AH19</f>
        <v>-9.0837275039224608</v>
      </c>
      <c r="AJ18" t="s">
        <v>1</v>
      </c>
      <c r="AK18" s="88">
        <f ca="1">AI18*PI()/180</f>
        <v>-0.15854095329741308</v>
      </c>
      <c r="AL18" t="s">
        <v>103</v>
      </c>
      <c r="AO18" s="108"/>
      <c r="AQ18" s="37" t="s">
        <v>4</v>
      </c>
      <c r="AR18" s="88">
        <f ca="1">$H$18+AQ19</f>
        <v>-9.0837275039224608</v>
      </c>
      <c r="AS18" t="s">
        <v>1</v>
      </c>
      <c r="AT18" s="88">
        <f ca="1">AR18*PI()/180</f>
        <v>-0.15854095329741308</v>
      </c>
      <c r="AU18" t="s">
        <v>103</v>
      </c>
      <c r="AX18" s="108"/>
    </row>
    <row r="19" spans="2:50">
      <c r="B19" s="120"/>
      <c r="C19" s="12"/>
      <c r="D19" s="116"/>
      <c r="E19" s="108"/>
      <c r="N19" s="108"/>
      <c r="P19" s="26">
        <f>50/60</f>
        <v>0.83333333333333337</v>
      </c>
      <c r="W19" s="108"/>
      <c r="Y19" s="26">
        <v>0</v>
      </c>
      <c r="AF19" s="108"/>
      <c r="AH19" s="26">
        <v>0</v>
      </c>
      <c r="AO19" s="108"/>
      <c r="AQ19" s="26">
        <v>0</v>
      </c>
      <c r="AX19" s="108"/>
    </row>
    <row r="20" spans="2:50">
      <c r="B20" s="121" t="s">
        <v>170</v>
      </c>
      <c r="C20" s="115">
        <f ca="1">D18</f>
        <v>0.7804703969853356</v>
      </c>
      <c r="D20" s="116">
        <f ca="1">AR32</f>
        <v>0.80721135369884101</v>
      </c>
      <c r="E20" s="108"/>
      <c r="G20" t="s">
        <v>152</v>
      </c>
      <c r="H20" s="84">
        <f ca="1">J20*180/PI()</f>
        <v>104.62190445016945</v>
      </c>
      <c r="I20" t="s">
        <v>1</v>
      </c>
      <c r="J20">
        <f ca="1">ACOS(SIN(J18)/COS(J8))</f>
        <v>1.8259967023623647</v>
      </c>
      <c r="K20" t="s">
        <v>103</v>
      </c>
      <c r="N20" s="108"/>
      <c r="P20" t="s">
        <v>152</v>
      </c>
      <c r="Q20" s="84">
        <f ca="1">S20*180/PI()</f>
        <v>103.26464622413991</v>
      </c>
      <c r="R20" t="s">
        <v>1</v>
      </c>
      <c r="S20">
        <f ca="1">ACOS(SIN(S18)/COS(S8))</f>
        <v>1.8023080775183717</v>
      </c>
      <c r="T20" t="s">
        <v>103</v>
      </c>
      <c r="W20" s="108"/>
      <c r="Y20" t="s">
        <v>152</v>
      </c>
      <c r="Z20" s="84">
        <f ca="1">AB20*180/PI()</f>
        <v>104.62190445016945</v>
      </c>
      <c r="AA20" t="s">
        <v>1</v>
      </c>
      <c r="AB20">
        <f ca="1">ACOS(SIN(AB18)/COS(AB8))</f>
        <v>1.8259967023623647</v>
      </c>
      <c r="AC20" t="s">
        <v>103</v>
      </c>
      <c r="AF20" s="108"/>
      <c r="AH20" t="s">
        <v>152</v>
      </c>
      <c r="AI20" s="84">
        <f ca="1">AK20*180/PI()</f>
        <v>104.62190445016945</v>
      </c>
      <c r="AJ20" t="s">
        <v>1</v>
      </c>
      <c r="AK20">
        <f ca="1">ACOS(SIN(AK18)/COS(AK8))</f>
        <v>1.8259967023623647</v>
      </c>
      <c r="AL20" t="s">
        <v>103</v>
      </c>
      <c r="AO20" s="108"/>
      <c r="AQ20" t="s">
        <v>152</v>
      </c>
      <c r="AR20" s="84">
        <f ca="1">AT20*180/PI()</f>
        <v>104.62190445016945</v>
      </c>
      <c r="AS20" t="s">
        <v>1</v>
      </c>
      <c r="AT20">
        <f ca="1">ACOS(SIN(AT18)/COS(AT8))</f>
        <v>1.8259967023623647</v>
      </c>
      <c r="AU20" t="s">
        <v>103</v>
      </c>
      <c r="AX20" s="108"/>
    </row>
    <row r="21" spans="2:50">
      <c r="B21" s="120"/>
      <c r="C21" s="12"/>
      <c r="D21" s="13"/>
      <c r="E21" s="108"/>
      <c r="N21" s="108"/>
      <c r="W21" s="108"/>
      <c r="AF21" s="108"/>
      <c r="AO21" s="108"/>
      <c r="AX21" s="108"/>
    </row>
    <row r="22" spans="2:50" ht="15.75" thickBot="1">
      <c r="B22" s="125" t="s">
        <v>169</v>
      </c>
      <c r="C22" s="117">
        <f ca="1">D20</f>
        <v>0.80721135369884101</v>
      </c>
      <c r="D22" s="118">
        <v>0.99930555555555556</v>
      </c>
      <c r="E22" s="108"/>
      <c r="G22" t="s">
        <v>155</v>
      </c>
      <c r="H22" s="5">
        <f ca="1">360-H20</f>
        <v>255.37809554983056</v>
      </c>
      <c r="I22" t="s">
        <v>1</v>
      </c>
      <c r="J22" s="34">
        <f ca="1">H22*PI()/180</f>
        <v>4.4571886048172225</v>
      </c>
      <c r="K22" t="s">
        <v>103</v>
      </c>
      <c r="N22" s="108"/>
      <c r="P22" t="s">
        <v>155</v>
      </c>
      <c r="Q22" s="5">
        <f ca="1">360-Q20</f>
        <v>256.73535377586006</v>
      </c>
      <c r="R22" t="s">
        <v>1</v>
      </c>
      <c r="S22" s="34">
        <f ca="1">Q22*PI()/180</f>
        <v>4.480877229661214</v>
      </c>
      <c r="T22" t="s">
        <v>103</v>
      </c>
      <c r="W22" s="108"/>
      <c r="Y22" t="s">
        <v>155</v>
      </c>
      <c r="Z22" s="5">
        <f ca="1">360-Z20</f>
        <v>255.37809554983056</v>
      </c>
      <c r="AA22" t="s">
        <v>1</v>
      </c>
      <c r="AB22" s="34">
        <f ca="1">Z22*PI()/180</f>
        <v>4.4571886048172225</v>
      </c>
      <c r="AC22" t="s">
        <v>103</v>
      </c>
      <c r="AF22" s="108"/>
      <c r="AH22" t="s">
        <v>155</v>
      </c>
      <c r="AI22" s="5">
        <f ca="1">360-AI20</f>
        <v>255.37809554983056</v>
      </c>
      <c r="AJ22" t="s">
        <v>1</v>
      </c>
      <c r="AK22" s="34">
        <f ca="1">AI22*PI()/180</f>
        <v>4.4571886048172225</v>
      </c>
      <c r="AL22" t="s">
        <v>103</v>
      </c>
      <c r="AO22" s="108"/>
      <c r="AQ22" t="s">
        <v>155</v>
      </c>
      <c r="AR22" s="5">
        <f ca="1">360-AR20</f>
        <v>255.37809554983056</v>
      </c>
      <c r="AS22" t="s">
        <v>1</v>
      </c>
      <c r="AT22" s="34">
        <f ca="1">AR22*PI()/180</f>
        <v>4.4571886048172225</v>
      </c>
      <c r="AU22" t="s">
        <v>103</v>
      </c>
      <c r="AX22" s="108"/>
    </row>
    <row r="23" spans="2:50">
      <c r="E23" s="108"/>
      <c r="N23" s="108"/>
      <c r="W23" s="108"/>
      <c r="AF23" s="108"/>
      <c r="AO23" s="108"/>
      <c r="AX23" s="108"/>
    </row>
    <row r="24" spans="2:50">
      <c r="E24" s="108"/>
      <c r="G24" t="s">
        <v>149</v>
      </c>
      <c r="H24" s="84">
        <f ca="1">J24*180/PI()</f>
        <v>78.493474458008635</v>
      </c>
      <c r="I24" t="s">
        <v>1</v>
      </c>
      <c r="J24">
        <f ca="1">ACOS(-TAN(J8)*TAN(J18))</f>
        <v>1.3699695706223221</v>
      </c>
      <c r="K24" t="s">
        <v>103</v>
      </c>
      <c r="L24" s="5">
        <f ca="1">H24*24/360</f>
        <v>5.2328982972005758</v>
      </c>
      <c r="M24" t="s">
        <v>2</v>
      </c>
      <c r="N24" s="108"/>
      <c r="P24" t="s">
        <v>149</v>
      </c>
      <c r="Q24" s="84">
        <f ca="1">S24*180/PI()</f>
        <v>79.577170141328921</v>
      </c>
      <c r="R24" t="s">
        <v>1</v>
      </c>
      <c r="S24">
        <f ca="1">ACOS(-TAN(S8)*TAN(S18))</f>
        <v>1.388883628385911</v>
      </c>
      <c r="T24" t="s">
        <v>103</v>
      </c>
      <c r="U24" s="5">
        <f ca="1">Q24*24/360</f>
        <v>5.3051446760885952</v>
      </c>
      <c r="V24" t="s">
        <v>2</v>
      </c>
      <c r="W24" s="108"/>
      <c r="Y24" t="s">
        <v>149</v>
      </c>
      <c r="Z24" s="84">
        <f ca="1">AB24*180/PI()</f>
        <v>88.268232315662459</v>
      </c>
      <c r="AA24" t="s">
        <v>1</v>
      </c>
      <c r="AB24" s="111">
        <f ca="1">ACOS((SIN(AB4)-SIN(AB18)*SIN(AB8))/(COS(AB18)*COS(AB8)))</f>
        <v>1.5405712788235686</v>
      </c>
      <c r="AC24" t="s">
        <v>103</v>
      </c>
      <c r="AD24" s="5">
        <f ca="1">Z24*24/360</f>
        <v>5.8845488210441648</v>
      </c>
      <c r="AE24" t="s">
        <v>2</v>
      </c>
      <c r="AF24" s="108"/>
      <c r="AH24" t="s">
        <v>149</v>
      </c>
      <c r="AI24" s="84">
        <f ca="1">AK24*180/PI()</f>
        <v>97.88494111630817</v>
      </c>
      <c r="AJ24" t="s">
        <v>1</v>
      </c>
      <c r="AK24" s="111">
        <f ca="1">ACOS((SIN(AK4)-SIN(AK18)*SIN(AK8))/(COS(AK18)*COS(AK8)))</f>
        <v>1.7084145106003512</v>
      </c>
      <c r="AL24" t="s">
        <v>103</v>
      </c>
      <c r="AM24" s="5">
        <f ca="1">AI24*24/360</f>
        <v>6.5256627410872117</v>
      </c>
      <c r="AN24" t="s">
        <v>2</v>
      </c>
      <c r="AO24" s="108"/>
      <c r="AQ24" t="s">
        <v>149</v>
      </c>
      <c r="AR24" s="84">
        <f ca="1">AT24*180/PI()</f>
        <v>107.51168553317009</v>
      </c>
      <c r="AS24" t="s">
        <v>1</v>
      </c>
      <c r="AT24" s="111">
        <f ca="1">ACOS((SIN(AT4)-SIN(AT18)*SIN(AT8))/(COS(AT18)*COS(AT8)))</f>
        <v>1.8764328969225734</v>
      </c>
      <c r="AU24" t="s">
        <v>103</v>
      </c>
      <c r="AV24" s="5">
        <f ca="1">AR24*24/360</f>
        <v>7.1674457022113405</v>
      </c>
      <c r="AW24" t="s">
        <v>2</v>
      </c>
      <c r="AX24" s="108"/>
    </row>
    <row r="25" spans="2:50">
      <c r="B25" s="7" t="s">
        <v>174</v>
      </c>
      <c r="E25" s="108"/>
      <c r="N25" s="108"/>
      <c r="W25" s="108"/>
      <c r="AF25" s="108"/>
      <c r="AO25" s="108"/>
      <c r="AX25" s="108"/>
    </row>
    <row r="26" spans="2:50">
      <c r="D26" t="s">
        <v>178</v>
      </c>
      <c r="E26" s="108"/>
      <c r="G26" t="s">
        <v>160</v>
      </c>
      <c r="H26" s="99">
        <f>H10-H6*360/24</f>
        <v>0.16183</v>
      </c>
      <c r="L26" s="5">
        <f>H26/360*24*60</f>
        <v>0.64732000000000001</v>
      </c>
      <c r="M26" t="s">
        <v>154</v>
      </c>
      <c r="N26" s="108"/>
      <c r="P26" t="s">
        <v>160</v>
      </c>
      <c r="Q26" s="99">
        <f>Q10-Q6*360/24</f>
        <v>0.16183</v>
      </c>
      <c r="U26" s="5">
        <f>Q26/360*24*60</f>
        <v>0.64732000000000001</v>
      </c>
      <c r="V26" t="s">
        <v>154</v>
      </c>
      <c r="W26" s="108"/>
      <c r="Y26" t="s">
        <v>160</v>
      </c>
      <c r="Z26" s="99">
        <f>Z10-Z6*360/24</f>
        <v>0.16183</v>
      </c>
      <c r="AD26" s="5">
        <f>Z26/360*24*60</f>
        <v>0.64732000000000001</v>
      </c>
      <c r="AE26" t="s">
        <v>154</v>
      </c>
      <c r="AF26" s="108"/>
      <c r="AH26" t="s">
        <v>160</v>
      </c>
      <c r="AI26" s="99">
        <f>AI10-AI6*360/24</f>
        <v>0.16183</v>
      </c>
      <c r="AM26" s="5">
        <f>AI26/360*24*60</f>
        <v>0.64732000000000001</v>
      </c>
      <c r="AN26" t="s">
        <v>154</v>
      </c>
      <c r="AO26" s="108"/>
      <c r="AQ26" t="s">
        <v>160</v>
      </c>
      <c r="AR26" s="99">
        <f>AR10-AR6*360/24</f>
        <v>0.16183</v>
      </c>
      <c r="AV26" s="5">
        <f>AR26/360*24*60</f>
        <v>0.64732000000000001</v>
      </c>
      <c r="AW26" t="s">
        <v>154</v>
      </c>
      <c r="AX26" s="108"/>
    </row>
    <row r="27" spans="2:50">
      <c r="B27" s="6" t="s">
        <v>173</v>
      </c>
      <c r="E27" s="108" t="s">
        <v>178</v>
      </c>
      <c r="N27" s="108"/>
      <c r="W27" s="108"/>
      <c r="AF27" s="108"/>
      <c r="AO27" s="108"/>
      <c r="AX27" s="108"/>
    </row>
    <row r="28" spans="2:50">
      <c r="B28" s="6" t="s">
        <v>175</v>
      </c>
      <c r="E28" s="108" t="s">
        <v>178</v>
      </c>
      <c r="G28" t="s">
        <v>159</v>
      </c>
      <c r="H28" s="88">
        <f ca="1">-H26-H16</f>
        <v>3.0844017984126797</v>
      </c>
      <c r="L28" s="88">
        <f ca="1">H28/360*24*60</f>
        <v>12.337607193650719</v>
      </c>
      <c r="M28" t="s">
        <v>154</v>
      </c>
      <c r="N28" s="108"/>
      <c r="P28" t="s">
        <v>159</v>
      </c>
      <c r="Q28" s="88">
        <f ca="1">-Q26-Q16</f>
        <v>3.0844017984126797</v>
      </c>
      <c r="U28" s="88">
        <f ca="1">Q28/360*24*60</f>
        <v>12.337607193650719</v>
      </c>
      <c r="V28" t="s">
        <v>154</v>
      </c>
      <c r="W28" s="108"/>
      <c r="Y28" t="s">
        <v>159</v>
      </c>
      <c r="Z28" s="88">
        <f ca="1">-Z26-Z16</f>
        <v>3.0844017984126797</v>
      </c>
      <c r="AD28" s="88">
        <f ca="1">Z28/360*24*60</f>
        <v>12.337607193650719</v>
      </c>
      <c r="AE28" t="s">
        <v>154</v>
      </c>
      <c r="AF28" s="108"/>
      <c r="AH28" t="s">
        <v>159</v>
      </c>
      <c r="AI28" s="88">
        <f ca="1">-AI26-AI16</f>
        <v>3.0844017984126797</v>
      </c>
      <c r="AM28" s="88">
        <f ca="1">AI28/360*24*60</f>
        <v>12.337607193650719</v>
      </c>
      <c r="AN28" t="s">
        <v>154</v>
      </c>
      <c r="AO28" s="108"/>
      <c r="AQ28" t="s">
        <v>159</v>
      </c>
      <c r="AR28" s="88">
        <f ca="1">-AR26-AR16</f>
        <v>3.0844017984126797</v>
      </c>
      <c r="AV28" s="88">
        <f ca="1">AR28/360*24*60</f>
        <v>12.337607193650719</v>
      </c>
      <c r="AW28" t="s">
        <v>154</v>
      </c>
      <c r="AX28" s="108"/>
    </row>
    <row r="29" spans="2:50">
      <c r="B29" t="s">
        <v>177</v>
      </c>
      <c r="E29" s="108" t="s">
        <v>178</v>
      </c>
      <c r="N29" s="108"/>
      <c r="W29" s="108"/>
      <c r="AF29" s="108"/>
      <c r="AO29" s="108"/>
      <c r="AX29" s="108"/>
    </row>
    <row r="30" spans="2:50">
      <c r="B30" t="s">
        <v>179</v>
      </c>
      <c r="E30" s="108" t="s">
        <v>178</v>
      </c>
      <c r="G30" s="101" t="s">
        <v>156</v>
      </c>
      <c r="H30" s="103">
        <f ca="1">L30/24</f>
        <v>0.29053035372334457</v>
      </c>
      <c r="L30" s="5">
        <f ca="1">12-L24+L28/60</f>
        <v>6.9727284893602697</v>
      </c>
      <c r="M30" t="s">
        <v>2</v>
      </c>
      <c r="N30" s="108"/>
      <c r="P30" s="101" t="s">
        <v>156</v>
      </c>
      <c r="Q30" s="103">
        <f ca="1">U30/24</f>
        <v>0.28752008793634376</v>
      </c>
      <c r="U30" s="5">
        <f ca="1">12-U24+U28/60</f>
        <v>6.9004821104722502</v>
      </c>
      <c r="V30" t="s">
        <v>2</v>
      </c>
      <c r="W30" s="108"/>
      <c r="Y30" s="101" t="str">
        <f>Y2</f>
        <v>Civil Twilight</v>
      </c>
      <c r="Z30" s="103">
        <f ca="1">AD30/24</f>
        <v>0.26337824856319503</v>
      </c>
      <c r="AD30" s="5">
        <f ca="1">12-AD24+AD28/60</f>
        <v>6.3210779655166807</v>
      </c>
      <c r="AE30" t="s">
        <v>2</v>
      </c>
      <c r="AF30" s="108"/>
      <c r="AH30" s="101" t="str">
        <f>AH2</f>
        <v>Nautical Twilight</v>
      </c>
      <c r="AI30" s="103">
        <f ca="1">AM30/24</f>
        <v>0.23666516856140141</v>
      </c>
      <c r="AM30" s="5">
        <f ca="1">12-AM24+AM28/60</f>
        <v>5.6799640454736338</v>
      </c>
      <c r="AN30" t="s">
        <v>2</v>
      </c>
      <c r="AO30" s="108"/>
      <c r="AQ30" s="101" t="str">
        <f>AQ2</f>
        <v>Astro Twilight</v>
      </c>
      <c r="AR30" s="103">
        <f ca="1">AV30/24</f>
        <v>0.20992421184789603</v>
      </c>
      <c r="AV30" s="5">
        <f ca="1">12-AV24+AV28/60</f>
        <v>5.038181084349505</v>
      </c>
      <c r="AW30" t="s">
        <v>2</v>
      </c>
      <c r="AX30" s="108"/>
    </row>
    <row r="31" spans="2:50">
      <c r="E31" s="108" t="s">
        <v>178</v>
      </c>
      <c r="N31" s="108"/>
      <c r="W31" s="108"/>
      <c r="AF31" s="108"/>
      <c r="AO31" s="108"/>
      <c r="AX31" s="108"/>
    </row>
    <row r="32" spans="2:50">
      <c r="E32" s="108" t="s">
        <v>178</v>
      </c>
      <c r="G32" s="102" t="s">
        <v>157</v>
      </c>
      <c r="H32" s="103">
        <f ca="1">L32/24</f>
        <v>0.72660521182339266</v>
      </c>
      <c r="L32" s="5">
        <f ca="1">12+L24+L28/60</f>
        <v>17.438525083761423</v>
      </c>
      <c r="M32" t="s">
        <v>2</v>
      </c>
      <c r="N32" s="108"/>
      <c r="P32" s="102" t="s">
        <v>157</v>
      </c>
      <c r="Q32" s="103">
        <f ca="1">U32/24</f>
        <v>0.72961547761039336</v>
      </c>
      <c r="U32" s="5">
        <f ca="1">12+U24+U28/60</f>
        <v>17.510771462649441</v>
      </c>
      <c r="V32" t="s">
        <v>2</v>
      </c>
      <c r="W32" s="108"/>
      <c r="Y32" s="102" t="str">
        <f>Y2</f>
        <v>Civil Twilight</v>
      </c>
      <c r="Z32" s="103">
        <f ca="1">AD32/24</f>
        <v>0.75375731698354198</v>
      </c>
      <c r="AD32" s="5">
        <f ca="1">12+AD24+AD28/60</f>
        <v>18.090175607605008</v>
      </c>
      <c r="AE32" t="s">
        <v>2</v>
      </c>
      <c r="AF32" s="108"/>
      <c r="AH32" s="102" t="str">
        <f>AH2</f>
        <v>Nautical Twilight</v>
      </c>
      <c r="AI32" s="103">
        <f ca="1">AM32/24</f>
        <v>0.7804703969853356</v>
      </c>
      <c r="AM32" s="5">
        <f ca="1">12+AM24+AM28/60</f>
        <v>18.731289527648055</v>
      </c>
      <c r="AN32" t="s">
        <v>2</v>
      </c>
      <c r="AO32" s="108"/>
      <c r="AQ32" s="102" t="str">
        <f>AQ2</f>
        <v>Astro Twilight</v>
      </c>
      <c r="AR32" s="103">
        <f ca="1">AV32/24</f>
        <v>0.80721135369884101</v>
      </c>
      <c r="AV32" s="5">
        <f ca="1">12+AV24+AV28/60</f>
        <v>19.373072488772184</v>
      </c>
      <c r="AW32" t="s">
        <v>2</v>
      </c>
      <c r="AX32" s="108"/>
    </row>
    <row r="33" spans="5:50">
      <c r="E33" s="108" t="s">
        <v>178</v>
      </c>
      <c r="N33" s="108"/>
      <c r="W33" s="108"/>
      <c r="AF33" s="108"/>
      <c r="AO33" s="108"/>
      <c r="AX33" s="108"/>
    </row>
    <row r="34" spans="5:50">
      <c r="E34" s="108" t="s">
        <v>178</v>
      </c>
      <c r="G34" t="s">
        <v>158</v>
      </c>
      <c r="H34" s="103">
        <f ca="1">L34/24</f>
        <v>0.43607485810004798</v>
      </c>
      <c r="L34" s="5">
        <f ca="1">2*L24</f>
        <v>10.465796594401152</v>
      </c>
      <c r="M34" t="s">
        <v>2</v>
      </c>
      <c r="N34" s="108"/>
      <c r="P34" t="s">
        <v>158</v>
      </c>
      <c r="Q34" s="103">
        <f ca="1">U34/24</f>
        <v>0.4420953896740496</v>
      </c>
      <c r="U34" s="5">
        <f ca="1">2*U24</f>
        <v>10.61028935217719</v>
      </c>
      <c r="V34" t="s">
        <v>2</v>
      </c>
      <c r="W34" s="108"/>
      <c r="Y34" t="s">
        <v>158</v>
      </c>
      <c r="Z34" s="103">
        <f ca="1">AD34/24</f>
        <v>0.49037906842034706</v>
      </c>
      <c r="AD34" s="5">
        <f ca="1">2*AD24</f>
        <v>11.76909764208833</v>
      </c>
      <c r="AE34" t="s">
        <v>2</v>
      </c>
      <c r="AF34" s="108"/>
      <c r="AH34" t="s">
        <v>158</v>
      </c>
      <c r="AI34" s="103">
        <f ca="1">AM34/24</f>
        <v>0.54380522842393431</v>
      </c>
      <c r="AM34" s="5">
        <f ca="1">2*AM24</f>
        <v>13.051325482174423</v>
      </c>
      <c r="AN34" t="s">
        <v>2</v>
      </c>
      <c r="AO34" s="108"/>
      <c r="AQ34" t="s">
        <v>158</v>
      </c>
      <c r="AR34" s="103">
        <f ca="1">AV34/24</f>
        <v>0.597287141850945</v>
      </c>
      <c r="AV34" s="5">
        <f ca="1">2*AV24</f>
        <v>14.334891404422681</v>
      </c>
      <c r="AW34" t="s">
        <v>2</v>
      </c>
      <c r="AX34" s="108"/>
    </row>
    <row r="35" spans="5:50">
      <c r="E35" s="108"/>
      <c r="N35" s="108"/>
      <c r="W35" s="108"/>
      <c r="AF35" s="108"/>
      <c r="AO35" s="108"/>
      <c r="AX35" s="108"/>
    </row>
    <row r="36" spans="5:50">
      <c r="E36" s="108"/>
      <c r="G36" t="s">
        <v>164</v>
      </c>
      <c r="H36" s="103">
        <f ca="1">(H30+H32)/2</f>
        <v>0.50856778277336856</v>
      </c>
      <c r="N36" s="108"/>
      <c r="P36" t="s">
        <v>164</v>
      </c>
      <c r="Q36" s="103">
        <f ca="1">(Q30+Q32)/2</f>
        <v>0.50856778277336856</v>
      </c>
      <c r="W36" s="108"/>
      <c r="Y36" t="s">
        <v>164</v>
      </c>
      <c r="Z36" s="103">
        <f ca="1">(Z30+Z32)/2</f>
        <v>0.50856778277336856</v>
      </c>
      <c r="AF36" s="108"/>
      <c r="AH36" t="s">
        <v>164</v>
      </c>
      <c r="AI36" s="103">
        <f ca="1">(AI30+AI32)/2</f>
        <v>0.50856778277336856</v>
      </c>
      <c r="AO36" s="108"/>
      <c r="AQ36" t="s">
        <v>164</v>
      </c>
      <c r="AR36" s="103">
        <f ca="1">(AR30+AR32)/2</f>
        <v>0.50856778277336856</v>
      </c>
      <c r="AX36" s="108"/>
    </row>
    <row r="37" spans="5:50">
      <c r="E37" s="108"/>
      <c r="N37" s="108"/>
      <c r="W37" s="108"/>
      <c r="AF37" s="108"/>
      <c r="AO37" s="108"/>
      <c r="AX37" s="108"/>
    </row>
    <row r="38" spans="5:50">
      <c r="E38" s="108"/>
      <c r="N38" s="108"/>
      <c r="W38" s="108"/>
      <c r="AF38" s="108"/>
      <c r="AO38" s="108"/>
      <c r="AX38" s="108"/>
    </row>
    <row r="39" spans="5:50">
      <c r="E39" s="108"/>
      <c r="N39" s="108"/>
      <c r="W39" s="108"/>
      <c r="AF39" s="108"/>
      <c r="AO39" s="108"/>
      <c r="AX39" s="108"/>
    </row>
  </sheetData>
  <hyperlinks>
    <hyperlink ref="B27" r:id="rId1" display="http://www.ppowers.com/EoT.htm" xr:uid="{9D0A5946-FEF7-4567-8727-3990C527F2D0}"/>
    <hyperlink ref="B28" r:id="rId2" display="http://www.jgiesen.de/astro/astroJS/siderealClock/" xr:uid="{D742B5D5-CDF1-4FAB-91C5-BDD1C3BF3D77}"/>
  </hyperlinks>
  <pageMargins left="0.7" right="0.7" top="0.75" bottom="0.75" header="0.3" footer="0.3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15381-A4E7-4D50-800A-2BC0D49CF294}">
  <dimension ref="B2:T120"/>
  <sheetViews>
    <sheetView workbookViewId="0">
      <selection activeCell="E4" sqref="E4"/>
    </sheetView>
  </sheetViews>
  <sheetFormatPr defaultRowHeight="15"/>
  <cols>
    <col min="1" max="1" width="4.42578125" customWidth="1"/>
    <col min="2" max="2" width="30.5703125" bestFit="1" customWidth="1"/>
    <col min="3" max="3" width="18.7109375" customWidth="1"/>
    <col min="4" max="4" width="21.42578125" bestFit="1" customWidth="1"/>
    <col min="5" max="5" width="16.42578125" customWidth="1"/>
    <col min="6" max="6" width="7.42578125" bestFit="1" customWidth="1"/>
    <col min="8" max="8" width="5.140625" customWidth="1"/>
    <col min="15" max="15" width="9.7109375" customWidth="1"/>
  </cols>
  <sheetData>
    <row r="2" spans="2:20" ht="23.25">
      <c r="B2" s="20" t="s">
        <v>280</v>
      </c>
      <c r="T2" t="s">
        <v>199</v>
      </c>
    </row>
    <row r="3" spans="2:20">
      <c r="C3" s="141"/>
      <c r="T3" s="6" t="s">
        <v>278</v>
      </c>
    </row>
    <row r="4" spans="2:20">
      <c r="B4" t="s">
        <v>92</v>
      </c>
      <c r="C4" s="168">
        <f ca="1">TimeScales!M17</f>
        <v>8457</v>
      </c>
      <c r="D4" t="s">
        <v>99</v>
      </c>
      <c r="T4" s="6" t="s">
        <v>186</v>
      </c>
    </row>
    <row r="5" spans="2:20">
      <c r="C5" s="141"/>
      <c r="T5" s="6" t="s">
        <v>187</v>
      </c>
    </row>
    <row r="6" spans="2:20">
      <c r="B6" t="s">
        <v>93</v>
      </c>
      <c r="C6" s="173">
        <f ca="1">TimeScales!M17</f>
        <v>8457</v>
      </c>
      <c r="D6" t="s">
        <v>99</v>
      </c>
      <c r="G6" s="109"/>
      <c r="H6" s="109"/>
      <c r="T6" s="26" t="s">
        <v>188</v>
      </c>
    </row>
    <row r="7" spans="2:20">
      <c r="T7" t="s">
        <v>191</v>
      </c>
    </row>
    <row r="8" spans="2:20">
      <c r="B8" t="s">
        <v>97</v>
      </c>
      <c r="C8" s="149">
        <v>60.266599999999997</v>
      </c>
      <c r="D8" t="s">
        <v>189</v>
      </c>
      <c r="E8" s="65"/>
      <c r="G8" s="168"/>
      <c r="H8" s="168"/>
      <c r="T8" t="s">
        <v>192</v>
      </c>
    </row>
    <row r="9" spans="2:20">
      <c r="T9" t="s">
        <v>193</v>
      </c>
    </row>
    <row r="10" spans="2:20">
      <c r="B10" t="s">
        <v>202</v>
      </c>
      <c r="C10" s="135">
        <v>5.4899999999999997E-2</v>
      </c>
      <c r="E10">
        <f>MOD(C10,360)*PI()/180</f>
        <v>9.5818575934488684E-4</v>
      </c>
      <c r="F10" t="s">
        <v>103</v>
      </c>
      <c r="T10" t="s">
        <v>194</v>
      </c>
    </row>
    <row r="11" spans="2:20">
      <c r="T11" t="s">
        <v>195</v>
      </c>
    </row>
    <row r="12" spans="2:20">
      <c r="B12" t="s">
        <v>98</v>
      </c>
      <c r="C12" s="149">
        <f>C8*SQRT(1-C10^2)</f>
        <v>60.175709394486006</v>
      </c>
      <c r="D12" t="s">
        <v>189</v>
      </c>
      <c r="T12" t="s">
        <v>196</v>
      </c>
    </row>
    <row r="13" spans="2:20">
      <c r="T13" s="6" t="s">
        <v>197</v>
      </c>
    </row>
    <row r="14" spans="2:20">
      <c r="T14" s="136" t="s">
        <v>198</v>
      </c>
    </row>
    <row r="15" spans="2:20">
      <c r="T15" s="6" t="s">
        <v>210</v>
      </c>
    </row>
    <row r="16" spans="2:20">
      <c r="B16" t="s">
        <v>100</v>
      </c>
      <c r="C16" s="149">
        <f ca="1">115.3654+13.0649929509*C6</f>
        <v>110606.0107857613</v>
      </c>
      <c r="D16" t="s">
        <v>1</v>
      </c>
      <c r="E16">
        <f ca="1">MOD(C16,360)*PI()/180</f>
        <v>1.5011714037622097</v>
      </c>
      <c r="F16" t="s">
        <v>103</v>
      </c>
      <c r="T16" s="6" t="s">
        <v>211</v>
      </c>
    </row>
    <row r="17" spans="2:20">
      <c r="C17">
        <f ca="1">MOD(C16,360)</f>
        <v>86.01078576130385</v>
      </c>
      <c r="T17" s="6" t="s">
        <v>212</v>
      </c>
    </row>
    <row r="18" spans="2:20">
      <c r="B18" t="s">
        <v>101</v>
      </c>
      <c r="E18">
        <f ca="1">E16-(E16-C10*SIN(E16)-E16)/(1-C10*COS(E16))</f>
        <v>1.556148364715608</v>
      </c>
      <c r="F18" t="s">
        <v>103</v>
      </c>
      <c r="G18" s="17" t="s">
        <v>105</v>
      </c>
    </row>
    <row r="19" spans="2:20">
      <c r="B19" t="s">
        <v>102</v>
      </c>
      <c r="E19">
        <f ca="1">E18-(E18-$C$10*SIN(E18)-$E$16)/(1-$C$10*COS(E18))</f>
        <v>1.5560654474413906</v>
      </c>
      <c r="F19" t="s">
        <v>103</v>
      </c>
      <c r="G19" s="17">
        <f ca="1">G20-E16</f>
        <v>0</v>
      </c>
      <c r="T19" t="s">
        <v>273</v>
      </c>
    </row>
    <row r="20" spans="2:20">
      <c r="B20" t="s">
        <v>104</v>
      </c>
      <c r="C20">
        <f ca="1">180/PI()*E20</f>
        <v>89.155982773706896</v>
      </c>
      <c r="E20">
        <f ca="1">E19-(E19-$C$10*SIN(E19)-$E$16)/(1-$C$10*COS(E19))</f>
        <v>1.5560654472525319</v>
      </c>
      <c r="F20" t="s">
        <v>103</v>
      </c>
      <c r="G20">
        <f ca="1">E20-C10*SIN(E20)</f>
        <v>1.5011714037622097</v>
      </c>
      <c r="T20" t="s">
        <v>272</v>
      </c>
    </row>
    <row r="22" spans="2:20">
      <c r="B22" t="s">
        <v>190</v>
      </c>
      <c r="C22" s="53">
        <f ca="1">C8*(1-C10*COS(E20))</f>
        <v>60.217862639328814</v>
      </c>
      <c r="D22" t="s">
        <v>189</v>
      </c>
      <c r="T22" s="6" t="s">
        <v>215</v>
      </c>
    </row>
    <row r="23" spans="2:20">
      <c r="T23" s="6" t="s">
        <v>216</v>
      </c>
    </row>
    <row r="24" spans="2:20">
      <c r="B24" s="50" t="s">
        <v>204</v>
      </c>
      <c r="C24">
        <f ca="1">MOD(180/PI()*E24,360)</f>
        <v>92.304035275964765</v>
      </c>
      <c r="D24" t="s">
        <v>1</v>
      </c>
      <c r="E24">
        <f ca="1">2*ATAN(TAN(E20/2)/SQRT((1-$C$10)/(1+$C$10)))</f>
        <v>1.6110093284425779</v>
      </c>
      <c r="F24" t="s">
        <v>103</v>
      </c>
      <c r="G24" s="17" t="s">
        <v>105</v>
      </c>
    </row>
    <row r="25" spans="2:20">
      <c r="G25" s="17">
        <f ca="1">C26-C22</f>
        <v>0</v>
      </c>
    </row>
    <row r="26" spans="2:20">
      <c r="B26" t="s">
        <v>190</v>
      </c>
      <c r="C26" s="52">
        <f ca="1">$C$8*(1-C10*C10)/(1+C10*COS(E24))</f>
        <v>60.217862639328814</v>
      </c>
      <c r="D26" t="s">
        <v>189</v>
      </c>
    </row>
    <row r="28" spans="2:20">
      <c r="B28" t="s">
        <v>203</v>
      </c>
      <c r="C28">
        <f ca="1">318.0634+0.1643573223*C4</f>
        <v>1708.0332746910999</v>
      </c>
      <c r="E28">
        <f ca="1">MOD(C28,360)*PI()/180</f>
        <v>4.6780631482620798</v>
      </c>
      <c r="F28" t="s">
        <v>103</v>
      </c>
    </row>
    <row r="30" spans="2:20">
      <c r="B30" t="s">
        <v>201</v>
      </c>
      <c r="C30">
        <f ca="1">125.1228-0.0529538083*C4</f>
        <v>-322.70755679310003</v>
      </c>
      <c r="D30" t="s">
        <v>1</v>
      </c>
      <c r="E30">
        <f ca="1">MOD(C30,360)*PI()/180</f>
        <v>0.65087592007339745</v>
      </c>
      <c r="F30" t="s">
        <v>103</v>
      </c>
    </row>
    <row r="32" spans="2:20">
      <c r="B32" t="s">
        <v>200</v>
      </c>
      <c r="C32">
        <v>5.1454000000000004</v>
      </c>
      <c r="D32" t="s">
        <v>1</v>
      </c>
      <c r="E32">
        <f>MOD(C32,360)*PI()/180</f>
        <v>8.9804171332116239E-2</v>
      </c>
      <c r="F32" t="s">
        <v>103</v>
      </c>
    </row>
    <row r="34" spans="2:6">
      <c r="B34" t="s">
        <v>95</v>
      </c>
      <c r="C34" s="100">
        <f ca="1">RightAscensionDecl!C34</f>
        <v>23.4362803721571</v>
      </c>
      <c r="D34" t="s">
        <v>1</v>
      </c>
      <c r="E34">
        <f ca="1">MOD(C34,360)*PI()/180</f>
        <v>0.40904025691466339</v>
      </c>
      <c r="F34" t="s">
        <v>103</v>
      </c>
    </row>
    <row r="36" spans="2:6">
      <c r="B36" t="s">
        <v>213</v>
      </c>
      <c r="E36" s="135">
        <f ca="1">C8*(COS(E20)-C10)</f>
        <v>-2.4208884224922289</v>
      </c>
    </row>
    <row r="38" spans="2:6">
      <c r="B38" t="s">
        <v>214</v>
      </c>
      <c r="E38">
        <f ca="1">C8*(SQRT(1-C10*C10)*SIN(E20))</f>
        <v>60.169180483823418</v>
      </c>
    </row>
    <row r="40" spans="2:6">
      <c r="B40" t="s">
        <v>271</v>
      </c>
      <c r="C40">
        <f ca="1">MOD(E40*180/PI(),360)</f>
        <v>92.304035275964765</v>
      </c>
      <c r="D40" t="s">
        <v>1</v>
      </c>
      <c r="E40">
        <f ca="1">ATAN2(E36,E38)</f>
        <v>1.6110093284425779</v>
      </c>
    </row>
    <row r="42" spans="2:6">
      <c r="B42" t="s">
        <v>294</v>
      </c>
      <c r="C42" s="53">
        <f ca="1">SQRT(E36*E36+E38*E38)</f>
        <v>60.217862639328821</v>
      </c>
      <c r="D42" t="s">
        <v>189</v>
      </c>
    </row>
    <row r="44" spans="2:6">
      <c r="B44" t="s">
        <v>205</v>
      </c>
      <c r="E44">
        <f ca="1">C42*(COS(E30)*COS(E24+E28)-SIN(E30)*SIN(E24+E28)*COS(E32))</f>
        <v>47.691768430886739</v>
      </c>
    </row>
    <row r="46" spans="2:6">
      <c r="B46" t="s">
        <v>206</v>
      </c>
      <c r="E46">
        <f ca="1">C42*(SIN(E30)*COS(E24+E28)+COS(E30)*SIN(E24+E28)*COS(E32))</f>
        <v>36.765271574410988</v>
      </c>
    </row>
    <row r="48" spans="2:6">
      <c r="B48" t="s">
        <v>207</v>
      </c>
      <c r="E48">
        <f ca="1">C42*(SIN(E24+E28)*SIN(E32))</f>
        <v>3.1793766008974392E-2</v>
      </c>
    </row>
    <row r="50" spans="2:6">
      <c r="B50" t="s">
        <v>209</v>
      </c>
      <c r="C50">
        <f ca="1">MOD(180/PI()*E50,360)</f>
        <v>37.628393952169596</v>
      </c>
      <c r="D50" t="s">
        <v>1</v>
      </c>
      <c r="E50">
        <f ca="1">ATAN2(E44,E46)</f>
        <v>0.65673936670288113</v>
      </c>
      <c r="F50" t="s">
        <v>103</v>
      </c>
    </row>
    <row r="52" spans="2:6">
      <c r="B52" t="s">
        <v>208</v>
      </c>
      <c r="C52">
        <f ca="1">180/PI()*E52</f>
        <v>3.0250968930693109E-2</v>
      </c>
      <c r="D52" t="s">
        <v>1</v>
      </c>
      <c r="E52">
        <f ca="1">ATAN2(SQRT(E44*E44+E46*E46),E48)</f>
        <v>5.2797900975910307E-4</v>
      </c>
      <c r="F52" t="s">
        <v>103</v>
      </c>
    </row>
    <row r="54" spans="2:6" ht="18.75">
      <c r="B54" s="170" t="s">
        <v>108</v>
      </c>
      <c r="C54" s="171">
        <f ca="1">MOD(DEGREES(ATAN2(COS(RADIANS(C50)),COS(RADIANS(C34))*SIN(RADIANS(C50)))),360)</f>
        <v>35.27165554838907</v>
      </c>
      <c r="D54" t="s">
        <v>1</v>
      </c>
    </row>
    <row r="56" spans="2:6" ht="18.75">
      <c r="B56" s="169" t="s">
        <v>4</v>
      </c>
      <c r="C56" s="172">
        <f ca="1">DEGREES(ASIN(SIN(RADIANS(C34))*SIN(RADIANS(C50))))</f>
        <v>14.053542462074944</v>
      </c>
      <c r="D56" t="s">
        <v>1</v>
      </c>
    </row>
    <row r="59" spans="2:6" ht="23.25">
      <c r="B59" s="20" t="s">
        <v>301</v>
      </c>
    </row>
    <row r="61" spans="2:6">
      <c r="B61" t="s">
        <v>281</v>
      </c>
      <c r="C61">
        <f ca="1">RightAscensionDecl!C14</f>
        <v>335.39644806691649</v>
      </c>
      <c r="D61" t="s">
        <v>1</v>
      </c>
      <c r="E61">
        <f ca="1">RADIANS(C61)</f>
        <v>5.8537723182618633</v>
      </c>
      <c r="F61" t="s">
        <v>103</v>
      </c>
    </row>
    <row r="63" spans="2:6">
      <c r="B63" t="s">
        <v>282</v>
      </c>
      <c r="C63">
        <f ca="1">MOD(C30+C28+C17,360)</f>
        <v>31.336503659303617</v>
      </c>
      <c r="D63" t="s">
        <v>1</v>
      </c>
      <c r="E63">
        <f ca="1">RADIANS(C63)</f>
        <v>0.5469251649180995</v>
      </c>
      <c r="F63" t="s">
        <v>103</v>
      </c>
    </row>
    <row r="65" spans="2:6">
      <c r="B65" t="s">
        <v>283</v>
      </c>
      <c r="C65">
        <f ca="1">RightAscensionDecl!C16</f>
        <v>52.061758669817209</v>
      </c>
      <c r="D65" t="s">
        <v>1</v>
      </c>
      <c r="E65">
        <f ca="1">RADIANS(C65)</f>
        <v>0.90864910316701375</v>
      </c>
      <c r="F65" t="s">
        <v>103</v>
      </c>
    </row>
    <row r="67" spans="2:6">
      <c r="B67" t="s">
        <v>284</v>
      </c>
      <c r="C67">
        <f ca="1">C17</f>
        <v>86.01078576130385</v>
      </c>
      <c r="D67" t="s">
        <v>1</v>
      </c>
      <c r="E67">
        <f ca="1">RADIANS(C67)</f>
        <v>1.5011714037622097</v>
      </c>
      <c r="F67" t="s">
        <v>103</v>
      </c>
    </row>
    <row r="69" spans="2:6">
      <c r="B69" t="s">
        <v>285</v>
      </c>
      <c r="C69">
        <f ca="1">C63-C61</f>
        <v>-304.05994440761287</v>
      </c>
      <c r="D69" t="s">
        <v>1</v>
      </c>
      <c r="E69">
        <f ca="1">RADIANS(C69)</f>
        <v>-5.3068471533437638</v>
      </c>
      <c r="F69" t="s">
        <v>103</v>
      </c>
    </row>
    <row r="71" spans="2:6">
      <c r="B71" t="s">
        <v>286</v>
      </c>
      <c r="C71">
        <f ca="1">C28+C17</f>
        <v>1794.0440604524038</v>
      </c>
      <c r="D71" t="s">
        <v>1</v>
      </c>
      <c r="E71">
        <f ca="1">RADIANS(C71)</f>
        <v>31.311975780742635</v>
      </c>
      <c r="F71" t="s">
        <v>103</v>
      </c>
    </row>
    <row r="73" spans="2:6">
      <c r="B73" t="s">
        <v>287</v>
      </c>
      <c r="C73">
        <v>-1.274</v>
      </c>
      <c r="D73">
        <f ca="1">SIN(E67-2*E69)</f>
        <v>-0.43632012742340426</v>
      </c>
      <c r="E73" t="s">
        <v>288</v>
      </c>
    </row>
    <row r="74" spans="2:6">
      <c r="C74">
        <v>0.65800000000000003</v>
      </c>
      <c r="D74">
        <f ca="1">SIN(2*E69)</f>
        <v>0.92796567149570697</v>
      </c>
      <c r="E74" t="s">
        <v>289</v>
      </c>
    </row>
    <row r="75" spans="2:6">
      <c r="C75">
        <v>-0.186</v>
      </c>
      <c r="D75">
        <f ca="1">SIN(E65)</f>
        <v>0.78867391236152096</v>
      </c>
      <c r="E75" t="s">
        <v>290</v>
      </c>
    </row>
    <row r="76" spans="2:6">
      <c r="C76">
        <v>-5.8999999999999997E-2</v>
      </c>
      <c r="D76">
        <f ca="1">SIN(2*E67-2*E69)</f>
        <v>0.86725723734094207</v>
      </c>
    </row>
    <row r="77" spans="2:6">
      <c r="C77">
        <v>-5.7000000000000002E-2</v>
      </c>
      <c r="D77">
        <f ca="1">SIN(E67-2*E69+E65)</f>
        <v>0.44138735272623747</v>
      </c>
    </row>
    <row r="78" spans="2:6">
      <c r="C78">
        <v>5.2999999999999999E-2</v>
      </c>
      <c r="D78">
        <f ca="1">SIN(E67+2*E69)</f>
        <v>-0.30720542625535385</v>
      </c>
    </row>
    <row r="79" spans="2:6">
      <c r="C79">
        <v>4.5999999999999999E-2</v>
      </c>
      <c r="D79">
        <f ca="1">SIN(2*E69-E65)</f>
        <v>0.86443588084438971</v>
      </c>
    </row>
    <row r="80" spans="2:6">
      <c r="C80">
        <v>4.1000000000000002E-2</v>
      </c>
      <c r="D80">
        <f ca="1">SIN(E67-E65)</f>
        <v>0.55845513307636052</v>
      </c>
    </row>
    <row r="81" spans="2:6">
      <c r="C81">
        <v>-3.5000000000000003E-2</v>
      </c>
      <c r="D81">
        <f ca="1">SIN(E69)</f>
        <v>0.82845207606211002</v>
      </c>
      <c r="E81" t="s">
        <v>291</v>
      </c>
    </row>
    <row r="82" spans="2:6">
      <c r="C82">
        <v>-3.1E-2</v>
      </c>
      <c r="D82">
        <f ca="1">SIN(E67+E65)</f>
        <v>0.6681891454881197</v>
      </c>
    </row>
    <row r="83" spans="2:6">
      <c r="C83">
        <v>-1.4999999999999999E-2</v>
      </c>
      <c r="D83">
        <f ca="1">SIN(2*E71-2*E69)</f>
        <v>-0.8310622290486287</v>
      </c>
    </row>
    <row r="84" spans="2:6">
      <c r="C84">
        <v>1.0999999999999999E-2</v>
      </c>
      <c r="D84">
        <f ca="1">SIN(E67-4*E69)</f>
        <v>-0.67237408599743986</v>
      </c>
    </row>
    <row r="85" spans="2:6" ht="15.75" thickBot="1">
      <c r="C85" s="174">
        <f ca="1">SUMPRODUCT(C73:C84,D73:D84)</f>
        <v>0.94519160607472918</v>
      </c>
      <c r="D85" t="s">
        <v>1</v>
      </c>
      <c r="E85">
        <f ca="1">RADIANS(C85)</f>
        <v>1.649670558821726E-2</v>
      </c>
      <c r="F85" t="s">
        <v>103</v>
      </c>
    </row>
    <row r="87" spans="2:6">
      <c r="B87" t="s">
        <v>292</v>
      </c>
      <c r="C87">
        <v>-0.17299999999999999</v>
      </c>
      <c r="D87">
        <f ca="1">SIN(E71-2*E69)</f>
        <v>-0.88428734780347817</v>
      </c>
    </row>
    <row r="88" spans="2:6">
      <c r="C88">
        <v>-5.5E-2</v>
      </c>
      <c r="D88">
        <f ca="1">SIN(E67-E71-2*E69)</f>
        <v>-0.3405992181870317</v>
      </c>
    </row>
    <row r="89" spans="2:6">
      <c r="C89">
        <v>-4.5999999999999999E-2</v>
      </c>
      <c r="D89">
        <f ca="1">SIN(E67+E71-2*E69)</f>
        <v>-0.5273305103262832</v>
      </c>
    </row>
    <row r="90" spans="2:6">
      <c r="C90">
        <v>3.3000000000000002E-2</v>
      </c>
      <c r="D90">
        <f ca="1">SIN(E71+2*E69)</f>
        <v>0.96162564751744306</v>
      </c>
    </row>
    <row r="91" spans="2:6">
      <c r="C91">
        <v>1.7000000000000001E-2</v>
      </c>
      <c r="D91">
        <f ca="1">SIN(2*E67+E71)</f>
        <v>0.24081026913357145</v>
      </c>
    </row>
    <row r="92" spans="2:6" ht="15.75" thickBot="1">
      <c r="C92" s="174">
        <f ca="1">SUMPRODUCT(C87:C91,D87:D91)</f>
        <v>0.23179929258864382</v>
      </c>
      <c r="D92" t="s">
        <v>1</v>
      </c>
      <c r="E92">
        <f ca="1">RADIANS(C92)</f>
        <v>4.0456608594655243E-3</v>
      </c>
      <c r="F92" t="s">
        <v>103</v>
      </c>
    </row>
    <row r="94" spans="2:6">
      <c r="B94" t="s">
        <v>293</v>
      </c>
      <c r="C94">
        <v>-0.57999999999999996</v>
      </c>
      <c r="D94">
        <f ca="1">COS(E67-2*E69)</f>
        <v>0.8997915016298077</v>
      </c>
    </row>
    <row r="95" spans="2:6">
      <c r="C95">
        <v>-0.46</v>
      </c>
      <c r="D95">
        <f ca="1">COS(2*E69)</f>
        <v>-0.37266568466324029</v>
      </c>
    </row>
    <row r="96" spans="2:6" ht="15.75" thickBot="1">
      <c r="C96" s="174">
        <f ca="1">SUMPRODUCT(C94:C95,D94:D95)</f>
        <v>-0.35045285600019782</v>
      </c>
      <c r="D96" t="s">
        <v>189</v>
      </c>
    </row>
    <row r="98" spans="2:6">
      <c r="B98" t="s">
        <v>209</v>
      </c>
      <c r="C98" s="149">
        <f ca="1">C50+C85</f>
        <v>38.573585558244325</v>
      </c>
      <c r="D98" t="s">
        <v>1</v>
      </c>
      <c r="E98">
        <f ca="1">RADIANS(C98)</f>
        <v>0.67323607229109839</v>
      </c>
      <c r="F98" t="s">
        <v>103</v>
      </c>
    </row>
    <row r="100" spans="2:6">
      <c r="B100" t="s">
        <v>208</v>
      </c>
      <c r="C100" s="149">
        <f ca="1">C52+C92</f>
        <v>0.26205026151933691</v>
      </c>
      <c r="D100" t="s">
        <v>1</v>
      </c>
      <c r="E100">
        <f ca="1">RADIANS(C100)</f>
        <v>4.5736398692246272E-3</v>
      </c>
      <c r="F100" t="s">
        <v>103</v>
      </c>
    </row>
    <row r="102" spans="2:6">
      <c r="B102" t="s">
        <v>294</v>
      </c>
      <c r="C102" s="32">
        <f ca="1">C42+C96</f>
        <v>59.867409783328625</v>
      </c>
      <c r="D102" t="s">
        <v>189</v>
      </c>
    </row>
    <row r="104" spans="2:6">
      <c r="B104" t="s">
        <v>95</v>
      </c>
      <c r="C104" s="149">
        <f ca="1">C34</f>
        <v>23.4362803721571</v>
      </c>
      <c r="E104">
        <f ca="1">RADIANS(C104)</f>
        <v>0.40904025691466339</v>
      </c>
      <c r="F104" t="s">
        <v>103</v>
      </c>
    </row>
    <row r="106" spans="2:6">
      <c r="B106" t="s">
        <v>297</v>
      </c>
      <c r="C106">
        <f ca="1">C102*COS(E98)*COS(E100)</f>
        <v>46.804330953077475</v>
      </c>
    </row>
    <row r="108" spans="2:6">
      <c r="B108" t="s">
        <v>295</v>
      </c>
      <c r="C108">
        <f ca="1">C102*SIN(E98)*COS(E100)</f>
        <v>37.328091107454206</v>
      </c>
    </row>
    <row r="110" spans="2:6">
      <c r="B110" t="s">
        <v>296</v>
      </c>
      <c r="C110">
        <f ca="1">C102*SIN(E100)</f>
        <v>0.27381101764514298</v>
      </c>
    </row>
    <row r="112" spans="2:6">
      <c r="B112" t="s">
        <v>298</v>
      </c>
      <c r="C112">
        <f ca="1">C106</f>
        <v>46.804330953077475</v>
      </c>
    </row>
    <row r="114" spans="2:5">
      <c r="B114" t="s">
        <v>299</v>
      </c>
      <c r="C114">
        <f ca="1">C108*COS(E104)-C110*SIN(E104)</f>
        <v>34.139731624327077</v>
      </c>
    </row>
    <row r="116" spans="2:5">
      <c r="B116" t="s">
        <v>300</v>
      </c>
      <c r="C116">
        <f ca="1">C108*SIN(E104)+C110*COS(E104)</f>
        <v>15.097684684040374</v>
      </c>
    </row>
    <row r="118" spans="2:5" ht="18.75">
      <c r="B118" s="170" t="s">
        <v>108</v>
      </c>
      <c r="C118" s="171">
        <f ca="1">MOD(180/PI()*E118,360)</f>
        <v>36.107532783667928</v>
      </c>
      <c r="D118" t="s">
        <v>1</v>
      </c>
      <c r="E118">
        <f ca="1">ATAN2(C112,C114)</f>
        <v>0.63019533184679877</v>
      </c>
    </row>
    <row r="120" spans="2:5" ht="18.75">
      <c r="B120" s="169" t="s">
        <v>4</v>
      </c>
      <c r="C120" s="172">
        <f ca="1">180/PI()*E120</f>
        <v>14.606868689123978</v>
      </c>
      <c r="D120" t="s">
        <v>1</v>
      </c>
      <c r="E120">
        <f ca="1">ATAN2(SQRT(C112*C112+C114*C114),C116)</f>
        <v>0.25493795203168146</v>
      </c>
    </row>
  </sheetData>
  <conditionalFormatting sqref="G19">
    <cfRule type="cellIs" dxfId="1" priority="2" operator="equal">
      <formula>0</formula>
    </cfRule>
  </conditionalFormatting>
  <conditionalFormatting sqref="G25">
    <cfRule type="cellIs" dxfId="0" priority="1" operator="equal">
      <formula>0</formula>
    </cfRule>
  </conditionalFormatting>
  <hyperlinks>
    <hyperlink ref="T6" r:id="rId1" location="6" xr:uid="{B236D913-A4A4-4F03-B977-47D089277D93}"/>
    <hyperlink ref="T14" r:id="rId2" location="/49.495,11.073,3/2020.12.06/14:24/1/3" xr:uid="{DB4ADA51-4215-4D61-931D-565A4DA6368E}"/>
    <hyperlink ref="T22" r:id="rId3" location="5b" display="http://www.stjarnhimlen.se/comp/ppcomp.html - 5b" xr:uid="{09D17A65-686A-4D48-9D1F-FD85DEDD8FEC}"/>
    <hyperlink ref="T23" r:id="rId4" display="https://futureboy.us/fsp/moon.fsp" xr:uid="{EB7CB1C8-C1C9-47A5-A3E3-8E3117B257FF}"/>
    <hyperlink ref="T4" r:id="rId5" xr:uid="{35B19047-AA67-4D8F-BEF0-E426496C601E}"/>
    <hyperlink ref="T5" r:id="rId6" xr:uid="{41D0C14E-C07C-4CEC-8741-7E0AAC15EBD3}"/>
    <hyperlink ref="T15" r:id="rId7" location=":~:text=The%20current%20Right%20Ascension%20of,is%20%2D10.91%20(JPL)." xr:uid="{311A13B8-4A72-4086-88F6-871FB72383A0}"/>
    <hyperlink ref="T16" r:id="rId8" xr:uid="{B1A0E98A-EB88-4733-B777-FD89388C3747}"/>
    <hyperlink ref="T17" r:id="rId9" xr:uid="{DFB9CC32-2773-48ED-BDEE-A522402C3B55}"/>
    <hyperlink ref="T13" r:id="rId10" location="ra|16.869645201641948|dec|-24.71843128508558|fov|50" xr:uid="{CBF2DEE9-2DEF-4BF1-AD2C-1ABEBC6E4D01}"/>
    <hyperlink ref="T3" r:id="rId11" display="http://www.stjarnhimlen.se/comp/tutorial.html" xr:uid="{19499FD5-FE8C-4B30-8118-1AE029C1592E}"/>
  </hyperlinks>
  <pageMargins left="0.7" right="0.7" top="0.75" bottom="0.75" header="0.3" footer="0.3"/>
  <drawing r:id="rId12"/>
  <legacyDrawing r:id="rId1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D7DB5-D210-43BA-A315-45C9C7FC718F}">
  <dimension ref="B2:L73"/>
  <sheetViews>
    <sheetView workbookViewId="0">
      <selection activeCell="G28" sqref="G28"/>
    </sheetView>
  </sheetViews>
  <sheetFormatPr defaultRowHeight="15"/>
  <cols>
    <col min="1" max="1" width="4.28515625" customWidth="1"/>
    <col min="2" max="2" width="33" customWidth="1"/>
    <col min="3" max="3" width="14.42578125" customWidth="1"/>
    <col min="4" max="4" width="15" customWidth="1"/>
    <col min="5" max="5" width="12" customWidth="1"/>
    <col min="6" max="6" width="17.85546875" bestFit="1" customWidth="1"/>
    <col min="8" max="8" width="10.140625" customWidth="1"/>
    <col min="9" max="9" width="10.7109375" customWidth="1"/>
  </cols>
  <sheetData>
    <row r="2" spans="2:12" ht="23.25">
      <c r="B2" s="20" t="s">
        <v>279</v>
      </c>
    </row>
    <row r="3" spans="2:12">
      <c r="L3" t="s">
        <v>199</v>
      </c>
    </row>
    <row r="4" spans="2:12">
      <c r="B4" t="s">
        <v>92</v>
      </c>
      <c r="C4">
        <f ca="1">TimeScales!H17</f>
        <v>0.23152088166929113</v>
      </c>
      <c r="D4" t="s">
        <v>99</v>
      </c>
      <c r="G4" t="s">
        <v>221</v>
      </c>
    </row>
    <row r="5" spans="2:12">
      <c r="C5" s="141"/>
      <c r="G5" s="7" t="s">
        <v>222</v>
      </c>
      <c r="L5" t="s">
        <v>186</v>
      </c>
    </row>
    <row r="6" spans="2:12">
      <c r="B6" t="s">
        <v>93</v>
      </c>
      <c r="C6">
        <f ca="1">TimeScales!H35</f>
        <v>0.23152090373960904</v>
      </c>
      <c r="D6" t="s">
        <v>99</v>
      </c>
      <c r="G6" s="109" t="s">
        <v>223</v>
      </c>
      <c r="L6" t="s">
        <v>187</v>
      </c>
    </row>
    <row r="7" spans="2:12">
      <c r="G7" t="s">
        <v>224</v>
      </c>
      <c r="L7" s="6" t="s">
        <v>188</v>
      </c>
    </row>
    <row r="8" spans="2:12">
      <c r="B8" t="s">
        <v>275</v>
      </c>
      <c r="C8">
        <v>218.32</v>
      </c>
      <c r="D8">
        <v>1</v>
      </c>
      <c r="L8" t="s">
        <v>191</v>
      </c>
    </row>
    <row r="9" spans="2:12">
      <c r="C9" s="139">
        <v>481267.88130000001</v>
      </c>
      <c r="D9" s="139">
        <f ca="1">C6</f>
        <v>0.23152090373960904</v>
      </c>
      <c r="L9" t="s">
        <v>192</v>
      </c>
    </row>
    <row r="10" spans="2:12">
      <c r="C10" s="139">
        <v>6.29</v>
      </c>
      <c r="D10" s="139">
        <f ca="1">SIN(RADIANS(134.9+477198.85*C6))</f>
        <v>0.99375036719995802</v>
      </c>
      <c r="L10" t="s">
        <v>193</v>
      </c>
    </row>
    <row r="11" spans="2:12">
      <c r="C11" s="139">
        <f>-1.27</f>
        <v>-1.27</v>
      </c>
      <c r="D11" s="139">
        <f ca="1">SIN(RADIANS(259.2-413335.38*C6))</f>
        <v>-0.59595476579705309</v>
      </c>
      <c r="L11" t="s">
        <v>194</v>
      </c>
    </row>
    <row r="12" spans="2:12">
      <c r="C12" s="139">
        <v>0.66</v>
      </c>
      <c r="D12" s="139">
        <f ca="1">SIN(RADIANS(235.7+890534.23*C6))</f>
        <v>0.73147580805443113</v>
      </c>
      <c r="L12" t="s">
        <v>195</v>
      </c>
    </row>
    <row r="13" spans="2:12">
      <c r="C13" s="139">
        <v>0.21</v>
      </c>
      <c r="D13" s="139">
        <f ca="1">SIN(RADIANS(269.9+954397.7*C6))</f>
        <v>-0.22355686268034378</v>
      </c>
      <c r="L13" t="s">
        <v>196</v>
      </c>
    </row>
    <row r="14" spans="2:12">
      <c r="C14" s="139">
        <v>-0.19</v>
      </c>
      <c r="D14" s="139">
        <f ca="1">SIN(RADIANS(357.5+35999.05*C6))</f>
        <v>0.78836081358785615</v>
      </c>
      <c r="L14" t="s">
        <v>197</v>
      </c>
    </row>
    <row r="15" spans="2:12">
      <c r="C15" s="139">
        <v>-0.11</v>
      </c>
      <c r="D15" s="139">
        <f ca="1">SIN(RADIANS(186.6+966404.05*C6))</f>
        <v>0.16227609396581485</v>
      </c>
      <c r="L15" s="136" t="s">
        <v>198</v>
      </c>
    </row>
    <row r="16" spans="2:12" ht="15.75" thickBot="1">
      <c r="D16" s="137">
        <f t="array" ref="D16" ca="1">SUMPRODUCT(C8:C15,D8:D15)</f>
        <v>111649.17055995238</v>
      </c>
      <c r="E16" t="s">
        <v>1</v>
      </c>
      <c r="L16" t="s">
        <v>210</v>
      </c>
    </row>
    <row r="17" spans="2:12" ht="15.75" thickTop="1">
      <c r="L17" t="s">
        <v>211</v>
      </c>
    </row>
    <row r="18" spans="2:12">
      <c r="C18" s="99">
        <f ca="1">MOD(D16,360)</f>
        <v>49.170559952384792</v>
      </c>
      <c r="D18" t="s">
        <v>1</v>
      </c>
      <c r="E18">
        <f ca="1">RADIANS(C18)</f>
        <v>0.8581881662183809</v>
      </c>
      <c r="F18" t="s">
        <v>103</v>
      </c>
      <c r="L18" t="s">
        <v>212</v>
      </c>
    </row>
    <row r="19" spans="2:12">
      <c r="L19" s="6" t="s">
        <v>228</v>
      </c>
    </row>
    <row r="20" spans="2:12">
      <c r="B20" t="s">
        <v>276</v>
      </c>
      <c r="C20">
        <v>5.13</v>
      </c>
      <c r="D20">
        <f ca="1">SIN(RADIANS(93.3+483202.03*C6))</f>
        <v>8.1428390963119227E-2</v>
      </c>
      <c r="L20" s="6" t="s">
        <v>229</v>
      </c>
    </row>
    <row r="21" spans="2:12">
      <c r="C21">
        <v>0.28000000000000003</v>
      </c>
      <c r="D21">
        <f ca="1">SIN(RADIANS(228.2+960400.87*C6))</f>
        <v>0.98136861168396117</v>
      </c>
      <c r="L21" s="6" t="s">
        <v>230</v>
      </c>
    </row>
    <row r="22" spans="2:12">
      <c r="C22">
        <v>-0.28000000000000003</v>
      </c>
      <c r="D22">
        <f ca="1">SIN(RADIANS(318.3+6003.18*C6))</f>
        <v>-0.99948531718180078</v>
      </c>
      <c r="L22" t="s">
        <v>234</v>
      </c>
    </row>
    <row r="23" spans="2:12">
      <c r="C23">
        <v>-0.17</v>
      </c>
      <c r="D23">
        <f ca="1">SIN(RADIANS(217.6-407332.2*C6))</f>
        <v>-0.78457008401106965</v>
      </c>
      <c r="L23" s="6" t="s">
        <v>274</v>
      </c>
    </row>
    <row r="24" spans="2:12" ht="15.75" thickBot="1">
      <c r="D24" s="142">
        <f t="array" ref="D24" ca="1">SUMPRODUCT(C20:C23,D20:D23)</f>
        <v>1.1057436600050969</v>
      </c>
      <c r="E24" t="s">
        <v>1</v>
      </c>
      <c r="L24" s="6" t="s">
        <v>216</v>
      </c>
    </row>
    <row r="25" spans="2:12" ht="15.75" thickTop="1">
      <c r="L25" s="6" t="s">
        <v>277</v>
      </c>
    </row>
    <row r="26" spans="2:12">
      <c r="C26" s="99">
        <f ca="1">MOD(D24,360)</f>
        <v>1.1057436600050969</v>
      </c>
      <c r="D26" t="s">
        <v>1</v>
      </c>
      <c r="E26">
        <f ca="1">RADIANS(C26)</f>
        <v>1.929886755014168E-2</v>
      </c>
      <c r="F26" t="s">
        <v>103</v>
      </c>
    </row>
    <row r="28" spans="2:12">
      <c r="B28" t="s">
        <v>217</v>
      </c>
      <c r="C28">
        <v>0.95079999999999998</v>
      </c>
      <c r="D28">
        <v>1</v>
      </c>
    </row>
    <row r="29" spans="2:12">
      <c r="C29">
        <v>5.1799999999999999E-2</v>
      </c>
      <c r="D29">
        <f ca="1">COS(RADIANS(134.9+477198.85*C6))</f>
        <v>-0.11162530040250133</v>
      </c>
    </row>
    <row r="30" spans="2:12">
      <c r="C30">
        <v>9.4999999999999998E-3</v>
      </c>
      <c r="D30">
        <f ca="1">COS(RADIANS(259.2-413335.38*C6))</f>
        <v>0.803018005479192</v>
      </c>
    </row>
    <row r="31" spans="2:12">
      <c r="C31">
        <v>7.7999999999999996E-3</v>
      </c>
      <c r="D31">
        <f ca="1">COS(RADIANS(235.7+890534.23*C6))</f>
        <v>-0.68186739343593561</v>
      </c>
    </row>
    <row r="32" spans="2:12">
      <c r="C32">
        <v>2.8E-3</v>
      </c>
      <c r="D32">
        <f ca="1">COS(RADIANS(269.9+954397.7*C6))</f>
        <v>-0.97469088902509082</v>
      </c>
    </row>
    <row r="33" spans="2:7" ht="15.75" thickBot="1">
      <c r="D33" s="137">
        <f t="array" ref="D33" ca="1">SUMPRODUCT(C28:C32,D28:D32)</f>
        <v>0.94459878033313216</v>
      </c>
      <c r="E33" t="s">
        <v>1</v>
      </c>
    </row>
    <row r="34" spans="2:7" ht="15.75" thickTop="1"/>
    <row r="35" spans="2:7">
      <c r="C35" s="99">
        <f ca="1">MOD(D33,360)</f>
        <v>0.94459878033313216</v>
      </c>
      <c r="D35" t="s">
        <v>1</v>
      </c>
      <c r="E35">
        <f ca="1">RADIANS(C35)</f>
        <v>1.6486358827135814E-2</v>
      </c>
      <c r="F35" t="s">
        <v>103</v>
      </c>
    </row>
    <row r="38" spans="2:7">
      <c r="B38" t="s">
        <v>218</v>
      </c>
      <c r="C38">
        <v>23.439291000000001</v>
      </c>
      <c r="D38">
        <v>1</v>
      </c>
    </row>
    <row r="39" spans="2:7">
      <c r="C39">
        <v>-1.30042E-2</v>
      </c>
      <c r="D39">
        <f ca="1">C6</f>
        <v>0.23152090373960904</v>
      </c>
    </row>
    <row r="40" spans="2:7">
      <c r="C40" s="140">
        <v>-1.6400000000000001E-7</v>
      </c>
      <c r="D40">
        <f ca="1">C6^2</f>
        <v>5.3601928868405313E-2</v>
      </c>
    </row>
    <row r="41" spans="2:7">
      <c r="C41" s="140">
        <v>5.0399999999999996E-7</v>
      </c>
      <c r="D41">
        <f ca="1">C6^3</f>
        <v>1.2409967013799438E-2</v>
      </c>
      <c r="G41">
        <v>1</v>
      </c>
    </row>
    <row r="42" spans="2:7" ht="15.75" thickBot="1">
      <c r="D42" s="137">
        <f t="array" ref="D42" ca="1">SUMPRODUCT(C38:C41,D38:D41)</f>
        <v>23.436280253327496</v>
      </c>
    </row>
    <row r="43" spans="2:7" ht="15.75" thickTop="1"/>
    <row r="44" spans="2:7">
      <c r="C44" s="84">
        <f ca="1">MOD(D42,360)</f>
        <v>23.436280253327496</v>
      </c>
      <c r="D44" t="s">
        <v>1</v>
      </c>
      <c r="E44">
        <f ca="1">RADIANS(C44)</f>
        <v>0.40904025484069556</v>
      </c>
      <c r="F44" t="s">
        <v>103</v>
      </c>
    </row>
    <row r="46" spans="2:7">
      <c r="B46" t="s">
        <v>190</v>
      </c>
      <c r="C46" s="5">
        <f ca="1">1/SIN(RADIANS(C35))</f>
        <v>60.658955196039834</v>
      </c>
      <c r="D46" t="s">
        <v>189</v>
      </c>
    </row>
    <row r="47" spans="2:7">
      <c r="C47" s="5">
        <f ca="1">6378.137*C46</f>
        <v>386891.12651720393</v>
      </c>
      <c r="D47" t="s">
        <v>219</v>
      </c>
    </row>
    <row r="49" spans="2:9">
      <c r="B49" t="s">
        <v>220</v>
      </c>
      <c r="C49" s="144">
        <f ca="1">COS(RADIANS(C26))*COS(RADIANS(C18))</f>
        <v>0.65368773059932839</v>
      </c>
      <c r="D49" s="145">
        <f ca="1">C49*C47</f>
        <v>252905.98248204868</v>
      </c>
      <c r="E49" t="s">
        <v>219</v>
      </c>
    </row>
    <row r="50" spans="2:9">
      <c r="C50" s="144">
        <f ca="1">(COS(RADIANS(C44))*COS(RADIANS(C26))*SIN(RADIANS(C18))-SIN(RADIANS(C44))*SIN(RADIANS(C26)))</f>
        <v>0.68643254828347411</v>
      </c>
      <c r="D50" s="145">
        <f ca="1">C50*C47</f>
        <v>265574.66188346827</v>
      </c>
      <c r="E50" t="s">
        <v>219</v>
      </c>
    </row>
    <row r="51" spans="2:9">
      <c r="C51" s="144">
        <f ca="1">(SIN(RADIANS(C44))*COS(RADIANS(C26))*SIN(RADIANS(C18))+COS(RADIANS(C44))*SIN(RADIANS(C26)))</f>
        <v>0.31859489562916088</v>
      </c>
      <c r="D51" s="145">
        <f ca="1">C51*C47</f>
        <v>123261.53807259706</v>
      </c>
      <c r="E51" t="s">
        <v>219</v>
      </c>
    </row>
    <row r="52" spans="2:9">
      <c r="B52" t="s">
        <v>233</v>
      </c>
      <c r="C52" s="144">
        <f ca="1">SQRT(1-C51^2)</f>
        <v>0.94789097077619855</v>
      </c>
      <c r="D52" s="5"/>
    </row>
    <row r="54" spans="2:9" ht="18.75">
      <c r="B54" s="170" t="s">
        <v>227</v>
      </c>
      <c r="C54" s="171">
        <f ca="1">MOD(360/PI()*(ATAN2(C49+C52,C50)),360)</f>
        <v>46.399700195307396</v>
      </c>
      <c r="D54" t="s">
        <v>1</v>
      </c>
      <c r="E54" s="82">
        <f ca="1">C54*PI()/180</f>
        <v>0.80982754034637006</v>
      </c>
      <c r="F54" t="s">
        <v>103</v>
      </c>
      <c r="G54" s="103">
        <f ca="1">C54/360</f>
        <v>0.1288880560980761</v>
      </c>
      <c r="H54">
        <f ca="1">MOD(24/PI()*(ATAN2(C49+C52,C50)),24)</f>
        <v>3.0933133463538263</v>
      </c>
    </row>
    <row r="56" spans="2:9" ht="18.75">
      <c r="B56" s="169" t="s">
        <v>226</v>
      </c>
      <c r="C56" s="172">
        <f ca="1">DEGREES(ASIN(SIN(E26)*COS(E44)+COS(E26)*SIN(E44)*SIN(E18)))</f>
        <v>18.577971395937684</v>
      </c>
      <c r="D56" t="s">
        <v>1</v>
      </c>
      <c r="E56" s="144">
        <f ca="1">C56*PI()/180</f>
        <v>0.32424676920043971</v>
      </c>
      <c r="F56" t="s">
        <v>103</v>
      </c>
      <c r="G56" s="103">
        <f ca="1">ABS(C56/24)</f>
        <v>0.77408214149740351</v>
      </c>
      <c r="H56" s="135">
        <f ca="1">DEGREES(ATAN2(C52,C51))</f>
        <v>18.577971395937684</v>
      </c>
    </row>
    <row r="59" spans="2:9">
      <c r="B59" t="s">
        <v>150</v>
      </c>
      <c r="C59">
        <f>AzimuthAlt!C36</f>
        <v>51.287840000000003</v>
      </c>
      <c r="D59" t="s">
        <v>1</v>
      </c>
      <c r="E59" s="82">
        <f>C59*PI()/180</f>
        <v>0.89514167423604851</v>
      </c>
      <c r="F59" t="s">
        <v>103</v>
      </c>
    </row>
    <row r="61" spans="2:9">
      <c r="B61" t="s">
        <v>151</v>
      </c>
      <c r="C61">
        <f>AzimuthAlt!C38</f>
        <v>0.16183</v>
      </c>
      <c r="D61" t="s">
        <v>1</v>
      </c>
      <c r="E61" s="82">
        <f>C61*PI()/180</f>
        <v>2.8244663285024235E-3</v>
      </c>
      <c r="F61" t="s">
        <v>103</v>
      </c>
    </row>
    <row r="63" spans="2:9">
      <c r="B63" t="s">
        <v>133</v>
      </c>
      <c r="C63" s="5">
        <f ca="1">MOD(AzimuthAlt!C42-C54,360)</f>
        <v>37.225862067641749</v>
      </c>
      <c r="D63" t="s">
        <v>1</v>
      </c>
      <c r="E63" s="82">
        <f ca="1">C63*PI()/180</f>
        <v>0.64971385997361264</v>
      </c>
      <c r="F63" t="s">
        <v>103</v>
      </c>
      <c r="I63" s="143"/>
    </row>
    <row r="65" spans="2:7" ht="18.75">
      <c r="B65" s="130" t="s">
        <v>225</v>
      </c>
      <c r="C65" s="97">
        <f ca="1">E65*180/PI()</f>
        <v>46.106931073391337</v>
      </c>
      <c r="D65" t="s">
        <v>1</v>
      </c>
      <c r="E65" s="83">
        <f ca="1">ASIN(SIN(E59)*SIN(E56)+COS(E59)*COS(E56)*COS(E63))</f>
        <v>0.80471775522076205</v>
      </c>
      <c r="F65" t="s">
        <v>103</v>
      </c>
      <c r="G65" s="143"/>
    </row>
    <row r="67" spans="2:7">
      <c r="B67" t="s">
        <v>236</v>
      </c>
      <c r="C67" s="143">
        <f ca="1">90-C65</f>
        <v>43.893068926608663</v>
      </c>
    </row>
    <row r="69" spans="2:7">
      <c r="B69" t="s">
        <v>235</v>
      </c>
      <c r="E69" s="144">
        <f ca="1">COS(E56)*SIN(-E63)/COS(E65)</f>
        <v>-0.82709167909081482</v>
      </c>
      <c r="F69" t="s">
        <v>103</v>
      </c>
    </row>
    <row r="70" spans="2:7">
      <c r="B70" t="s">
        <v>9</v>
      </c>
    </row>
    <row r="71" spans="2:7">
      <c r="E71" s="144">
        <f ca="1">(SIN(E56)-SIN(E65)*SIN(E59))/(COS(E65)*COS(E59))</f>
        <v>-0.56206703726400564</v>
      </c>
      <c r="F71" t="s">
        <v>103</v>
      </c>
    </row>
    <row r="73" spans="2:7" ht="18.75">
      <c r="B73" s="129" t="s">
        <v>235</v>
      </c>
      <c r="C73" s="87">
        <f ca="1">MOD(E73*180/PI(),360)</f>
        <v>235.80113198215287</v>
      </c>
      <c r="D73" t="s">
        <v>1</v>
      </c>
      <c r="E73">
        <f ca="1">ATAN2(E71,E69)</f>
        <v>-2.1676791741613157</v>
      </c>
      <c r="F73" t="s">
        <v>103</v>
      </c>
    </row>
  </sheetData>
  <hyperlinks>
    <hyperlink ref="L7" r:id="rId1" location="6" xr:uid="{683AFE5B-A07A-41F6-A884-551E15B7CDE6}"/>
    <hyperlink ref="L15" r:id="rId2" location="/49.495,11.073,3/2020.12.06/14:24/1/3" xr:uid="{FCA51B71-889C-4772-B7B3-5FBE6ED3E87F}"/>
    <hyperlink ref="L19" r:id="rId3" display="https://www.heavens-above.com/moon.aspx?lat=0&amp;lng=0&amp;loc=Unspecified&amp;alt=0&amp;tz=CET" xr:uid="{FD63902E-C6FE-4932-A41B-F3847C21B708}"/>
    <hyperlink ref="L20" r:id="rId4" display="https://people.physics.tamu.edu/krisciunas/ra_dec_moon_2020.html" xr:uid="{559B4D6B-E658-47DC-AE78-72D50BE6B7B0}"/>
    <hyperlink ref="L21" r:id="rId5" display="http://www.geoastro.de/elevazmoon/basics/index.htm" xr:uid="{9739E377-D8B3-4F36-9110-A5EC7E28A44A}"/>
    <hyperlink ref="L24" r:id="rId6" display="https://futureboy.us/fsp/moon.fsp" xr:uid="{CE20C7EB-1468-428B-B086-834EDC134967}"/>
    <hyperlink ref="L23" r:id="rId7" xr:uid="{12226E5A-D001-4752-A52D-01460F8D5007}"/>
    <hyperlink ref="L25" r:id="rId8" display="https://www.satellite-calculations.com/Satellite/suncalc.htm" xr:uid="{5137F372-E049-4AF2-876D-F83A9925C80C}"/>
  </hyperlinks>
  <pageMargins left="0.7" right="0.7" top="0.75" bottom="0.75" header="0.3" footer="0.3"/>
  <legacyDrawing r:id="rId9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8853E-55A9-4BC8-BB5C-18C218A4E0C0}">
  <dimension ref="B1:W65"/>
  <sheetViews>
    <sheetView workbookViewId="0">
      <selection activeCell="B8" sqref="B8"/>
    </sheetView>
  </sheetViews>
  <sheetFormatPr defaultRowHeight="15"/>
  <cols>
    <col min="1" max="1" width="3.42578125" customWidth="1"/>
    <col min="2" max="2" width="14.28515625" customWidth="1"/>
    <col min="3" max="3" width="16" customWidth="1"/>
    <col min="4" max="4" width="15.85546875" bestFit="1" customWidth="1"/>
    <col min="5" max="5" width="14.28515625" bestFit="1" customWidth="1"/>
    <col min="6" max="6" width="12" bestFit="1" customWidth="1"/>
    <col min="7" max="8" width="12.7109375" bestFit="1" customWidth="1"/>
    <col min="9" max="10" width="12" bestFit="1" customWidth="1"/>
    <col min="11" max="12" width="10" customWidth="1"/>
    <col min="13" max="14" width="12" bestFit="1" customWidth="1"/>
    <col min="15" max="15" width="12.7109375" bestFit="1" customWidth="1"/>
    <col min="16" max="18" width="10.28515625" customWidth="1"/>
    <col min="19" max="20" width="12.140625" customWidth="1"/>
    <col min="21" max="21" width="12.85546875" customWidth="1"/>
    <col min="22" max="22" width="17.5703125" customWidth="1"/>
    <col min="23" max="23" width="12.85546875" customWidth="1"/>
  </cols>
  <sheetData>
    <row r="1" spans="2:23">
      <c r="H1" s="141"/>
    </row>
    <row r="2" spans="2:23">
      <c r="B2" s="141"/>
      <c r="G2" t="s">
        <v>182</v>
      </c>
      <c r="H2">
        <f>AzimuthAlt!C36</f>
        <v>51.287840000000003</v>
      </c>
      <c r="I2" t="s">
        <v>1</v>
      </c>
      <c r="J2">
        <f>RADIANS(H2)</f>
        <v>0.89514167423604862</v>
      </c>
      <c r="Q2" t="s">
        <v>266</v>
      </c>
    </row>
    <row r="3" spans="2:23">
      <c r="G3" t="s">
        <v>183</v>
      </c>
      <c r="H3">
        <v>0</v>
      </c>
      <c r="I3" t="s">
        <v>1</v>
      </c>
      <c r="J3">
        <f>RADIANS(H3)</f>
        <v>0</v>
      </c>
    </row>
    <row r="4" spans="2:23">
      <c r="P4" s="152"/>
      <c r="Q4" s="152"/>
      <c r="R4" s="152"/>
      <c r="S4" s="152"/>
      <c r="T4" s="152"/>
      <c r="U4" s="152"/>
    </row>
    <row r="5" spans="2:23" ht="21">
      <c r="B5" s="155" t="s">
        <v>267</v>
      </c>
      <c r="C5" s="156">
        <f ca="1">W23-B8</f>
        <v>0.37372498260810971</v>
      </c>
      <c r="D5" s="154">
        <f ca="1">C5*24</f>
        <v>8.9693995825946331</v>
      </c>
      <c r="P5" s="153"/>
      <c r="Q5" s="153"/>
      <c r="R5" s="153"/>
      <c r="S5" s="153"/>
      <c r="T5" s="153"/>
      <c r="U5" s="153"/>
    </row>
    <row r="7" spans="2:23">
      <c r="B7" t="s">
        <v>237</v>
      </c>
      <c r="C7" t="s">
        <v>119</v>
      </c>
      <c r="D7" s="30" t="s">
        <v>231</v>
      </c>
      <c r="E7" s="30" t="s">
        <v>232</v>
      </c>
      <c r="F7" s="30" t="s">
        <v>218</v>
      </c>
      <c r="G7" s="30" t="s">
        <v>241</v>
      </c>
      <c r="H7" s="30" t="s">
        <v>242</v>
      </c>
      <c r="I7" s="30" t="s">
        <v>243</v>
      </c>
      <c r="J7" s="30" t="s">
        <v>238</v>
      </c>
      <c r="K7" s="30" t="s">
        <v>239</v>
      </c>
      <c r="L7" s="30" t="s">
        <v>240</v>
      </c>
      <c r="M7" s="175" t="s">
        <v>244</v>
      </c>
      <c r="N7" s="175" t="s">
        <v>245</v>
      </c>
      <c r="O7" s="175" t="s">
        <v>260</v>
      </c>
      <c r="P7" s="175" t="s">
        <v>259</v>
      </c>
      <c r="Q7" s="175" t="s">
        <v>261</v>
      </c>
      <c r="R7" s="175" t="s">
        <v>262</v>
      </c>
      <c r="S7" s="175" t="s">
        <v>263</v>
      </c>
      <c r="T7" s="175" t="s">
        <v>264</v>
      </c>
      <c r="U7" s="175" t="s">
        <v>265</v>
      </c>
      <c r="V7" s="175" t="s">
        <v>237</v>
      </c>
    </row>
    <row r="8" spans="2:23">
      <c r="B8" s="162">
        <f ca="1">TimeScales!J17</f>
        <v>2460000.5</v>
      </c>
      <c r="C8" s="151">
        <f ca="1">(B8-2451545)/36525</f>
        <v>0.23149897330595481</v>
      </c>
      <c r="D8">
        <f ca="1">218.32+481267.8813*C8+6.29*SIN(RADIANS(134.9+477198.85*C8))-1.27*SIN(RADIANS(259.2-413335.38*C8))+0.66*SIN(RADIANS(235.7+890534.23*C8))+0.21*SIN(RADIANS(269.9+954397.7*C8))-0.19*SIN(RADIANS(357.5+35999.05*C8))-0.11*SIN(RADIANS(186.6+966404.05*C8))</f>
        <v>111638.71053618673</v>
      </c>
      <c r="E8">
        <f ca="1">5.13*SIN(RADIANS(93.3+483202.03*C8))+0.28*SIN(RADIANS(228.2+960400.87*C8))-0.28*SIN(RADIANS(318.3+6003.18*C8))-0.17*SIN(RADIANS(217.6-407332.2*C8))</f>
        <v>0.17406520042133314</v>
      </c>
      <c r="F8">
        <f ca="1">23.439291-0.0130042*C8</f>
        <v>23.436280541051335</v>
      </c>
      <c r="G8">
        <f ca="1">RADIANS(D8)</f>
        <v>1948.4630715373426</v>
      </c>
      <c r="H8">
        <f ca="1">RADIANS(E8)</f>
        <v>3.0380108604960844E-3</v>
      </c>
      <c r="I8">
        <f ca="1">RADIANS(F8)</f>
        <v>0.40904025986242387</v>
      </c>
      <c r="J8" s="135">
        <f ca="1">COS(H8)*COS(G8)</f>
        <v>0.78031181659133519</v>
      </c>
      <c r="K8" s="135">
        <f ca="1">COS(I8)*COS(H8)*SIN(G8)-SIN(I8)*SIN(H8)</f>
        <v>0.57258270312702941</v>
      </c>
      <c r="L8" s="135">
        <f ca="1">SIN(I8)*COS(H8)*SIN(G8)+COS(I8)*SIN(H8)</f>
        <v>0.25152041063833103</v>
      </c>
      <c r="M8" s="176">
        <f ca="1">ATAN2(J8,K8)</f>
        <v>0.63304381576029756</v>
      </c>
      <c r="N8" s="176">
        <f ca="1">ASIN(L8)</f>
        <v>0.25425084760026617</v>
      </c>
      <c r="O8" s="176">
        <f ca="1">67310.54841+(876600*60*60+8640184.812866)*C8+0.093104*C8^2-0.0000062*C8^3</f>
        <v>732622704.46675181</v>
      </c>
      <c r="P8" s="178">
        <f ca="1">O10-M9</f>
        <v>118.33120590930221</v>
      </c>
      <c r="Q8" s="179">
        <f ca="1">P8</f>
        <v>118.33120590930221</v>
      </c>
      <c r="R8" s="188">
        <v>347.81</v>
      </c>
      <c r="S8" s="180">
        <f ca="1">(0.00233-SIN(N8)*SIN($J$2))/(COS(N8)*COS($J$2))</f>
        <v>-0.32038650012352526</v>
      </c>
      <c r="T8" s="178">
        <f ca="1">360-180/PI()*ACOS(S8)</f>
        <v>251.31369962183197</v>
      </c>
      <c r="U8" s="176">
        <f ca="1">(T8-Q8)/R8</f>
        <v>0.38234235275733808</v>
      </c>
      <c r="V8" s="181">
        <f ca="1">B8+U8</f>
        <v>2460000.8823423525</v>
      </c>
    </row>
    <row r="9" spans="2:23">
      <c r="D9">
        <f ca="1">MOD(D8,360)</f>
        <v>38.710536186728859</v>
      </c>
      <c r="E9">
        <f ca="1">MOD(E8,360)</f>
        <v>0.17406520042133314</v>
      </c>
      <c r="M9" s="182">
        <f ca="1">DEGREES(M8)</f>
        <v>36.27073888992232</v>
      </c>
      <c r="N9" s="182">
        <f ca="1">DEGREES(N8)</f>
        <v>14.567500505119147</v>
      </c>
      <c r="O9" s="176">
        <f ca="1">MOD(O8,86400)</f>
        <v>37104.466751813889</v>
      </c>
      <c r="P9" s="176"/>
      <c r="Q9" s="176"/>
      <c r="R9" s="176"/>
      <c r="S9" s="176"/>
      <c r="T9" s="176"/>
      <c r="U9" s="176">
        <f ca="1">U8*24</f>
        <v>9.1762164661761147</v>
      </c>
      <c r="V9" s="176"/>
    </row>
    <row r="10" spans="2:23">
      <c r="B10" s="19"/>
      <c r="C10" s="19"/>
      <c r="D10" s="150">
        <f ca="1">D9-360</f>
        <v>-321.28946381327114</v>
      </c>
      <c r="E10" s="150">
        <f ca="1">E9-360</f>
        <v>-359.82593479957865</v>
      </c>
      <c r="F10" s="19"/>
      <c r="G10" s="19"/>
      <c r="H10" s="19"/>
      <c r="I10" s="19"/>
      <c r="J10" s="19"/>
      <c r="K10" s="19"/>
      <c r="L10" s="19"/>
      <c r="M10" s="184"/>
      <c r="N10" s="184"/>
      <c r="O10" s="185">
        <f ca="1">O9/60/60*360/24</f>
        <v>154.60194479922453</v>
      </c>
      <c r="P10" s="184"/>
      <c r="Q10" s="184"/>
      <c r="R10" s="184"/>
      <c r="S10" s="184"/>
      <c r="T10" s="186"/>
      <c r="U10" s="184"/>
      <c r="V10" s="184"/>
    </row>
    <row r="11" spans="2:23">
      <c r="B11" s="149">
        <f ca="1">V8</f>
        <v>2460000.8823423525</v>
      </c>
      <c r="C11" s="151">
        <f ca="1">(B11-2451545)/36525</f>
        <v>0.23150944126906317</v>
      </c>
      <c r="D11">
        <f ca="1">218.32+481267.8813*C11+6.29*SIN(RADIANS(134.9+477198.85*C11))-1.27*SIN(RADIANS(259.2-413335.38*C11))+0.66*SIN(RADIANS(235.7+890534.23*C11))+0.21*SIN(RADIANS(269.9+954397.7*C11))-0.19*SIN(RADIANS(357.5+35999.05*C11))-0.11*SIN(RADIANS(186.6+966404.05*C11))</f>
        <v>111643.73952789244</v>
      </c>
      <c r="E11">
        <f ca="1">5.13*SIN(RADIANS(93.3+483202.03*C11))+0.28*SIN(RADIANS(228.2+960400.87*C11))-0.28*SIN(RADIANS(318.3+6003.18*C11))-0.17*SIN(RADIANS(217.6-407332.2*C11))</f>
        <v>0.62364404766391013</v>
      </c>
      <c r="F11">
        <f ca="1">23.439291-0.0130042*C11</f>
        <v>23.436280404923849</v>
      </c>
      <c r="G11">
        <f ca="1">RADIANS(D11)</f>
        <v>1948.5508440006627</v>
      </c>
      <c r="H11">
        <f ca="1">RADIANS(E11)</f>
        <v>1.0884641992199682E-2</v>
      </c>
      <c r="I11">
        <f ca="1">RADIANS(F11)</f>
        <v>0.40904025748655104</v>
      </c>
      <c r="J11" s="135">
        <f ca="1">COS(H11)*COS(G11)</f>
        <v>0.72244754148616619</v>
      </c>
      <c r="K11" s="135">
        <f ca="1">COS(I11)*COS(H11)*SIN(G11)-SIN(I11)*SIN(H11)</f>
        <v>0.62997750191138069</v>
      </c>
      <c r="L11" s="135">
        <f ca="1">SIN(I11)*COS(H11)*SIN(G11)+COS(I11)*SIN(H11)</f>
        <v>0.28495244671013181</v>
      </c>
      <c r="M11" s="176">
        <f ca="1">ATAN2(J11,K11)</f>
        <v>0.71713090844493366</v>
      </c>
      <c r="N11" s="176">
        <f ca="1">ASIN(L11)</f>
        <v>0.28895681776759613</v>
      </c>
      <c r="O11" s="176">
        <f ca="1">67310.54841+(876600*60*60+8640184.812866)*C11+0.093104*C11^2-0.0000062*C11^3</f>
        <v>732655829.29114687</v>
      </c>
      <c r="P11" s="178">
        <f ca="1">O13-M12</f>
        <v>251.53347203303275</v>
      </c>
      <c r="Q11" s="179">
        <f ca="1">P11</f>
        <v>251.53347203303275</v>
      </c>
      <c r="R11" s="178">
        <f ca="1">IF((P11-P8)/U8&lt;0,(P11-P8)/U8+360/U8,(P11-P8)/U8)</f>
        <v>348.38480530110212</v>
      </c>
      <c r="S11" s="180">
        <f ca="1">(0.00233-SIN(N11)*SIN($J$2))/(COS(N11)*COS($J$2))</f>
        <v>-0.3670143792926554</v>
      </c>
      <c r="T11" s="178">
        <f ca="1">360-180/PI()*ACOS(S11)</f>
        <v>248.46839626271844</v>
      </c>
      <c r="U11" s="176">
        <f ca="1">IF((T11-Q11)/R11&gt;0.5,(T11-Q11)/R11-360/R11,(T11-Q11)/R11)</f>
        <v>-8.7979605415489468E-3</v>
      </c>
      <c r="V11" s="181">
        <f ca="1">B11+U12/24</f>
        <v>2460000.8735443922</v>
      </c>
      <c r="W11">
        <f ca="1">IF(ISNUMBER(V11),V11,W8)</f>
        <v>2460000.8735443922</v>
      </c>
    </row>
    <row r="12" spans="2:23">
      <c r="D12">
        <f ca="1">MOD(D11,360)</f>
        <v>43.739527892437764</v>
      </c>
      <c r="E12">
        <f ca="1">MOD(E11,360)</f>
        <v>0.62364404766391013</v>
      </c>
      <c r="M12" s="182">
        <f ca="1">DEGREES(M11)</f>
        <v>41.088574412277346</v>
      </c>
      <c r="N12" s="182">
        <f ca="1">DEGREES(N11)</f>
        <v>16.556006119614096</v>
      </c>
      <c r="O12" s="176">
        <f ca="1">MOD(O11,86400)</f>
        <v>70229.291146874428</v>
      </c>
      <c r="P12" s="176"/>
      <c r="Q12" s="176"/>
      <c r="R12" s="176"/>
      <c r="S12" s="176"/>
      <c r="T12" s="176"/>
      <c r="U12" s="176">
        <f ca="1">U11*24</f>
        <v>-0.21115105299717474</v>
      </c>
      <c r="V12" s="176"/>
    </row>
    <row r="13" spans="2:23">
      <c r="B13" s="19"/>
      <c r="C13" s="19"/>
      <c r="D13" s="150">
        <f ca="1">D12-360</f>
        <v>-316.26047210756224</v>
      </c>
      <c r="E13" s="150">
        <f ca="1">E12-360</f>
        <v>-359.3763559523361</v>
      </c>
      <c r="F13" s="19"/>
      <c r="G13" s="19"/>
      <c r="H13" s="19"/>
      <c r="I13" s="19"/>
      <c r="J13" s="19"/>
      <c r="K13" s="19"/>
      <c r="L13" s="19"/>
      <c r="M13" s="184"/>
      <c r="N13" s="184"/>
      <c r="O13" s="185">
        <f ca="1">O12/60/60*360/24</f>
        <v>292.6220464453101</v>
      </c>
      <c r="P13" s="184"/>
      <c r="Q13" s="184"/>
      <c r="R13" s="184"/>
      <c r="S13" s="184"/>
      <c r="T13" s="186"/>
      <c r="U13" s="184"/>
      <c r="V13" s="184"/>
    </row>
    <row r="14" spans="2:23">
      <c r="B14" s="149">
        <f ca="1">V11</f>
        <v>2460000.8735443922</v>
      </c>
      <c r="C14" s="151">
        <f ca="1">(B14-2451545)/36525</f>
        <v>0.2315092003940363</v>
      </c>
      <c r="D14">
        <f ca="1">218.32+481267.8813*C14+6.29*SIN(RADIANS(134.9+477198.85*C14))-1.27*SIN(RADIANS(259.2-413335.38*C14))+0.66*SIN(RADIANS(235.7+890534.23*C14))+0.21*SIN(RADIANS(269.9+954397.7*C14))-0.19*SIN(RADIANS(357.5+35999.05*C14))-0.11*SIN(RADIANS(186.6+966404.05*C14))</f>
        <v>111643.6245615793</v>
      </c>
      <c r="E14">
        <f ca="1">5.13*SIN(RADIANS(93.3+483202.03*C14))+0.28*SIN(RADIANS(228.2+960400.87*C14))-0.28*SIN(RADIANS(318.3+6003.18*C14))-0.17*SIN(RADIANS(217.6-407332.2*C14))</f>
        <v>0.61338421600184123</v>
      </c>
      <c r="F14">
        <f ca="1">23.439291-0.0130042*C14</f>
        <v>23.436280408056238</v>
      </c>
      <c r="G14">
        <f ca="1">RADIANS(D14)</f>
        <v>1948.5488374599695</v>
      </c>
      <c r="H14">
        <f ca="1">RADIANS(E14)</f>
        <v>1.0705574148996219E-2</v>
      </c>
      <c r="I14">
        <f ca="1">RADIANS(F14)</f>
        <v>0.40904025754122153</v>
      </c>
      <c r="J14" s="135">
        <f ca="1">COS(H14)*COS(G14)</f>
        <v>0.72383468742507284</v>
      </c>
      <c r="K14" s="135">
        <f ca="1">COS(I14)*COS(H14)*SIN(G14)-SIN(I14)*SIN(H14)</f>
        <v>0.6287186348014645</v>
      </c>
      <c r="L14" s="135">
        <f ca="1">SIN(I14)*COS(H14)*SIN(G14)+COS(I14)*SIN(H14)</f>
        <v>0.28421158233546673</v>
      </c>
      <c r="M14" s="176">
        <f ca="1">ATAN2(J14,K14)</f>
        <v>0.71519041634639091</v>
      </c>
      <c r="N14" s="176">
        <f ca="1">ASIN(L14)</f>
        <v>0.28818399860923855</v>
      </c>
      <c r="O14" s="176">
        <f ca="1">67310.54841+(876600*60*60+8640184.812866)*C14+0.093104*C14^2-0.0000062*C14^3</f>
        <v>732655067.06616735</v>
      </c>
      <c r="P14" s="178">
        <f ca="1">O16-M15</f>
        <v>248.46871662579173</v>
      </c>
      <c r="Q14" s="179">
        <f ca="1">P14</f>
        <v>248.46871662579173</v>
      </c>
      <c r="R14" s="178">
        <f ca="1">IF((P14-P11)/U11&lt;0,(P14-P11)/U11+360/U11,(P14-P11)/U11)</f>
        <v>348.34839196737857</v>
      </c>
      <c r="S14" s="180">
        <f ca="1">(0.00233-SIN(N14)*SIN($J$2))/(COS(N14)*COS($J$2))</f>
        <v>-0.36596608381332096</v>
      </c>
      <c r="T14" s="178">
        <f ca="1">360-180/PI()*ACOS(S14)</f>
        <v>248.53295075285607</v>
      </c>
      <c r="U14" s="176">
        <f ca="1">IF((T14-Q14)/R14&gt;0.5,(T14-Q14)/R14-360/R14,(T14-Q14)/R14)</f>
        <v>1.8439622098314086E-4</v>
      </c>
      <c r="V14" s="181">
        <f ca="1">B14+U15/24</f>
        <v>2460000.8737287885</v>
      </c>
      <c r="W14">
        <f ca="1">IF(ISNUMBER(V14),V14,W11)</f>
        <v>2460000.8737287885</v>
      </c>
    </row>
    <row r="15" spans="2:23">
      <c r="D15">
        <f ca="1">MOD(D14,360)</f>
        <v>43.624561579301371</v>
      </c>
      <c r="E15">
        <f ca="1">MOD(E14,360)</f>
        <v>0.61338421600184123</v>
      </c>
      <c r="M15" s="182">
        <f ca="1">DEGREES(M14)</f>
        <v>40.97739240485236</v>
      </c>
      <c r="N15" s="182">
        <f ca="1">DEGREES(N14)</f>
        <v>16.511726843513355</v>
      </c>
      <c r="O15" s="176">
        <f ca="1">MOD(O14,86400)</f>
        <v>69467.066167354584</v>
      </c>
      <c r="P15" s="176"/>
      <c r="Q15" s="176"/>
      <c r="R15" s="176"/>
      <c r="S15" s="176"/>
      <c r="T15" s="176"/>
      <c r="U15" s="176">
        <f ca="1">U14*24</f>
        <v>4.4255093035953808E-3</v>
      </c>
      <c r="V15" s="176"/>
    </row>
    <row r="16" spans="2:23">
      <c r="B16" s="19"/>
      <c r="C16" s="19"/>
      <c r="D16" s="150">
        <f ca="1">D15-360</f>
        <v>-316.37543842069863</v>
      </c>
      <c r="E16" s="150">
        <f ca="1">E15-360</f>
        <v>-359.38661578399814</v>
      </c>
      <c r="F16" s="19"/>
      <c r="G16" s="19"/>
      <c r="H16" s="19"/>
      <c r="I16" s="19"/>
      <c r="J16" s="19"/>
      <c r="K16" s="19"/>
      <c r="L16" s="19"/>
      <c r="M16" s="184"/>
      <c r="N16" s="184"/>
      <c r="O16" s="185">
        <f ca="1">O15/60/60*360/24</f>
        <v>289.4461090306441</v>
      </c>
      <c r="P16" s="184"/>
      <c r="Q16" s="184"/>
      <c r="R16" s="184"/>
      <c r="S16" s="184"/>
      <c r="T16" s="186"/>
      <c r="U16" s="184"/>
      <c r="V16" s="184"/>
    </row>
    <row r="17" spans="2:23">
      <c r="B17" s="149">
        <f ca="1">V14</f>
        <v>2460000.8737287885</v>
      </c>
      <c r="C17" s="151">
        <f ca="1">(B17-2451545)/36525</f>
        <v>0.23150920544253137</v>
      </c>
      <c r="D17">
        <f ca="1">218.32+481267.8813*C17+6.29*SIN(RADIANS(134.9+477198.85*C17))-1.27*SIN(RADIANS(259.2-413335.38*C17))+0.66*SIN(RADIANS(235.7+890534.23*C17))+0.21*SIN(RADIANS(269.9+954397.7*C17))-0.19*SIN(RADIANS(357.5+35999.05*C17))-0.11*SIN(RADIANS(186.6+966404.05*C17))</f>
        <v>111643.62697151589</v>
      </c>
      <c r="E17">
        <f ca="1">5.13*SIN(RADIANS(93.3+483202.03*C17))+0.28*SIN(RADIANS(228.2+960400.87*C17))-0.28*SIN(RADIANS(318.3+6003.18*C17))-0.17*SIN(RADIANS(217.6-407332.2*C17))</f>
        <v>0.61359929912943834</v>
      </c>
      <c r="F17">
        <f ca="1">23.439291-0.0130042*C17</f>
        <v>23.436280407990584</v>
      </c>
      <c r="G17">
        <f ca="1">RADIANS(D17)</f>
        <v>1948.5488795212977</v>
      </c>
      <c r="H17">
        <f ca="1">RADIANS(E17)</f>
        <v>1.0709328057738275E-2</v>
      </c>
      <c r="I17">
        <f ca="1">RADIANS(F17)</f>
        <v>0.40904025754007567</v>
      </c>
      <c r="J17" s="135">
        <f ca="1">COS(H17)*COS(G17)</f>
        <v>0.7238056399846069</v>
      </c>
      <c r="K17" s="135">
        <f ca="1">COS(I17)*COS(H17)*SIN(G17)-SIN(I17)*SIN(H17)</f>
        <v>0.62874504963393618</v>
      </c>
      <c r="L17" s="135">
        <f ca="1">SIN(I17)*COS(H17)*SIN(G17)+COS(I17)*SIN(H17)</f>
        <v>0.28422712412310824</v>
      </c>
      <c r="M17" s="176">
        <f ca="1">ATAN2(J17,K17)</f>
        <v>0.71523108415735115</v>
      </c>
      <c r="N17" s="176">
        <f ca="1">ASIN(L17)</f>
        <v>0.28820020892182358</v>
      </c>
      <c r="O17" s="176">
        <f ca="1">67310.54841+(876600*60*60+8640184.812866)*C17+0.093104*C17^2-0.0000062*C17^3</f>
        <v>732655083.0416261</v>
      </c>
      <c r="P17" s="178">
        <f ca="1">O19-M18</f>
        <v>248.53295094328328</v>
      </c>
      <c r="Q17" s="179">
        <f ca="1">P17</f>
        <v>248.53295094328328</v>
      </c>
      <c r="R17" s="178">
        <f ca="1">IF((P17-P14)/U14&lt;0,(P17-P14)/U14+360/U14,(P17-P14)/U14)</f>
        <v>348.34942467409195</v>
      </c>
      <c r="S17" s="180">
        <f ca="1">(0.00233-SIN(N17)*SIN($J$2))/(COS(N17)*COS($J$2))</f>
        <v>-0.36598806748297263</v>
      </c>
      <c r="T17" s="178">
        <f ca="1">360-180/PI()*ACOS(S17)</f>
        <v>248.53159728285038</v>
      </c>
      <c r="U17" s="176">
        <f ca="1">IF((T17-Q17)/R17&gt;0.5,(T17-Q17)/R17-360/R17,(T17-Q17)/R17)</f>
        <v>-3.8859269946092079E-6</v>
      </c>
      <c r="V17" s="181">
        <f ca="1">B17+U18/24</f>
        <v>2460000.8737249025</v>
      </c>
      <c r="W17">
        <f ca="1">IF(ISNUMBER(V17),V17,W14)</f>
        <v>2460000.8737249025</v>
      </c>
    </row>
    <row r="18" spans="2:23">
      <c r="D18">
        <f ca="1">MOD(D17,360)</f>
        <v>43.626971515885089</v>
      </c>
      <c r="E18">
        <f ca="1">MOD(E17,360)</f>
        <v>0.61359929912943834</v>
      </c>
      <c r="M18" s="182">
        <f ca="1">DEGREES(M17)</f>
        <v>40.979722498782422</v>
      </c>
      <c r="N18" s="182">
        <f ca="1">DEGREES(N17)</f>
        <v>16.512655626009064</v>
      </c>
      <c r="O18" s="176">
        <f ca="1">MOD(O17,86400)</f>
        <v>69483.041626095772</v>
      </c>
      <c r="P18" s="176"/>
      <c r="Q18" s="176"/>
      <c r="R18" s="176"/>
      <c r="S18" s="176"/>
      <c r="T18" s="176"/>
      <c r="U18" s="176">
        <f ca="1">U17*24</f>
        <v>-9.326224787062099E-5</v>
      </c>
      <c r="V18" s="176"/>
    </row>
    <row r="19" spans="2:23">
      <c r="B19" s="19"/>
      <c r="C19" s="19"/>
      <c r="D19" s="150">
        <f ca="1">D18-360</f>
        <v>-316.37302848411491</v>
      </c>
      <c r="E19" s="150">
        <f ca="1">E18-360</f>
        <v>-359.38640070087058</v>
      </c>
      <c r="F19" s="19"/>
      <c r="G19" s="19"/>
      <c r="H19" s="19"/>
      <c r="I19" s="19"/>
      <c r="J19" s="19"/>
      <c r="K19" s="19"/>
      <c r="L19" s="19"/>
      <c r="M19" s="184"/>
      <c r="N19" s="184"/>
      <c r="O19" s="185">
        <f ca="1">O18/60/60*360/24</f>
        <v>289.5126734420657</v>
      </c>
      <c r="P19" s="184"/>
      <c r="Q19" s="184"/>
      <c r="R19" s="184"/>
      <c r="S19" s="184"/>
      <c r="T19" s="186"/>
      <c r="U19" s="184"/>
      <c r="V19" s="184"/>
    </row>
    <row r="20" spans="2:23">
      <c r="B20" s="149">
        <f ca="1">V17</f>
        <v>2460000.8737249025</v>
      </c>
      <c r="C20" s="151">
        <f ca="1">(B20-2451545)/36525</f>
        <v>0.23150920533614003</v>
      </c>
      <c r="D20">
        <f ca="1">218.32+481267.8813*C20+6.29*SIN(RADIANS(134.9+477198.85*C20))-1.27*SIN(RADIANS(259.2-413335.38*C20))+0.66*SIN(RADIANS(235.7+890534.23*C20))+0.21*SIN(RADIANS(269.9+954397.7*C20))-0.19*SIN(RADIANS(357.5+35999.05*C20))-0.11*SIN(RADIANS(186.6+966404.05*C20))</f>
        <v>111643.62692072935</v>
      </c>
      <c r="E20">
        <f ca="1">5.13*SIN(RADIANS(93.3+483202.03*C20))+0.28*SIN(RADIANS(228.2+960400.87*C20))-0.28*SIN(RADIANS(318.3+6003.18*C20))-0.17*SIN(RADIANS(217.6-407332.2*C20))</f>
        <v>0.61359476651540135</v>
      </c>
      <c r="F20">
        <f ca="1">23.439291-0.0130042*C20</f>
        <v>23.436280407991969</v>
      </c>
      <c r="G20">
        <f ca="1">RADIANS(D20)</f>
        <v>1948.5488786349056</v>
      </c>
      <c r="H20">
        <f ca="1">RADIANS(E20)</f>
        <v>1.0709248948699608E-2</v>
      </c>
      <c r="I20">
        <f ca="1">RADIANS(F20)</f>
        <v>0.40904025754009982</v>
      </c>
      <c r="J20" s="135">
        <f ca="1">COS(H20)*COS(G20)</f>
        <v>0.72380625213795213</v>
      </c>
      <c r="K20" s="135">
        <f ca="1">COS(I20)*COS(H20)*SIN(G20)-SIN(I20)*SIN(H20)</f>
        <v>0.62874449298457047</v>
      </c>
      <c r="L20" s="135">
        <f ca="1">SIN(I20)*COS(H20)*SIN(G20)+COS(I20)*SIN(H20)</f>
        <v>0.28422679660367478</v>
      </c>
      <c r="M20" s="176">
        <f ca="1">ATAN2(J20,K20)</f>
        <v>0.71523022712792295</v>
      </c>
      <c r="N20" s="176">
        <f ca="1">ASIN(L20)</f>
        <v>0.2881998673134446</v>
      </c>
      <c r="O20" s="176">
        <f ca="1">67310.54841+(876600*60*60+8640184.812866)*C20+0.093104*C20^2-0.0000062*C20^3</f>
        <v>732655082.7049613</v>
      </c>
      <c r="P20" s="178">
        <f ca="1">O22-M21</f>
        <v>248.53159727746964</v>
      </c>
      <c r="Q20" s="179">
        <f ca="1">P20</f>
        <v>248.53159727746964</v>
      </c>
      <c r="R20" s="178">
        <f ca="1">IF((P20-P17)/U17&lt;0,(P20-P17)/U17+360/U17,(P20-P17)/U17)</f>
        <v>348.35080934786311</v>
      </c>
      <c r="S20" s="180">
        <f ca="1">(0.00233-SIN(N20)*SIN($J$2))/(COS(N20)*COS($J$2))</f>
        <v>-0.36598760420745752</v>
      </c>
      <c r="T20" s="178">
        <f ca="1">360-180/PI()*ACOS(S20)</f>
        <v>248.53162580549358</v>
      </c>
      <c r="U20" s="176">
        <f ca="1">IF((T20-Q20)/R20&gt;0.5,(T20-Q20)/R20-360/R20,(T20-Q20)/R20)</f>
        <v>8.189452461988305E-8</v>
      </c>
      <c r="V20" s="181">
        <f ca="1">B20+U21/24</f>
        <v>2460000.8737249845</v>
      </c>
      <c r="W20">
        <f ca="1">IF(ISNUMBER(V20),V20,W17)</f>
        <v>2460000.8737249845</v>
      </c>
    </row>
    <row r="21" spans="2:23">
      <c r="D21">
        <f ca="1">MOD(D20,360)</f>
        <v>43.626920729351696</v>
      </c>
      <c r="E21">
        <f ca="1">MOD(E20,360)</f>
        <v>0.61359476651540135</v>
      </c>
      <c r="M21" s="182">
        <f ca="1">DEGREES(M20)</f>
        <v>40.979673394613265</v>
      </c>
      <c r="N21" s="182">
        <f ca="1">DEGREES(N20)</f>
        <v>16.512636053290702</v>
      </c>
      <c r="O21" s="176">
        <f ca="1">MOD(O20,86400)</f>
        <v>69482.704961299896</v>
      </c>
      <c r="P21" s="176"/>
      <c r="Q21" s="176"/>
      <c r="R21" s="176"/>
      <c r="S21" s="176"/>
      <c r="T21" s="176"/>
      <c r="U21" s="176">
        <f ca="1">U20*24</f>
        <v>1.9654685908771931E-6</v>
      </c>
      <c r="V21" s="176"/>
    </row>
    <row r="22" spans="2:23">
      <c r="B22" s="19"/>
      <c r="C22" s="19"/>
      <c r="D22" s="150">
        <f ca="1">D21-360</f>
        <v>-316.3730792706483</v>
      </c>
      <c r="E22" s="150">
        <f ca="1">E21-360</f>
        <v>-359.3864052334846</v>
      </c>
      <c r="F22" s="19"/>
      <c r="G22" s="19"/>
      <c r="H22" s="19"/>
      <c r="I22" s="19"/>
      <c r="J22" s="19"/>
      <c r="K22" s="19"/>
      <c r="L22" s="19"/>
      <c r="M22" s="184"/>
      <c r="N22" s="184"/>
      <c r="O22" s="185">
        <f ca="1">O21/60/60*360/24</f>
        <v>289.5112706720829</v>
      </c>
      <c r="P22" s="184"/>
      <c r="Q22" s="184"/>
      <c r="R22" s="184"/>
      <c r="S22" s="184"/>
      <c r="T22" s="186"/>
      <c r="U22" s="184"/>
      <c r="V22" s="184"/>
    </row>
    <row r="23" spans="2:23">
      <c r="B23" s="149">
        <f ca="1">V20</f>
        <v>2460000.8737249845</v>
      </c>
      <c r="C23" s="151">
        <f ca="1">(B23-2451545)/36525</f>
        <v>0.23150920533838387</v>
      </c>
      <c r="D23">
        <f ca="1">218.32+481267.8813*C23+6.29*SIN(RADIANS(134.9+477198.85*C23))-1.27*SIN(RADIANS(259.2-413335.38*C23))+0.66*SIN(RADIANS(235.7+890534.23*C23))+0.21*SIN(RADIANS(269.9+954397.7*C23))-0.19*SIN(RADIANS(357.5+35999.05*C23))-0.11*SIN(RADIANS(186.6+966404.05*C23))</f>
        <v>111643.62692180045</v>
      </c>
      <c r="E23">
        <f ca="1">5.13*SIN(RADIANS(93.3+483202.03*C23))+0.28*SIN(RADIANS(228.2+960400.87*C23))-0.28*SIN(RADIANS(318.3+6003.18*C23))-0.17*SIN(RADIANS(217.6-407332.2*C23))</f>
        <v>0.61359486211048531</v>
      </c>
      <c r="F23">
        <f ca="1">23.439291-0.0130042*C23</f>
        <v>23.436280407991941</v>
      </c>
      <c r="G23">
        <f ca="1">RADIANS(D23)</f>
        <v>1948.5488786535996</v>
      </c>
      <c r="H23">
        <f ca="1">RADIANS(E23)</f>
        <v>1.0709250617148572E-2</v>
      </c>
      <c r="I23">
        <f ca="1">RADIANS(F23)</f>
        <v>0.40904025754009932</v>
      </c>
      <c r="J23" s="135">
        <f ca="1">COS(H23)*COS(G23)</f>
        <v>0.72380623922766396</v>
      </c>
      <c r="K23" s="135">
        <f ca="1">COS(I23)*COS(H23)*SIN(G23)-SIN(I23)*SIN(H23)</f>
        <v>0.62874450472427534</v>
      </c>
      <c r="L23" s="135">
        <f ca="1">SIN(I23)*COS(H23)*SIN(G23)+COS(I23)*SIN(H23)</f>
        <v>0.28422680351108942</v>
      </c>
      <c r="M23" s="176">
        <f ca="1">ATAN2(J23,K23)</f>
        <v>0.71523024520263023</v>
      </c>
      <c r="N23" s="176">
        <f ca="1">ASIN(L23)</f>
        <v>0.288199874517996</v>
      </c>
      <c r="O23" s="176">
        <f ca="1">67310.54841+(876600*60*60+8640184.812866)*C23+0.093104*C23^2-0.0000062*C23^3</f>
        <v>732655082.71206176</v>
      </c>
      <c r="P23" s="178">
        <f ca="1">O25-M24</f>
        <v>248.53162582712736</v>
      </c>
      <c r="Q23" s="179">
        <f ca="1">P23</f>
        <v>248.53162582712736</v>
      </c>
      <c r="R23" s="178">
        <f ca="1">IF((P23-P20)/U20&lt;0,(P23-P20)/U20+360/U20,(P23-P20)/U20)</f>
        <v>348.61497573858657</v>
      </c>
      <c r="S23" s="180">
        <f ca="1">(0.00233-SIN(N23)*SIN($J$2))/(COS(N23)*COS($J$2))</f>
        <v>-0.36598761397797891</v>
      </c>
      <c r="T23" s="178">
        <f ca="1">360-180/PI()*ACOS(S23)</f>
        <v>248.53162520394858</v>
      </c>
      <c r="U23" s="176">
        <f ca="1">IF((T23-Q23)/R23&gt;0.5,(T23-Q23)/R23-360/R23,(T23-Q23)/R23)</f>
        <v>-1.7875846457657321E-9</v>
      </c>
      <c r="V23" s="181">
        <f ca="1">B23+U24/24</f>
        <v>2460000.8737249826</v>
      </c>
      <c r="W23">
        <f ca="1">IF(ISNUMBER(V23),V23,W20)</f>
        <v>2460000.8737249826</v>
      </c>
    </row>
    <row r="24" spans="2:23">
      <c r="D24">
        <f ca="1">MOD(D23,360)</f>
        <v>43.626921800445416</v>
      </c>
      <c r="E24">
        <f ca="1">MOD(E23,360)</f>
        <v>0.61359486211048531</v>
      </c>
      <c r="M24" s="182">
        <f ca="1">DEGREES(M23)</f>
        <v>40.979674430217706</v>
      </c>
      <c r="N24" s="182">
        <f ca="1">DEGREES(N23)</f>
        <v>16.512636466081091</v>
      </c>
      <c r="O24" s="176">
        <f ca="1">MOD(O23,86400)</f>
        <v>69482.71206176281</v>
      </c>
      <c r="P24" s="176"/>
      <c r="Q24" s="176"/>
      <c r="R24" s="176"/>
      <c r="S24" s="176"/>
      <c r="T24" s="176"/>
      <c r="U24" s="176">
        <f ca="1">U23*24</f>
        <v>-4.2902031498377572E-8</v>
      </c>
      <c r="V24" s="176"/>
    </row>
    <row r="25" spans="2:23">
      <c r="B25" s="19"/>
      <c r="C25" s="19"/>
      <c r="D25" s="150">
        <f ca="1">D24-360</f>
        <v>-316.37307819955458</v>
      </c>
      <c r="E25" s="150">
        <f ca="1">E24-360</f>
        <v>-359.38640513788954</v>
      </c>
      <c r="F25" s="19"/>
      <c r="G25" s="19"/>
      <c r="H25" s="19"/>
      <c r="I25" s="19"/>
      <c r="J25" s="19"/>
      <c r="K25" s="19"/>
      <c r="L25" s="19"/>
      <c r="M25" s="184"/>
      <c r="N25" s="184"/>
      <c r="O25" s="185">
        <f ca="1">O24/60/60*360/24</f>
        <v>289.51130025734506</v>
      </c>
      <c r="P25" s="184"/>
      <c r="Q25" s="184"/>
      <c r="R25" s="184"/>
      <c r="S25" s="184"/>
      <c r="T25" s="186"/>
      <c r="U25" s="184"/>
      <c r="V25" s="184"/>
    </row>
    <row r="26" spans="2:23">
      <c r="D26" s="100"/>
      <c r="E26" s="100"/>
      <c r="T26" s="1"/>
    </row>
    <row r="29" spans="2:23">
      <c r="D29" s="5"/>
    </row>
    <row r="30" spans="2:23" ht="21">
      <c r="B30" s="155" t="s">
        <v>268</v>
      </c>
      <c r="C30" s="156">
        <f ca="1">W63-B33</f>
        <v>1.0272056916728616</v>
      </c>
      <c r="D30" s="154">
        <f ca="1">C30*24</f>
        <v>24.652936600148678</v>
      </c>
      <c r="F30" s="5"/>
    </row>
    <row r="32" spans="2:23">
      <c r="B32" t="s">
        <v>237</v>
      </c>
      <c r="C32" t="s">
        <v>119</v>
      </c>
      <c r="D32" s="30" t="s">
        <v>231</v>
      </c>
      <c r="E32" s="30" t="s">
        <v>232</v>
      </c>
      <c r="F32" s="30" t="s">
        <v>218</v>
      </c>
      <c r="G32" s="30" t="s">
        <v>241</v>
      </c>
      <c r="H32" s="30" t="s">
        <v>242</v>
      </c>
      <c r="I32" s="30" t="s">
        <v>243</v>
      </c>
      <c r="J32" s="30" t="s">
        <v>238</v>
      </c>
      <c r="K32" s="30" t="s">
        <v>239</v>
      </c>
      <c r="L32" s="175" t="s">
        <v>240</v>
      </c>
      <c r="M32" s="175" t="s">
        <v>244</v>
      </c>
      <c r="N32" s="175" t="s">
        <v>245</v>
      </c>
      <c r="O32" s="175" t="s">
        <v>260</v>
      </c>
      <c r="P32" s="175" t="s">
        <v>259</v>
      </c>
      <c r="Q32" s="175" t="s">
        <v>261</v>
      </c>
      <c r="R32" s="175" t="s">
        <v>262</v>
      </c>
      <c r="S32" s="175" t="s">
        <v>263</v>
      </c>
      <c r="T32" s="175" t="s">
        <v>264</v>
      </c>
      <c r="U32" s="175" t="s">
        <v>265</v>
      </c>
      <c r="V32" s="175" t="s">
        <v>237</v>
      </c>
      <c r="W32" s="176"/>
    </row>
    <row r="33" spans="2:23">
      <c r="B33" s="162">
        <f ca="1">TimeScales!J17</f>
        <v>2460000.5</v>
      </c>
      <c r="C33" s="151">
        <f ca="1">(B33-2451545)/36525</f>
        <v>0.23149897330595481</v>
      </c>
      <c r="D33">
        <f ca="1">218.32+481267.8813*C33+6.29*SIN(RADIANS(134.9+477198.85*C33))-1.27*SIN(RADIANS(259.2-413335.38*C33))+0.66*SIN(RADIANS(235.7+890534.23*C33))+0.21*SIN(RADIANS(269.9+954397.7*C33))-0.19*SIN(RADIANS(357.5+35999.05*C33))-0.11*SIN(RADIANS(186.6+966404.05*C33))</f>
        <v>111638.71053618673</v>
      </c>
      <c r="E33">
        <f ca="1">5.13*SIN(RADIANS(93.3+483202.03*C33))+0.28*SIN(RADIANS(228.2+960400.87*C33))-0.28*SIN(RADIANS(318.3+6003.18*C33))-0.17*SIN(RADIANS(217.6-407332.2*C33))</f>
        <v>0.17406520042133314</v>
      </c>
      <c r="F33">
        <f ca="1">23.439291-0.0130042*C33</f>
        <v>23.436280541051335</v>
      </c>
      <c r="G33">
        <f ca="1">RADIANS(D33)</f>
        <v>1948.4630715373426</v>
      </c>
      <c r="H33">
        <f ca="1">RADIANS(E33)</f>
        <v>3.0380108604960844E-3</v>
      </c>
      <c r="I33">
        <f ca="1">RADIANS(F33)</f>
        <v>0.40904025986242387</v>
      </c>
      <c r="J33" s="135">
        <f ca="1">COS(H33)*COS(G33)</f>
        <v>0.78031181659133519</v>
      </c>
      <c r="K33" s="135">
        <f ca="1">COS(I33)*COS(H33)*SIN(G33)-SIN(I33)*SIN(H33)</f>
        <v>0.57258270312702941</v>
      </c>
      <c r="L33" s="177">
        <f ca="1">SIN(I33)*COS(H33)*SIN(G33)+COS(I33)*SIN(H33)</f>
        <v>0.25152041063833103</v>
      </c>
      <c r="M33" s="176">
        <f ca="1">ATAN2(J33,K33)</f>
        <v>0.63304381576029756</v>
      </c>
      <c r="N33" s="176">
        <f ca="1">ASIN(L33)</f>
        <v>0.25425084760026617</v>
      </c>
      <c r="O33" s="176">
        <f ca="1">67310.54841+(876600*60*60+8640184.812866)*C33+0.093104*C33^2-0.0000062*C33^3</f>
        <v>732622704.46675181</v>
      </c>
      <c r="P33" s="178">
        <f ca="1">O35-M34</f>
        <v>118.33120590930221</v>
      </c>
      <c r="Q33" s="179">
        <f ca="1">P33</f>
        <v>118.33120590930221</v>
      </c>
      <c r="R33" s="178">
        <v>347.81</v>
      </c>
      <c r="S33" s="180">
        <f ca="1">(0.00233-SIN(N33)*SIN($J$2))/(COS(N33)*COS($J$2))</f>
        <v>-0.32038650012352526</v>
      </c>
      <c r="T33" s="178">
        <f ca="1">180/PI()*ACOS(S33)</f>
        <v>108.68630037816803</v>
      </c>
      <c r="U33" s="176">
        <f ca="1">IF((T33-Q33)/R33&lt;-0.5,(T33-Q33)/R33+360/R33,(T33-Q33)/R33)</f>
        <v>-2.7730385932360154E-2</v>
      </c>
      <c r="V33" s="181">
        <f ca="1">B33+U33+1</f>
        <v>2460001.4722696142</v>
      </c>
      <c r="W33" s="176"/>
    </row>
    <row r="34" spans="2:23">
      <c r="D34">
        <f ca="1">MOD(D33,360)</f>
        <v>38.710536186728859</v>
      </c>
      <c r="E34">
        <f ca="1">MOD(E33,360)</f>
        <v>0.17406520042133314</v>
      </c>
      <c r="L34" s="176"/>
      <c r="M34" s="182">
        <f ca="1">DEGREES(M33)</f>
        <v>36.27073888992232</v>
      </c>
      <c r="N34" s="182">
        <f ca="1">DEGREES(N33)</f>
        <v>14.567500505119147</v>
      </c>
      <c r="O34" s="176">
        <f ca="1">MOD(O33,86400)</f>
        <v>37104.466751813889</v>
      </c>
      <c r="P34" s="179"/>
      <c r="Q34" s="176"/>
      <c r="R34" s="176"/>
      <c r="S34" s="176"/>
      <c r="T34" s="176"/>
      <c r="U34" s="183">
        <f ca="1">U33*24</f>
        <v>-0.66552926237664367</v>
      </c>
      <c r="V34" s="181"/>
      <c r="W34" s="176"/>
    </row>
    <row r="35" spans="2:23">
      <c r="B35" s="19"/>
      <c r="C35" s="19"/>
      <c r="D35" s="150">
        <f ca="1">D34-360</f>
        <v>-321.28946381327114</v>
      </c>
      <c r="E35" s="150">
        <f ca="1">E34-360</f>
        <v>-359.82593479957865</v>
      </c>
      <c r="F35" s="19"/>
      <c r="G35" s="19"/>
      <c r="H35" s="19"/>
      <c r="I35" s="19"/>
      <c r="J35" s="19"/>
      <c r="K35" s="19"/>
      <c r="L35" s="184"/>
      <c r="M35" s="184"/>
      <c r="N35" s="184"/>
      <c r="O35" s="185">
        <f ca="1">O34/60/60*360/24</f>
        <v>154.60194479922453</v>
      </c>
      <c r="P35" s="184"/>
      <c r="Q35" s="184"/>
      <c r="R35" s="184"/>
      <c r="S35" s="184"/>
      <c r="T35" s="186"/>
      <c r="U35" s="187"/>
      <c r="V35" s="184"/>
      <c r="W35" s="176"/>
    </row>
    <row r="36" spans="2:23">
      <c r="B36" s="149">
        <f ca="1">V33</f>
        <v>2460001.4722696142</v>
      </c>
      <c r="C36" s="151">
        <f ca="1">(B36-2451545)/36525</f>
        <v>0.23152559259724098</v>
      </c>
      <c r="D36">
        <f ca="1">218.32+481267.8813*C36+6.29*SIN(RADIANS(134.9+477198.85*C36))-1.27*SIN(RADIANS(259.2-413335.38*C36))+0.66*SIN(RADIANS(235.7+890534.23*C36))+0.21*SIN(RADIANS(269.9+954397.7*C36))-0.19*SIN(RADIANS(357.5+35999.05*C36))-0.11*SIN(RADIANS(186.6+966404.05*C36))</f>
        <v>111651.37029507944</v>
      </c>
      <c r="E36">
        <f ca="1">5.13*SIN(RADIANS(93.3+483202.03*C36))+0.28*SIN(RADIANS(228.2+960400.87*C36))-0.28*SIN(RADIANS(318.3+6003.18*C36))-0.17*SIN(RADIANS(217.6-407332.2*C36))</f>
        <v>1.2988931173772409</v>
      </c>
      <c r="F36">
        <f ca="1">23.439291-0.0130042*C36</f>
        <v>23.436280194888749</v>
      </c>
      <c r="G36">
        <f ca="1">RADIANS(D36)</f>
        <v>1948.6840260125291</v>
      </c>
      <c r="H36">
        <f ca="1">RADIANS(E36)</f>
        <v>2.2669961529726026E-2</v>
      </c>
      <c r="I36">
        <f ca="1">RADIANS(F36)</f>
        <v>0.40904025382074699</v>
      </c>
      <c r="J36" s="135">
        <f ca="1">COS(H36)*COS(G36)</f>
        <v>0.62412427953534633</v>
      </c>
      <c r="K36" s="135">
        <f ca="1">COS(I36)*COS(H36)*SIN(G36)-SIN(I36)*SIN(H36)</f>
        <v>0.70755058932139381</v>
      </c>
      <c r="L36" s="177">
        <f ca="1">SIN(I36)*COS(H36)*SIN(G36)+COS(I36)*SIN(H36)</f>
        <v>0.33142276211122479</v>
      </c>
      <c r="M36" s="176">
        <f ca="1">ATAN2(J36,K36)</f>
        <v>0.84796405402548447</v>
      </c>
      <c r="N36" s="176">
        <f ca="1">ASIN(L36)</f>
        <v>0.33781116669455968</v>
      </c>
      <c r="O36" s="176">
        <f ca="1">67310.54841+(876600*60*60+8640184.812866)*C36+0.093104*C36^2-0.0000062*C36^3</f>
        <v>732706938.5570184</v>
      </c>
      <c r="P36" s="178">
        <f ca="1">O38-M37</f>
        <v>96.992559435533224</v>
      </c>
      <c r="Q36" s="179">
        <f ca="1">P36</f>
        <v>96.992559435533224</v>
      </c>
      <c r="R36" s="178">
        <f ca="1">IF((P36-P33)/U33&lt;0,(P36-P33)/U33+360/U33,(P36-P33)/U33)</f>
        <v>769.50412900195943</v>
      </c>
      <c r="S36" s="180">
        <f ca="1">(0.00233-SIN(N36)*SIN($J$2))/(COS(N36)*COS($J$2))</f>
        <v>-0.43432479898648535</v>
      </c>
      <c r="T36" s="178">
        <f ca="1">180/PI()*ACOS(S36)</f>
        <v>115.74233757092153</v>
      </c>
      <c r="U36" s="176">
        <f ca="1">IF((T36-Q36)/R36&lt;-0.5,(T36-Q36)/R36+360/R36,(T36-Q36)/R36)</f>
        <v>2.4366052667848085E-2</v>
      </c>
      <c r="V36" s="181">
        <f ca="1">B36+U37/24</f>
        <v>2460001.496635667</v>
      </c>
      <c r="W36" s="176">
        <f ca="1">IF(ISNUMBER(V36),V36,W33)</f>
        <v>2460001.496635667</v>
      </c>
    </row>
    <row r="37" spans="2:23">
      <c r="D37">
        <f ca="1">MOD(D36,360)</f>
        <v>51.370295079439529</v>
      </c>
      <c r="E37">
        <f ca="1">MOD(E36,360)</f>
        <v>1.2988931173772409</v>
      </c>
      <c r="L37" s="176"/>
      <c r="M37" s="182">
        <f ca="1">DEGREES(M36)</f>
        <v>48.584761474463583</v>
      </c>
      <c r="N37" s="182">
        <f ca="1">DEGREES(N36)</f>
        <v>19.355154123988591</v>
      </c>
      <c r="O37" s="176">
        <f ca="1">MOD(O36,86400)</f>
        <v>34938.557018399239</v>
      </c>
      <c r="P37" s="176"/>
      <c r="Q37" s="176"/>
      <c r="R37" s="176"/>
      <c r="S37" s="176"/>
      <c r="T37" s="176"/>
      <c r="U37" s="176">
        <f ca="1">U36*24</f>
        <v>0.58478526402835407</v>
      </c>
      <c r="V37" s="176"/>
      <c r="W37" s="176"/>
    </row>
    <row r="38" spans="2:23">
      <c r="B38" s="19"/>
      <c r="C38" s="19"/>
      <c r="D38" s="150">
        <f ca="1">D37-360</f>
        <v>-308.62970492056047</v>
      </c>
      <c r="E38" s="150">
        <f ca="1">E37-360</f>
        <v>-358.70110688262275</v>
      </c>
      <c r="F38" s="19"/>
      <c r="G38" s="19"/>
      <c r="H38" s="19"/>
      <c r="I38" s="19"/>
      <c r="J38" s="19"/>
      <c r="K38" s="19"/>
      <c r="L38" s="184"/>
      <c r="M38" s="184"/>
      <c r="N38" s="184"/>
      <c r="O38" s="185">
        <f ca="1">O37/60/60*360/24</f>
        <v>145.57732090999681</v>
      </c>
      <c r="P38" s="184"/>
      <c r="Q38" s="184"/>
      <c r="R38" s="184"/>
      <c r="S38" s="184"/>
      <c r="T38" s="186"/>
      <c r="U38" s="184"/>
      <c r="V38" s="184"/>
      <c r="W38" s="176"/>
    </row>
    <row r="39" spans="2:23">
      <c r="B39" s="149">
        <f ca="1">V36</f>
        <v>2460001.496635667</v>
      </c>
      <c r="C39" s="151">
        <f ca="1">(B39-2451545)/36525</f>
        <v>0.23152625970340995</v>
      </c>
      <c r="D39">
        <f ca="1">218.32+481267.8813*C39+6.29*SIN(RADIANS(134.9+477198.85*C39))-1.27*SIN(RADIANS(259.2-413335.38*C39))+0.66*SIN(RADIANS(235.7+890534.23*C39))+0.21*SIN(RADIANS(269.9+954397.7*C39))-0.19*SIN(RADIANS(357.5+35999.05*C39))-0.11*SIN(RADIANS(186.6+966404.05*C39))</f>
        <v>111651.68226064554</v>
      </c>
      <c r="E39">
        <f ca="1">5.13*SIN(RADIANS(93.3+483202.03*C39))+0.28*SIN(RADIANS(228.2+960400.87*C39))-0.28*SIN(RADIANS(318.3+6003.18*C39))-0.17*SIN(RADIANS(217.6-407332.2*C39))</f>
        <v>1.3261540311579105</v>
      </c>
      <c r="F39">
        <f ca="1">23.439291-0.0130042*C39</f>
        <v>23.436280186213565</v>
      </c>
      <c r="G39">
        <f ca="1">RADIANS(D39)</f>
        <v>1948.6894708388104</v>
      </c>
      <c r="H39">
        <f ca="1">RADIANS(E39)</f>
        <v>2.3145754232301009E-2</v>
      </c>
      <c r="I39">
        <f ca="1">RADIANS(F39)</f>
        <v>0.4090402536693365</v>
      </c>
      <c r="J39" s="135">
        <f ca="1">COS(H39)*COS(G39)</f>
        <v>0.61985590329612883</v>
      </c>
      <c r="K39" s="135">
        <f ca="1">COS(I39)*COS(H39)*SIN(G39)-SIN(I39)*SIN(H39)</f>
        <v>0.71046082294262347</v>
      </c>
      <c r="L39" s="177">
        <f ca="1">SIN(I39)*COS(H39)*SIN(G39)+COS(I39)*SIN(H39)</f>
        <v>0.33320275841089703</v>
      </c>
      <c r="M39" s="176">
        <f ca="1">ATAN2(J39,K39)</f>
        <v>0.8534009262394372</v>
      </c>
      <c r="N39" s="176">
        <f ca="1">ASIN(L39)</f>
        <v>0.33969841722461203</v>
      </c>
      <c r="O39" s="176">
        <f ca="1">67310.54841+(876600*60*60+8640184.812866)*C39+0.093104*C39^2-0.0000062*C39^3</f>
        <v>732709049.54790282</v>
      </c>
      <c r="P39" s="178">
        <f ca="1">O41-M40</f>
        <v>105.47684495568538</v>
      </c>
      <c r="Q39" s="179">
        <f ca="1">P39</f>
        <v>105.47684495568538</v>
      </c>
      <c r="R39" s="178">
        <f ca="1">IF((P39-P36)/U36&lt;0,(P39-P36)/U36+360/U36,(P39-P36)/U36)</f>
        <v>348.20106628709243</v>
      </c>
      <c r="S39" s="180">
        <f ca="1">(0.00233-SIN(N39)*SIN($J$2))/(COS(N39)*COS($J$2))</f>
        <v>-0.43696913142610599</v>
      </c>
      <c r="T39" s="178">
        <f ca="1">180/PI()*ACOS(S39)</f>
        <v>115.91065910866693</v>
      </c>
      <c r="U39" s="176">
        <f ca="1">IF((T39-Q39)/R39&lt;-0.5,(T39-Q39)/R39+360/R39,(T39-Q39)/R39)</f>
        <v>2.9964911550210058E-2</v>
      </c>
      <c r="V39" s="181">
        <f ca="1">B39+U40/24</f>
        <v>2460001.5266005788</v>
      </c>
      <c r="W39" s="176">
        <f ca="1">IF(ISNUMBER(V39),V39,W36)</f>
        <v>2460001.5266005788</v>
      </c>
    </row>
    <row r="40" spans="2:23">
      <c r="D40">
        <f ca="1">MOD(D39,360)</f>
        <v>51.682260645538918</v>
      </c>
      <c r="E40">
        <f ca="1">MOD(E39,360)</f>
        <v>1.3261540311579105</v>
      </c>
      <c r="L40" s="176"/>
      <c r="M40" s="182">
        <f ca="1">DEGREES(M39)</f>
        <v>48.896271306075022</v>
      </c>
      <c r="N40" s="182">
        <f ca="1">DEGREES(N39)</f>
        <v>19.463285614244416</v>
      </c>
      <c r="O40" s="176">
        <f ca="1">MOD(O39,86400)</f>
        <v>37049.547902822495</v>
      </c>
      <c r="P40" s="176"/>
      <c r="Q40" s="176"/>
      <c r="R40" s="176"/>
      <c r="S40" s="176"/>
      <c r="T40" s="176"/>
      <c r="U40" s="176">
        <f ca="1">U39*24</f>
        <v>0.71915787720504143</v>
      </c>
      <c r="V40" s="176"/>
      <c r="W40" s="176"/>
    </row>
    <row r="41" spans="2:23">
      <c r="B41" s="19"/>
      <c r="C41" s="19"/>
      <c r="D41" s="150">
        <f ca="1">D40-360</f>
        <v>-308.31773935446108</v>
      </c>
      <c r="E41" s="150">
        <f ca="1">E40-360</f>
        <v>-358.6738459688421</v>
      </c>
      <c r="F41" s="19"/>
      <c r="G41" s="19"/>
      <c r="H41" s="19"/>
      <c r="I41" s="19"/>
      <c r="J41" s="19"/>
      <c r="K41" s="19"/>
      <c r="L41" s="184"/>
      <c r="M41" s="184"/>
      <c r="N41" s="184"/>
      <c r="O41" s="185">
        <f ca="1">O40/60/60*360/24</f>
        <v>154.3731162617604</v>
      </c>
      <c r="P41" s="184"/>
      <c r="Q41" s="184"/>
      <c r="R41" s="184"/>
      <c r="S41" s="184"/>
      <c r="T41" s="186"/>
      <c r="U41" s="184"/>
      <c r="V41" s="184"/>
      <c r="W41" s="176"/>
    </row>
    <row r="42" spans="2:23">
      <c r="B42" s="149">
        <f ca="1">V39</f>
        <v>2460001.5266005788</v>
      </c>
      <c r="C42" s="151">
        <f ca="1">(B42-2451545)/36525</f>
        <v>0.2315270800979822</v>
      </c>
      <c r="D42">
        <f ca="1">218.32+481267.8813*C42+6.29*SIN(RADIANS(134.9+477198.85*C42))-1.27*SIN(RADIANS(259.2-413335.38*C42))+0.66*SIN(RADIANS(235.7+890534.23*C42))+0.21*SIN(RADIANS(269.9+954397.7*C42))-0.19*SIN(RADIANS(357.5+35999.05*C42))-0.11*SIN(RADIANS(186.6+966404.05*C42))</f>
        <v>111652.06557230164</v>
      </c>
      <c r="E42">
        <f ca="1">5.13*SIN(RADIANS(93.3+483202.03*C42))+0.28*SIN(RADIANS(228.2+960400.87*C42))-0.28*SIN(RADIANS(318.3+6003.18*C42))-0.17*SIN(RADIANS(217.6-407332.2*C42))</f>
        <v>1.3596006973206347</v>
      </c>
      <c r="F42">
        <f ca="1">23.439291-0.0130042*C42</f>
        <v>23.43628017554499</v>
      </c>
      <c r="G42">
        <f ca="1">RADIANS(D42)</f>
        <v>1948.6961608892705</v>
      </c>
      <c r="H42">
        <f ca="1">RADIANS(E42)</f>
        <v>2.3729508680655924E-2</v>
      </c>
      <c r="I42">
        <f ca="1">RADIANS(F42)</f>
        <v>0.40904025348313472</v>
      </c>
      <c r="J42" s="135">
        <f ca="1">COS(H42)*COS(G42)</f>
        <v>0.61458615727124921</v>
      </c>
      <c r="K42" s="135">
        <f ca="1">COS(I42)*COS(H42)*SIN(G42)-SIN(I42)*SIN(H42)</f>
        <v>0.71400744055078202</v>
      </c>
      <c r="L42" s="177">
        <f ca="1">SIN(I42)*COS(H42)*SIN(G42)+COS(I42)*SIN(H42)</f>
        <v>0.33537625158720002</v>
      </c>
      <c r="M42" s="176">
        <f ca="1">ATAN2(J42,K42)</f>
        <v>0.86009092415591859</v>
      </c>
      <c r="N42" s="176">
        <f ca="1">ASIN(L42)</f>
        <v>0.34200458381794036</v>
      </c>
      <c r="O42" s="176">
        <f ca="1">67310.54841+(876600*60*60+8640184.812866)*C42+0.093104*C42^2-0.0000062*C42^3</f>
        <v>732711645.60463893</v>
      </c>
      <c r="P42" s="178">
        <f ca="1">O44-M43</f>
        <v>115.91043937725149</v>
      </c>
      <c r="Q42" s="179">
        <f ca="1">P42</f>
        <v>115.91043937725149</v>
      </c>
      <c r="R42" s="178">
        <f ca="1">IF((P42-P39)/U39&lt;0,(P42-P39)/U39+360/U39,(P42-P39)/U39)</f>
        <v>348.193733329841</v>
      </c>
      <c r="S42" s="180">
        <f ca="1">(0.00233-SIN(N42)*SIN($J$2))/(COS(N42)*COS($J$2))</f>
        <v>-0.44020520591833123</v>
      </c>
      <c r="T42" s="178">
        <f ca="1">180/PI()*ACOS(S42)</f>
        <v>116.11697481285741</v>
      </c>
      <c r="U42" s="176">
        <f ca="1">IF((T42-Q42)/R42&lt;-0.5,(T42-Q42)/R42+360/R42,(T42-Q42)/R42)</f>
        <v>5.9316241458678206E-4</v>
      </c>
      <c r="V42" s="181">
        <f ca="1">B42+U43/24</f>
        <v>2460001.5271937414</v>
      </c>
      <c r="W42" s="176">
        <f ca="1">IF(ISNUMBER(V42),V42,W39)</f>
        <v>2460001.5271937414</v>
      </c>
    </row>
    <row r="43" spans="2:23">
      <c r="D43">
        <f ca="1">MOD(D42,360)</f>
        <v>52.065572301638895</v>
      </c>
      <c r="E43">
        <f ca="1">MOD(E42,360)</f>
        <v>1.3596006973206347</v>
      </c>
      <c r="L43" s="176"/>
      <c r="M43" s="182">
        <f ca="1">DEGREES(M42)</f>
        <v>49.27957995164072</v>
      </c>
      <c r="N43" s="182">
        <f ca="1">DEGREES(N42)</f>
        <v>19.595419226896194</v>
      </c>
      <c r="O43" s="176">
        <f ca="1">MOD(O42,86400)</f>
        <v>39645.604638934135</v>
      </c>
      <c r="P43" s="176"/>
      <c r="Q43" s="176"/>
      <c r="R43" s="176"/>
      <c r="S43" s="176"/>
      <c r="T43" s="176"/>
      <c r="U43" s="176">
        <f ca="1">U42*24</f>
        <v>1.423589795008277E-2</v>
      </c>
      <c r="V43" s="176"/>
      <c r="W43" s="176"/>
    </row>
    <row r="44" spans="2:23">
      <c r="B44" s="19"/>
      <c r="C44" s="19"/>
      <c r="D44" s="150">
        <f ca="1">D43-360</f>
        <v>-307.93442769836111</v>
      </c>
      <c r="E44" s="150">
        <f ca="1">E43-360</f>
        <v>-358.64039930267938</v>
      </c>
      <c r="F44" s="19"/>
      <c r="G44" s="19"/>
      <c r="H44" s="19"/>
      <c r="I44" s="19"/>
      <c r="J44" s="19"/>
      <c r="K44" s="19"/>
      <c r="L44" s="184"/>
      <c r="M44" s="184"/>
      <c r="N44" s="184"/>
      <c r="O44" s="185">
        <f ca="1">O43/60/60*360/24</f>
        <v>165.19001932889222</v>
      </c>
      <c r="P44" s="184"/>
      <c r="Q44" s="184"/>
      <c r="R44" s="184"/>
      <c r="S44" s="184"/>
      <c r="T44" s="186"/>
      <c r="U44" s="184"/>
      <c r="V44" s="184"/>
      <c r="W44" s="176"/>
    </row>
    <row r="45" spans="2:23">
      <c r="B45" s="149">
        <f ca="1">V42</f>
        <v>2460001.5271937414</v>
      </c>
      <c r="C45" s="151">
        <f ca="1">(B45-2451545)/36525</f>
        <v>0.23152709633788932</v>
      </c>
      <c r="D45">
        <f ca="1">218.32+481267.8813*C45+6.29*SIN(RADIANS(134.9+477198.85*C45))-1.27*SIN(RADIANS(259.2-413335.38*C45))+0.66*SIN(RADIANS(235.7+890534.23*C45))+0.21*SIN(RADIANS(269.9+954397.7*C45))-0.19*SIN(RADIANS(357.5+35999.05*C45))-0.11*SIN(RADIANS(186.6+966404.05*C45))</f>
        <v>111652.07315629962</v>
      </c>
      <c r="E45">
        <f ca="1">5.13*SIN(RADIANS(93.3+483202.03*C45))+0.28*SIN(RADIANS(228.2+960400.87*C45))-0.28*SIN(RADIANS(318.3+6003.18*C45))-0.17*SIN(RADIANS(217.6-407332.2*C45))</f>
        <v>1.3602619014393196</v>
      </c>
      <c r="F45">
        <f ca="1">23.439291-0.0130042*C45</f>
        <v>23.436280175333803</v>
      </c>
      <c r="G45">
        <f ca="1">RADIANS(D45)</f>
        <v>1948.6962932550059</v>
      </c>
      <c r="H45">
        <f ca="1">RADIANS(E45)</f>
        <v>2.3741048869554721E-2</v>
      </c>
      <c r="I45">
        <f ca="1">RADIANS(F45)</f>
        <v>0.40904025347944878</v>
      </c>
      <c r="J45" s="135">
        <f ca="1">COS(H45)*COS(G45)</f>
        <v>0.61448161411618196</v>
      </c>
      <c r="K45" s="135">
        <f ca="1">COS(I45)*COS(H45)*SIN(G45)-SIN(I45)*SIN(H45)</f>
        <v>0.71407728642644808</v>
      </c>
      <c r="L45" s="177">
        <f ca="1">SIN(I45)*COS(H45)*SIN(G45)+COS(I45)*SIN(H45)</f>
        <v>0.33541910339605313</v>
      </c>
      <c r="M45" s="176">
        <f ca="1">ATAN2(J45,K45)</f>
        <v>0.86022339715515717</v>
      </c>
      <c r="N45" s="176">
        <f ca="1">ASIN(L45)</f>
        <v>0.34205007036009971</v>
      </c>
      <c r="O45" s="176">
        <f ca="1">67310.54841+(876600*60*60+8640184.812866)*C45+0.093104*C45^2-0.0000062*C45^3</f>
        <v>732711696.99420393</v>
      </c>
      <c r="P45" s="178">
        <f ca="1">O47-M46</f>
        <v>116.11697242095818</v>
      </c>
      <c r="Q45" s="179">
        <f ca="1">P45</f>
        <v>116.11697242095818</v>
      </c>
      <c r="R45" s="178">
        <f ca="1">IF((P45-P42)/U42&lt;0,(P45-P42)/U42+360/U42,(P45-P42)/U42)</f>
        <v>348.18970087739467</v>
      </c>
      <c r="S45" s="180">
        <f ca="1">(0.00233-SIN(N45)*SIN($J$2))/(COS(N45)*COS($J$2))</f>
        <v>-0.44026908695920369</v>
      </c>
      <c r="T45" s="178">
        <f ca="1">180/PI()*ACOS(S45)</f>
        <v>116.12105120142591</v>
      </c>
      <c r="U45" s="176">
        <f ca="1">IF((T45-Q45)/R45&lt;-0.5,(T45-Q45)/R45+360/R45,(T45-Q45)/R45)</f>
        <v>1.1714247886880187E-5</v>
      </c>
      <c r="V45" s="181">
        <f ca="1">B45+U46/24</f>
        <v>2460001.5272054556</v>
      </c>
      <c r="W45" s="176">
        <f ca="1">IF(ISNUMBER(V45),V45,W42)</f>
        <v>2460001.5272054556</v>
      </c>
    </row>
    <row r="46" spans="2:23">
      <c r="D46">
        <f ca="1">MOD(D45,360)</f>
        <v>52.073156299622497</v>
      </c>
      <c r="E46">
        <f ca="1">MOD(E45,360)</f>
        <v>1.3602619014393196</v>
      </c>
      <c r="L46" s="176"/>
      <c r="M46" s="182">
        <f ca="1">DEGREES(M45)</f>
        <v>49.287170095396533</v>
      </c>
      <c r="N46" s="182">
        <f ca="1">DEGREES(N45)</f>
        <v>19.598025413786569</v>
      </c>
      <c r="O46" s="176">
        <f ca="1">MOD(O45,86400)</f>
        <v>39696.994203925133</v>
      </c>
      <c r="P46" s="176"/>
      <c r="Q46" s="176"/>
      <c r="R46" s="176"/>
      <c r="S46" s="176"/>
      <c r="T46" s="176"/>
      <c r="U46" s="176">
        <f ca="1">U45*24</f>
        <v>2.8114194928512446E-4</v>
      </c>
      <c r="V46" s="176"/>
      <c r="W46" s="176"/>
    </row>
    <row r="47" spans="2:23">
      <c r="B47" s="19"/>
      <c r="C47" s="19"/>
      <c r="D47" s="150">
        <f ca="1">D46-360</f>
        <v>-307.9268437003775</v>
      </c>
      <c r="E47" s="150">
        <f ca="1">E46-360</f>
        <v>-358.63973809856066</v>
      </c>
      <c r="F47" s="19"/>
      <c r="G47" s="19"/>
      <c r="H47" s="19"/>
      <c r="I47" s="19"/>
      <c r="J47" s="19"/>
      <c r="K47" s="19"/>
      <c r="L47" s="184"/>
      <c r="M47" s="184"/>
      <c r="N47" s="184"/>
      <c r="O47" s="185">
        <f ca="1">O46/60/60*360/24</f>
        <v>165.40414251635471</v>
      </c>
      <c r="P47" s="184"/>
      <c r="Q47" s="184"/>
      <c r="R47" s="184"/>
      <c r="S47" s="184"/>
      <c r="T47" s="186"/>
      <c r="U47" s="184"/>
      <c r="V47" s="184"/>
      <c r="W47" s="176"/>
    </row>
    <row r="48" spans="2:23">
      <c r="B48" s="149">
        <f ca="1">V45</f>
        <v>2460001.5272054556</v>
      </c>
      <c r="C48" s="151">
        <f ca="1">(B48-2451545)/36525</f>
        <v>0.23152709665860596</v>
      </c>
      <c r="D48">
        <f ca="1">218.32+481267.8813*C48+6.29*SIN(RADIANS(134.9+477198.85*C48))-1.27*SIN(RADIANS(259.2-413335.38*C48))+0.66*SIN(RADIANS(235.7+890534.23*C48))+0.21*SIN(RADIANS(269.9+954397.7*C48))-0.19*SIN(RADIANS(357.5+35999.05*C48))-0.11*SIN(RADIANS(186.6+966404.05*C48))</f>
        <v>111652.07330607207</v>
      </c>
      <c r="E48">
        <f ca="1">5.13*SIN(RADIANS(93.3+483202.03*C48))+0.28*SIN(RADIANS(228.2+960400.87*C48))-0.28*SIN(RADIANS(318.3+6003.18*C48))-0.17*SIN(RADIANS(217.6-407332.2*C48))</f>
        <v>1.3602749589986065</v>
      </c>
      <c r="F48">
        <f ca="1">23.439291-0.0130042*C48</f>
        <v>23.436280175329632</v>
      </c>
      <c r="G48">
        <f ca="1">RADIANS(D48)</f>
        <v>1948.6962958690281</v>
      </c>
      <c r="H48">
        <f ca="1">RADIANS(E48)</f>
        <v>2.3741276766956552E-2</v>
      </c>
      <c r="I48">
        <f ca="1">RADIANS(F48)</f>
        <v>0.409040253479376</v>
      </c>
      <c r="J48" s="135">
        <f ca="1">COS(H48)*COS(G48)</f>
        <v>0.61447954943911287</v>
      </c>
      <c r="K48" s="135">
        <f ca="1">COS(I48)*COS(H48)*SIN(G48)-SIN(I48)*SIN(H48)</f>
        <v>0.71407866564892997</v>
      </c>
      <c r="L48" s="177">
        <f ca="1">SIN(I48)*COS(H48)*SIN(G48)+COS(I48)*SIN(H48)</f>
        <v>0.33541994959475602</v>
      </c>
      <c r="M48" s="176">
        <f ca="1">ATAN2(J48,K48)</f>
        <v>0.86022601333795123</v>
      </c>
      <c r="N48" s="176">
        <f ca="1">ASIN(L48)</f>
        <v>0.34205096859454603</v>
      </c>
      <c r="O48" s="176">
        <f ca="1">67310.54841+(876600*60*60+8640184.812866)*C48+0.093104*C48^2-0.0000062*C48^3</f>
        <v>732711698.00907981</v>
      </c>
      <c r="P48" s="178">
        <f ca="1">O50-M49</f>
        <v>116.12105117426239</v>
      </c>
      <c r="Q48" s="179">
        <f ca="1">P48</f>
        <v>116.12105117426239</v>
      </c>
      <c r="R48" s="178">
        <f ca="1">IF((P48-P45)/U45&lt;0,(P48-P45)/U45+360/U45,(P48-P45)/U45)</f>
        <v>348.18738203257863</v>
      </c>
      <c r="S48" s="180">
        <f ca="1">(0.00233-SIN(N48)*SIN($J$2))/(COS(N48)*COS($J$2))</f>
        <v>-0.44027034845529689</v>
      </c>
      <c r="T48" s="178">
        <f ca="1">180/PI()*ACOS(S48)</f>
        <v>116.12113170167527</v>
      </c>
      <c r="U48" s="176">
        <f ca="1">IF((T48-Q48)/R48&lt;-0.5,(T48-Q48)/R48+360/R48,(T48-Q48)/R48)</f>
        <v>2.3127608015682922E-7</v>
      </c>
      <c r="V48" s="181">
        <f ca="1">B48+U49/24</f>
        <v>2460001.527205687</v>
      </c>
      <c r="W48" s="176">
        <f ca="1">IF(ISNUMBER(V48),V48,W45)</f>
        <v>2460001.527205687</v>
      </c>
    </row>
    <row r="49" spans="2:23">
      <c r="D49">
        <f ca="1">MOD(D48,360)</f>
        <v>52.073306072066771</v>
      </c>
      <c r="E49">
        <f ca="1">MOD(E48,360)</f>
        <v>1.3602749589986065</v>
      </c>
      <c r="L49" s="176"/>
      <c r="M49" s="182">
        <f ca="1">DEGREES(M48)</f>
        <v>49.287319991629069</v>
      </c>
      <c r="N49" s="182">
        <f ca="1">DEGREES(N48)</f>
        <v>19.598076878829357</v>
      </c>
      <c r="O49" s="176">
        <f ca="1">MOD(O48,86400)</f>
        <v>39698.009079813957</v>
      </c>
      <c r="P49" s="176"/>
      <c r="Q49" s="176"/>
      <c r="R49" s="176"/>
      <c r="S49" s="176"/>
      <c r="T49" s="176"/>
      <c r="U49" s="176">
        <f ca="1">U48*24</f>
        <v>5.5506259237639009E-6</v>
      </c>
      <c r="V49" s="176"/>
      <c r="W49" s="176"/>
    </row>
    <row r="50" spans="2:23">
      <c r="B50" s="19"/>
      <c r="C50" s="19"/>
      <c r="D50" s="150">
        <f ca="1">D49-360</f>
        <v>-307.92669392793323</v>
      </c>
      <c r="E50" s="150">
        <f ca="1">E49-360</f>
        <v>-358.63972504100138</v>
      </c>
      <c r="F50" s="19"/>
      <c r="G50" s="19"/>
      <c r="H50" s="19"/>
      <c r="I50" s="19"/>
      <c r="J50" s="19"/>
      <c r="K50" s="19"/>
      <c r="L50" s="184"/>
      <c r="M50" s="184"/>
      <c r="N50" s="184"/>
      <c r="O50" s="185">
        <f ca="1">O49/60/60*360/24</f>
        <v>165.40837116589145</v>
      </c>
      <c r="P50" s="184"/>
      <c r="Q50" s="184"/>
      <c r="R50" s="184"/>
      <c r="S50" s="184"/>
      <c r="T50" s="186"/>
      <c r="U50" s="184"/>
      <c r="V50" s="184"/>
      <c r="W50" s="176"/>
    </row>
    <row r="51" spans="2:23">
      <c r="B51" s="149">
        <f ca="1">V48</f>
        <v>2460001.527205687</v>
      </c>
      <c r="C51" s="151">
        <f ca="1">(B51-2451545)/36525</f>
        <v>0.23152709666494226</v>
      </c>
      <c r="D51">
        <f ca="1">218.32+481267.8813*C51+6.29*SIN(RADIANS(134.9+477198.85*C51))-1.27*SIN(RADIANS(259.2-413335.38*C51))+0.66*SIN(RADIANS(235.7+890534.23*C51))+0.21*SIN(RADIANS(269.9+954397.7*C51))-0.19*SIN(RADIANS(357.5+35999.05*C51))-0.11*SIN(RADIANS(186.6+966404.05*C51))</f>
        <v>111652.07330903105</v>
      </c>
      <c r="E51">
        <f ca="1">5.13*SIN(RADIANS(93.3+483202.03*C51))+0.28*SIN(RADIANS(228.2+960400.87*C51))-0.28*SIN(RADIANS(318.3+6003.18*C51))-0.17*SIN(RADIANS(217.6-407332.2*C51))</f>
        <v>1.3602752169723182</v>
      </c>
      <c r="F51">
        <f ca="1">23.439291-0.0130042*C51</f>
        <v>23.43628017532955</v>
      </c>
      <c r="G51">
        <f ca="1">RADIANS(D51)</f>
        <v>1948.6962959206721</v>
      </c>
      <c r="H51">
        <f ca="1">RADIANS(E51)</f>
        <v>2.3741281269447204E-2</v>
      </c>
      <c r="I51">
        <f ca="1">RADIANS(F51)</f>
        <v>0.40904025347937456</v>
      </c>
      <c r="J51" s="135">
        <f ca="1">COS(H51)*COS(G51)</f>
        <v>0.61447950864816991</v>
      </c>
      <c r="K51" s="135">
        <f ca="1">COS(I51)*COS(H51)*SIN(G51)-SIN(I51)*SIN(H51)</f>
        <v>0.71407869289755077</v>
      </c>
      <c r="L51" s="177">
        <f ca="1">SIN(I51)*COS(H51)*SIN(G51)+COS(I51)*SIN(H51)</f>
        <v>0.33541996631272458</v>
      </c>
      <c r="M51" s="176">
        <f ca="1">ATAN2(J51,K51)</f>
        <v>0.86022606502471277</v>
      </c>
      <c r="N51" s="176">
        <f ca="1">ASIN(L51)</f>
        <v>0.34205098634056436</v>
      </c>
      <c r="O51" s="176">
        <f ca="1">67310.54841+(876600*60*60+8640184.812866)*C51+0.093104*C51^2-0.0000062*C51^3</f>
        <v>732711698.02913034</v>
      </c>
      <c r="P51" s="178">
        <f ca="1">O53-M52</f>
        <v>116.12113175668608</v>
      </c>
      <c r="Q51" s="179">
        <f ca="1">P51</f>
        <v>116.12113175668608</v>
      </c>
      <c r="R51" s="178">
        <f ca="1">IF((P51-P48)/U48&lt;0,(P51-P48)/U48+360/U48,(P51-P48)/U48)</f>
        <v>348.42523981459027</v>
      </c>
      <c r="S51" s="180">
        <f ca="1">(0.00233-SIN(N51)*SIN($J$2))/(COS(N51)*COS($J$2))</f>
        <v>-0.44027037337812203</v>
      </c>
      <c r="T51" s="178">
        <f ca="1">180/PI()*ACOS(S51)</f>
        <v>116.12113329208398</v>
      </c>
      <c r="U51" s="176">
        <f ca="1">IF((T51-Q51)/R51&lt;-0.5,(T51-Q51)/R51+360/R51,(T51-Q51)/R51)</f>
        <v>4.4066781737888163E-9</v>
      </c>
      <c r="V51" s="181">
        <f ca="1">B51+U52/24</f>
        <v>2460001.5272056912</v>
      </c>
      <c r="W51" s="176">
        <f ca="1">IF(ISNUMBER(V51),V51,W48)</f>
        <v>2460001.5272056912</v>
      </c>
    </row>
    <row r="52" spans="2:23">
      <c r="D52">
        <f ca="1">MOD(D51,360)</f>
        <v>52.073309031053213</v>
      </c>
      <c r="E52">
        <f ca="1">MOD(E51,360)</f>
        <v>1.3602752169723182</v>
      </c>
      <c r="L52" s="176"/>
      <c r="M52" s="182">
        <f ca="1">DEGREES(M51)</f>
        <v>49.287322953062358</v>
      </c>
      <c r="N52" s="182">
        <f ca="1">DEGREES(N51)</f>
        <v>19.59807789560131</v>
      </c>
      <c r="O52" s="176">
        <f ca="1">MOD(O51,86400)</f>
        <v>39698.029130339622</v>
      </c>
      <c r="P52" s="176"/>
      <c r="Q52" s="176"/>
      <c r="R52" s="176"/>
      <c r="S52" s="176"/>
      <c r="T52" s="176"/>
      <c r="U52" s="176">
        <f ca="1">U51*24</f>
        <v>1.0576027617093159E-7</v>
      </c>
      <c r="V52" s="176"/>
      <c r="W52" s="176"/>
    </row>
    <row r="53" spans="2:23">
      <c r="B53" s="19"/>
      <c r="C53" s="19"/>
      <c r="D53" s="150">
        <f ca="1">D52-360</f>
        <v>-307.92669096894679</v>
      </c>
      <c r="E53" s="150">
        <f ca="1">E52-360</f>
        <v>-358.6397247830277</v>
      </c>
      <c r="F53" s="19"/>
      <c r="G53" s="19"/>
      <c r="H53" s="19"/>
      <c r="I53" s="19"/>
      <c r="J53" s="19"/>
      <c r="K53" s="19"/>
      <c r="L53" s="184"/>
      <c r="M53" s="184"/>
      <c r="N53" s="184"/>
      <c r="O53" s="185">
        <f ca="1">O52/60/60*360/24</f>
        <v>165.40845470974844</v>
      </c>
      <c r="P53" s="184"/>
      <c r="Q53" s="184"/>
      <c r="R53" s="184"/>
      <c r="S53" s="184"/>
      <c r="T53" s="186"/>
      <c r="U53" s="184"/>
      <c r="V53" s="184"/>
      <c r="W53" s="176"/>
    </row>
    <row r="54" spans="2:23">
      <c r="B54" s="149">
        <f ca="1">V51</f>
        <v>2460001.5272056912</v>
      </c>
      <c r="C54" s="151">
        <f ca="1">(B54-2451545)/36525</f>
        <v>0.231527096665057</v>
      </c>
      <c r="D54">
        <f ca="1">218.32+481267.8813*C54+6.29*SIN(RADIANS(134.9+477198.85*C54))-1.27*SIN(RADIANS(259.2-413335.38*C54))+0.66*SIN(RADIANS(235.7+890534.23*C54))+0.21*SIN(RADIANS(269.9+954397.7*C54))-0.19*SIN(RADIANS(357.5+35999.05*C54))-0.11*SIN(RADIANS(186.6+966404.05*C54))</f>
        <v>111652.07330908463</v>
      </c>
      <c r="E54">
        <f ca="1">5.13*SIN(RADIANS(93.3+483202.03*C54))+0.28*SIN(RADIANS(228.2+960400.87*C54))-0.28*SIN(RADIANS(318.3+6003.18*C54))-0.17*SIN(RADIANS(217.6-407332.2*C54))</f>
        <v>1.3602752216440686</v>
      </c>
      <c r="F54">
        <f ca="1">23.439291-0.0130042*C54</f>
        <v>23.43628017532955</v>
      </c>
      <c r="G54">
        <f ca="1">RADIANS(D54)</f>
        <v>1948.6962959216073</v>
      </c>
      <c r="H54">
        <f ca="1">RADIANS(E54)</f>
        <v>2.374128135098463E-2</v>
      </c>
      <c r="I54">
        <f ca="1">RADIANS(F54)</f>
        <v>0.40904025347937456</v>
      </c>
      <c r="J54" s="135">
        <f ca="1">COS(H54)*COS(G54)</f>
        <v>0.61447950790951378</v>
      </c>
      <c r="K54" s="135">
        <f ca="1">COS(I54)*COS(H54)*SIN(G54)-SIN(I54)*SIN(H54)</f>
        <v>0.71407869339097574</v>
      </c>
      <c r="L54" s="177">
        <f ca="1">SIN(I54)*COS(H54)*SIN(G54)+COS(I54)*SIN(H54)</f>
        <v>0.33541996661546353</v>
      </c>
      <c r="M54" s="176">
        <f ca="1">ATAN2(J54,K54)</f>
        <v>0.86022606596067241</v>
      </c>
      <c r="N54" s="176">
        <f ca="1">ASIN(L54)</f>
        <v>0.34205098666191985</v>
      </c>
      <c r="O54" s="176">
        <f ca="1">67310.54841+(876600*60*60+8640184.812866)*C54+0.093104*C54^2-0.0000062*C54^3</f>
        <v>732711698.02949345</v>
      </c>
      <c r="P54" s="178">
        <f ca="1">O56-M55</f>
        <v>116.12113321602411</v>
      </c>
      <c r="Q54" s="179">
        <f ca="1">P54</f>
        <v>116.12113321602411</v>
      </c>
      <c r="R54" s="178">
        <f ca="1">IF((P54-P51)/U51&lt;0,(P54-P51)/U51+360/U51,(P54-P51)/U51)</f>
        <v>331.16510108433488</v>
      </c>
      <c r="S54" s="180">
        <f ca="1">(0.00233-SIN(N54)*SIN($J$2))/(COS(N54)*COS($J$2))</f>
        <v>-0.4402703738294394</v>
      </c>
      <c r="T54" s="178">
        <f ca="1">180/PI()*ACOS(S54)</f>
        <v>116.12113332088403</v>
      </c>
      <c r="U54" s="176">
        <f ca="1">IF((T54-Q54)/R54&lt;-0.5,(T54-Q54)/R54+360/R54,(T54-Q54)/R54)</f>
        <v>3.166394082327124E-10</v>
      </c>
      <c r="V54" s="181">
        <f ca="1">B54+U55/24</f>
        <v>2460001.5272056917</v>
      </c>
      <c r="W54" s="176">
        <f ca="1">IF(ISNUMBER(V54),V54,W51)</f>
        <v>2460001.5272056917</v>
      </c>
    </row>
    <row r="55" spans="2:23">
      <c r="D55">
        <f ca="1">MOD(D54,360)</f>
        <v>52.073309084633365</v>
      </c>
      <c r="E55">
        <f ca="1">MOD(E54,360)</f>
        <v>1.3602752216440686</v>
      </c>
      <c r="L55" s="176"/>
      <c r="M55" s="182">
        <f ca="1">DEGREES(M54)</f>
        <v>49.287323006688901</v>
      </c>
      <c r="N55" s="182">
        <f ca="1">DEGREES(N54)</f>
        <v>19.598077914013622</v>
      </c>
      <c r="O55" s="176">
        <f ca="1">MOD(O54,86400)</f>
        <v>39698.029493451118</v>
      </c>
      <c r="P55" s="176"/>
      <c r="Q55" s="176"/>
      <c r="R55" s="176"/>
      <c r="S55" s="176"/>
      <c r="T55" s="176"/>
      <c r="U55" s="176">
        <f ca="1">U54*24</f>
        <v>7.5993457975850976E-9</v>
      </c>
      <c r="V55" s="176"/>
      <c r="W55" s="176"/>
    </row>
    <row r="56" spans="2:23">
      <c r="B56" s="19"/>
      <c r="C56" s="19"/>
      <c r="D56" s="150">
        <f ca="1">D55-360</f>
        <v>-307.92669091536663</v>
      </c>
      <c r="E56" s="150">
        <f ca="1">E55-360</f>
        <v>-358.63972477835591</v>
      </c>
      <c r="F56" s="19"/>
      <c r="G56" s="19"/>
      <c r="H56" s="19"/>
      <c r="I56" s="19"/>
      <c r="J56" s="19"/>
      <c r="K56" s="19"/>
      <c r="L56" s="19"/>
      <c r="M56" s="19"/>
      <c r="N56" s="19"/>
      <c r="O56" s="160">
        <f ca="1">O55/60/60*360/24</f>
        <v>165.408456222713</v>
      </c>
      <c r="P56" s="19"/>
      <c r="Q56" s="19"/>
      <c r="R56" s="19"/>
      <c r="S56" s="19"/>
      <c r="T56" s="161"/>
      <c r="U56" s="19"/>
      <c r="V56" s="19"/>
    </row>
    <row r="57" spans="2:23">
      <c r="B57" s="149">
        <f ca="1">V54</f>
        <v>2460001.5272056917</v>
      </c>
      <c r="C57" s="151">
        <f ca="1">(B57-2451545)/36525</f>
        <v>0.23152709666506976</v>
      </c>
      <c r="D57">
        <f ca="1">218.32+481267.8813*C57+6.29*SIN(RADIANS(134.9+477198.85*C57))-1.27*SIN(RADIANS(259.2-413335.38*C57))+0.66*SIN(RADIANS(235.7+890534.23*C57))+0.21*SIN(RADIANS(269.9+954397.7*C57))-0.19*SIN(RADIANS(357.5+35999.05*C57))-0.11*SIN(RADIANS(186.6+966404.05*C57))</f>
        <v>111652.07330909061</v>
      </c>
      <c r="E57">
        <f ca="1">5.13*SIN(RADIANS(93.3+483202.03*C57))+0.28*SIN(RADIANS(228.2+960400.87*C57))-0.28*SIN(RADIANS(318.3+6003.18*C57))-0.17*SIN(RADIANS(217.6-407332.2*C57))</f>
        <v>1.3602752221632397</v>
      </c>
      <c r="F57">
        <f ca="1">23.439291-0.0130042*C57</f>
        <v>23.43628017532955</v>
      </c>
      <c r="G57">
        <f ca="1">RADIANS(D57)</f>
        <v>1948.6962959217117</v>
      </c>
      <c r="H57">
        <f ca="1">RADIANS(E57)</f>
        <v>2.3741281360045875E-2</v>
      </c>
      <c r="I57">
        <f ca="1">RADIANS(F57)</f>
        <v>0.40904025347937456</v>
      </c>
      <c r="J57" s="135">
        <f ca="1">COS(H57)*COS(G57)</f>
        <v>0.61447950782708227</v>
      </c>
      <c r="K57" s="135">
        <f ca="1">COS(I57)*COS(H57)*SIN(G57)-SIN(I57)*SIN(H57)</f>
        <v>0.71407869344605668</v>
      </c>
      <c r="L57" s="135">
        <f ca="1">SIN(I57)*COS(H57)*SIN(G57)+COS(I57)*SIN(H57)</f>
        <v>0.3354199666492137</v>
      </c>
      <c r="M57">
        <f ca="1">ATAN2(J57,K57)</f>
        <v>0.86022606606513374</v>
      </c>
      <c r="N57">
        <f ca="1">ASIN(L57)</f>
        <v>0.34205098669774542</v>
      </c>
      <c r="O57">
        <f ca="1">67310.54841+(876600*60*60+8640184.812866)*C57+0.093104*C57^2-0.0000062*C57^3</f>
        <v>732711698.02953386</v>
      </c>
      <c r="P57" s="157">
        <f ca="1">O59-M58</f>
        <v>116.12113337842202</v>
      </c>
      <c r="Q57" s="1">
        <f ca="1">P57</f>
        <v>116.12113337842202</v>
      </c>
      <c r="R57" s="157">
        <f ca="1">IF((P57-P54)/U54&lt;0,(P57-P54)/U54+360/U54,(P57-P54)/U54)</f>
        <v>512.87965429490998</v>
      </c>
      <c r="S57" s="158">
        <f ca="1">(0.00233-SIN(N57)*SIN($J$2))/(COS(N57)*COS($J$2))</f>
        <v>-0.44027037387975343</v>
      </c>
      <c r="T57" s="157">
        <f ca="1">180/PI()*ACOS(S57)</f>
        <v>116.12113332409474</v>
      </c>
      <c r="U57">
        <f ca="1">IF((T57-Q57)/R57&lt;-0.5,(T57-Q57)/R57+360/R57,(T57-Q57)/R57)</f>
        <v>-1.0592596702111555E-10</v>
      </c>
      <c r="V57" s="159">
        <f ca="1">B57+U58/24</f>
        <v>2460001.5272056917</v>
      </c>
      <c r="W57">
        <f ca="1">IF(ISNUMBER(V57),V57,W54)</f>
        <v>2460001.5272056917</v>
      </c>
    </row>
    <row r="58" spans="2:23">
      <c r="D58">
        <f ca="1">MOD(D57,360)</f>
        <v>52.073309090614202</v>
      </c>
      <c r="E58">
        <f ca="1">MOD(E57,360)</f>
        <v>1.3602752221632397</v>
      </c>
      <c r="M58" s="149">
        <f ca="1">DEGREES(M57)</f>
        <v>49.287323012674094</v>
      </c>
      <c r="N58" s="149">
        <f ca="1">DEGREES(N57)</f>
        <v>19.598077916066277</v>
      </c>
      <c r="O58">
        <f ca="1">MOD(O57,86400)</f>
        <v>39698.029533863068</v>
      </c>
      <c r="U58">
        <f ca="1">U57*24</f>
        <v>-2.5422232085067731E-9</v>
      </c>
    </row>
    <row r="59" spans="2:23">
      <c r="B59" s="19"/>
      <c r="C59" s="19"/>
      <c r="D59" s="150">
        <f ca="1">D58-360</f>
        <v>-307.9266909093858</v>
      </c>
      <c r="E59" s="150">
        <f ca="1">E58-360</f>
        <v>-358.63972477783676</v>
      </c>
      <c r="F59" s="19"/>
      <c r="G59" s="19"/>
      <c r="H59" s="19"/>
      <c r="I59" s="19"/>
      <c r="J59" s="19"/>
      <c r="K59" s="19"/>
      <c r="L59" s="19"/>
      <c r="M59" s="19"/>
      <c r="N59" s="19"/>
      <c r="O59" s="160">
        <f ca="1">O58/60/60*360/24</f>
        <v>165.40845639109611</v>
      </c>
      <c r="P59" s="19"/>
      <c r="Q59" s="19"/>
      <c r="R59" s="19"/>
      <c r="S59" s="19"/>
      <c r="T59" s="161"/>
      <c r="U59" s="19"/>
      <c r="V59" s="19"/>
    </row>
    <row r="60" spans="2:23">
      <c r="B60" s="149">
        <f ca="1">V57</f>
        <v>2460001.5272056917</v>
      </c>
      <c r="C60" s="151">
        <f ca="1">(B60-2451545)/36525</f>
        <v>0.23152709666506976</v>
      </c>
      <c r="D60">
        <f ca="1">218.32+481267.8813*C60+6.29*SIN(RADIANS(134.9+477198.85*C60))-1.27*SIN(RADIANS(259.2-413335.38*C60))+0.66*SIN(RADIANS(235.7+890534.23*C60))+0.21*SIN(RADIANS(269.9+954397.7*C60))-0.19*SIN(RADIANS(357.5+35999.05*C60))-0.11*SIN(RADIANS(186.6+966404.05*C60))</f>
        <v>111652.07330909061</v>
      </c>
      <c r="E60">
        <f ca="1">5.13*SIN(RADIANS(93.3+483202.03*C60))+0.28*SIN(RADIANS(228.2+960400.87*C60))-0.28*SIN(RADIANS(318.3+6003.18*C60))-0.17*SIN(RADIANS(217.6-407332.2*C60))</f>
        <v>1.3602752221632397</v>
      </c>
      <c r="F60">
        <f ca="1">23.439291-0.0130042*C60</f>
        <v>23.43628017532955</v>
      </c>
      <c r="G60">
        <f ca="1">RADIANS(D60)</f>
        <v>1948.6962959217117</v>
      </c>
      <c r="H60">
        <f ca="1">RADIANS(E60)</f>
        <v>2.3741281360045875E-2</v>
      </c>
      <c r="I60">
        <f ca="1">RADIANS(F60)</f>
        <v>0.40904025347937456</v>
      </c>
      <c r="J60" s="135">
        <f ca="1">COS(H60)*COS(G60)</f>
        <v>0.61447950782708227</v>
      </c>
      <c r="K60" s="135">
        <f ca="1">COS(I60)*COS(H60)*SIN(G60)-SIN(I60)*SIN(H60)</f>
        <v>0.71407869344605668</v>
      </c>
      <c r="L60" s="135">
        <f ca="1">SIN(I60)*COS(H60)*SIN(G60)+COS(I60)*SIN(H60)</f>
        <v>0.3354199666492137</v>
      </c>
      <c r="M60">
        <f ca="1">ATAN2(J60,K60)</f>
        <v>0.86022606606513374</v>
      </c>
      <c r="N60">
        <f ca="1">ASIN(L60)</f>
        <v>0.34205098669774542</v>
      </c>
      <c r="O60">
        <f ca="1">67310.54841+(876600*60*60+8640184.812866)*C60+0.093104*C60^2-0.0000062*C60^3</f>
        <v>732711698.02953386</v>
      </c>
      <c r="P60" s="157">
        <f ca="1">O62-M61</f>
        <v>116.12113337842202</v>
      </c>
      <c r="Q60" s="1">
        <f ca="1">P60</f>
        <v>116.12113337842202</v>
      </c>
      <c r="R60" s="157">
        <f ca="1">IF((P60-P57)/U57&lt;0,(P60-P57)/U57+360/U57,(P60-P57)/U57)</f>
        <v>0</v>
      </c>
      <c r="S60" s="158">
        <f ca="1">(0.00233-SIN(N60)*SIN($J$2))/(COS(N60)*COS($J$2))</f>
        <v>-0.44027037387975343</v>
      </c>
      <c r="T60" s="157">
        <f ca="1">180/PI()*ACOS(S60)</f>
        <v>116.12113332409474</v>
      </c>
      <c r="U60" t="e">
        <f ca="1">IF((T60-Q60)/R60&lt;-0.5,(T60-Q60)/R60+360/R60,(T60-Q60)/R60)</f>
        <v>#DIV/0!</v>
      </c>
      <c r="V60" s="159">
        <f ca="1">IF(ISNUMBER(B60+U61/24),B60+U61/24,V57)</f>
        <v>2460001.5272056917</v>
      </c>
      <c r="W60">
        <f ca="1">IF(ISNUMBER(V60),V60,W57)</f>
        <v>2460001.5272056917</v>
      </c>
    </row>
    <row r="61" spans="2:23">
      <c r="D61">
        <f ca="1">MOD(D60,360)</f>
        <v>52.073309090614202</v>
      </c>
      <c r="E61">
        <f ca="1">MOD(E60,360)</f>
        <v>1.3602752221632397</v>
      </c>
      <c r="M61" s="149">
        <f ca="1">DEGREES(M60)</f>
        <v>49.287323012674094</v>
      </c>
      <c r="N61" s="149">
        <f ca="1">DEGREES(N60)</f>
        <v>19.598077916066277</v>
      </c>
      <c r="O61">
        <f ca="1">MOD(O60,86400)</f>
        <v>39698.029533863068</v>
      </c>
      <c r="U61" t="e">
        <f ca="1">U60*24</f>
        <v>#DIV/0!</v>
      </c>
    </row>
    <row r="62" spans="2:23">
      <c r="B62" s="19"/>
      <c r="C62" s="19"/>
      <c r="D62" s="150">
        <f ca="1">D61-360</f>
        <v>-307.9266909093858</v>
      </c>
      <c r="E62" s="150">
        <f ca="1">E61-360</f>
        <v>-358.63972477783676</v>
      </c>
      <c r="F62" s="19"/>
      <c r="G62" s="19"/>
      <c r="H62" s="19"/>
      <c r="I62" s="19"/>
      <c r="J62" s="19"/>
      <c r="K62" s="19"/>
      <c r="L62" s="19"/>
      <c r="M62" s="19"/>
      <c r="N62" s="19"/>
      <c r="O62" s="160">
        <f ca="1">O61/60/60*360/24</f>
        <v>165.40845639109611</v>
      </c>
      <c r="P62" s="19"/>
      <c r="Q62" s="19"/>
      <c r="R62" s="19"/>
      <c r="S62" s="19"/>
      <c r="T62" s="161"/>
      <c r="U62" s="19"/>
      <c r="V62" s="19"/>
    </row>
    <row r="63" spans="2:23">
      <c r="B63" s="149">
        <f ca="1">V60</f>
        <v>2460001.5272056917</v>
      </c>
      <c r="C63" s="151">
        <f ca="1">(B63-2451545)/36525</f>
        <v>0.23152709666506976</v>
      </c>
      <c r="D63">
        <f ca="1">218.32+481267.8813*C63+6.29*SIN(RADIANS(134.9+477198.85*C63))-1.27*SIN(RADIANS(259.2-413335.38*C63))+0.66*SIN(RADIANS(235.7+890534.23*C63))+0.21*SIN(RADIANS(269.9+954397.7*C63))-0.19*SIN(RADIANS(357.5+35999.05*C63))-0.11*SIN(RADIANS(186.6+966404.05*C63))</f>
        <v>111652.07330909061</v>
      </c>
      <c r="E63">
        <f ca="1">5.13*SIN(RADIANS(93.3+483202.03*C63))+0.28*SIN(RADIANS(228.2+960400.87*C63))-0.28*SIN(RADIANS(318.3+6003.18*C63))-0.17*SIN(RADIANS(217.6-407332.2*C63))</f>
        <v>1.3602752221632397</v>
      </c>
      <c r="F63">
        <f ca="1">23.439291-0.0130042*C63</f>
        <v>23.43628017532955</v>
      </c>
      <c r="G63">
        <f ca="1">RADIANS(D63)</f>
        <v>1948.6962959217117</v>
      </c>
      <c r="H63">
        <f ca="1">RADIANS(E63)</f>
        <v>2.3741281360045875E-2</v>
      </c>
      <c r="I63">
        <f ca="1">RADIANS(F63)</f>
        <v>0.40904025347937456</v>
      </c>
      <c r="J63" s="135">
        <f ca="1">COS(H63)*COS(G63)</f>
        <v>0.61447950782708227</v>
      </c>
      <c r="K63" s="135">
        <f ca="1">COS(I63)*COS(H63)*SIN(G63)-SIN(I63)*SIN(H63)</f>
        <v>0.71407869344605668</v>
      </c>
      <c r="L63" s="135">
        <f ca="1">SIN(I63)*COS(H63)*SIN(G63)+COS(I63)*SIN(H63)</f>
        <v>0.3354199666492137</v>
      </c>
      <c r="M63">
        <f ca="1">ATAN2(J63,K63)</f>
        <v>0.86022606606513374</v>
      </c>
      <c r="N63">
        <f ca="1">ASIN(L63)</f>
        <v>0.34205098669774542</v>
      </c>
      <c r="O63">
        <f ca="1">67310.54841+(876600*60*60+8640184.812866)*C63+0.093104*C63^2-0.0000062*C63^3</f>
        <v>732711698.02953386</v>
      </c>
      <c r="P63" s="157">
        <f ca="1">O65-M64</f>
        <v>116.12113337842202</v>
      </c>
      <c r="Q63" s="1">
        <f ca="1">P63</f>
        <v>116.12113337842202</v>
      </c>
      <c r="R63" s="157" t="e">
        <f ca="1">IF((P63-P60)/U60&lt;0,(P63-P60)/U60+360/U60,(P63-P60)/U60)</f>
        <v>#DIV/0!</v>
      </c>
      <c r="S63" s="158">
        <f ca="1">(0.00233-SIN(N63)*SIN($J$2))/(COS(N63)*COS($J$2))</f>
        <v>-0.44027037387975343</v>
      </c>
      <c r="T63" s="157">
        <f ca="1">180/PI()*ACOS(S63)</f>
        <v>116.12113332409474</v>
      </c>
      <c r="U63" t="e">
        <f ca="1">IF((T63-Q63)/R63&lt;-0.5,(T63-Q63)/R63+360/R63,(T63-Q63)/R63)</f>
        <v>#DIV/0!</v>
      </c>
      <c r="V63" s="159">
        <f ca="1">IF(ISNUMBER(B63+U64/24),B63+U64/24,V60)</f>
        <v>2460001.5272056917</v>
      </c>
      <c r="W63">
        <f ca="1">IF(ISNUMBER(V63),V63,W60)</f>
        <v>2460001.5272056917</v>
      </c>
    </row>
    <row r="64" spans="2:23">
      <c r="D64">
        <f ca="1">MOD(D63,360)</f>
        <v>52.073309090614202</v>
      </c>
      <c r="E64">
        <f ca="1">MOD(E63,360)</f>
        <v>1.3602752221632397</v>
      </c>
      <c r="M64" s="149">
        <f ca="1">DEGREES(M63)</f>
        <v>49.287323012674094</v>
      </c>
      <c r="N64" s="149">
        <f ca="1">DEGREES(N63)</f>
        <v>19.598077916066277</v>
      </c>
      <c r="O64">
        <f ca="1">MOD(O63,86400)</f>
        <v>39698.029533863068</v>
      </c>
      <c r="U64" t="e">
        <f ca="1">U63*24</f>
        <v>#DIV/0!</v>
      </c>
    </row>
    <row r="65" spans="2:22">
      <c r="B65" s="19"/>
      <c r="C65" s="19"/>
      <c r="D65" s="150">
        <f ca="1">D64-360</f>
        <v>-307.9266909093858</v>
      </c>
      <c r="E65" s="150">
        <f ca="1">E64-360</f>
        <v>-358.63972477783676</v>
      </c>
      <c r="F65" s="19"/>
      <c r="G65" s="19"/>
      <c r="H65" s="19"/>
      <c r="I65" s="19"/>
      <c r="J65" s="19"/>
      <c r="K65" s="19"/>
      <c r="L65" s="19"/>
      <c r="M65" s="19"/>
      <c r="N65" s="19"/>
      <c r="O65" s="160">
        <f ca="1">O64/60/60*360/24</f>
        <v>165.40845639109611</v>
      </c>
      <c r="P65" s="19"/>
      <c r="Q65" s="19"/>
      <c r="R65" s="19"/>
      <c r="S65" s="19"/>
      <c r="T65" s="161"/>
      <c r="U65" s="19"/>
      <c r="V65" s="19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CCD57-72EE-49F3-A9CF-92B73011F44B}">
  <dimension ref="B2:BD104"/>
  <sheetViews>
    <sheetView workbookViewId="0">
      <selection activeCell="L55" sqref="L55"/>
    </sheetView>
  </sheetViews>
  <sheetFormatPr defaultRowHeight="15"/>
  <cols>
    <col min="1" max="1" width="4.42578125" customWidth="1"/>
    <col min="2" max="2" width="31.7109375" customWidth="1"/>
    <col min="3" max="8" width="14.85546875" customWidth="1"/>
    <col min="9" max="9" width="45.140625" customWidth="1"/>
    <col min="10" max="10" width="16.85546875" customWidth="1"/>
    <col min="11" max="13" width="11.5703125" customWidth="1"/>
    <col min="14" max="15" width="5" customWidth="1"/>
    <col min="16" max="16" width="33.28515625" customWidth="1"/>
    <col min="17" max="17" width="12.85546875" customWidth="1"/>
    <col min="21" max="21" width="7.28515625" bestFit="1" customWidth="1"/>
    <col min="22" max="22" width="3.5703125" customWidth="1"/>
    <col min="23" max="23" width="38.28515625" customWidth="1"/>
    <col min="24" max="24" width="12.85546875" customWidth="1"/>
    <col min="29" max="29" width="4.28515625" customWidth="1"/>
    <col min="30" max="30" width="38.28515625" customWidth="1"/>
    <col min="31" max="31" width="12.85546875" customWidth="1"/>
    <col min="36" max="36" width="4.28515625" customWidth="1"/>
    <col min="37" max="37" width="46.28515625" bestFit="1" customWidth="1"/>
    <col min="38" max="38" width="11.7109375" customWidth="1"/>
    <col min="43" max="43" width="5.85546875" customWidth="1"/>
    <col min="44" max="44" width="46.28515625" bestFit="1" customWidth="1"/>
    <col min="45" max="45" width="10.5703125" customWidth="1"/>
    <col min="47" max="47" width="12.7109375" bestFit="1" customWidth="1"/>
    <col min="50" max="50" width="4.7109375" customWidth="1"/>
    <col min="51" max="51" width="46.28515625" bestFit="1" customWidth="1"/>
    <col min="52" max="52" width="10.5703125" customWidth="1"/>
    <col min="54" max="54" width="12.7109375" bestFit="1" customWidth="1"/>
    <col min="57" max="57" width="5.7109375" customWidth="1"/>
    <col min="58" max="58" width="46.28515625" bestFit="1" customWidth="1"/>
    <col min="59" max="59" width="10.5703125" customWidth="1"/>
    <col min="61" max="61" width="12.7109375" bestFit="1" customWidth="1"/>
  </cols>
  <sheetData>
    <row r="2" spans="2:56" ht="23.25">
      <c r="B2" s="20" t="s">
        <v>324</v>
      </c>
      <c r="AL2" s="7" t="s">
        <v>174</v>
      </c>
    </row>
    <row r="3" spans="2:56">
      <c r="AL3" s="6" t="s">
        <v>215</v>
      </c>
    </row>
    <row r="4" spans="2:56" ht="15.75" thickBot="1">
      <c r="B4" s="17" t="s">
        <v>92</v>
      </c>
      <c r="AL4" t="s">
        <v>318</v>
      </c>
    </row>
    <row r="5" spans="2:56">
      <c r="B5" s="69">
        <f ca="1">TimeScales!$M$17</f>
        <v>8457</v>
      </c>
      <c r="C5" s="203" t="s">
        <v>303</v>
      </c>
      <c r="D5" s="204" t="s">
        <v>304</v>
      </c>
      <c r="E5" s="204" t="s">
        <v>305</v>
      </c>
      <c r="F5" s="204" t="s">
        <v>306</v>
      </c>
      <c r="G5" s="204" t="s">
        <v>307</v>
      </c>
      <c r="H5" s="204" t="s">
        <v>308</v>
      </c>
      <c r="I5" s="205" t="s">
        <v>309</v>
      </c>
      <c r="J5" s="199" t="s">
        <v>322</v>
      </c>
      <c r="AL5" t="s">
        <v>319</v>
      </c>
    </row>
    <row r="6" spans="2:56">
      <c r="B6" s="189" t="s">
        <v>310</v>
      </c>
      <c r="C6" s="206">
        <f ca="1">48.3313+0.0000324587*B5</f>
        <v>48.605803225899997</v>
      </c>
      <c r="D6" s="149">
        <f ca="1">76.6799+0.000024659*B5</f>
        <v>76.88844116300001</v>
      </c>
      <c r="E6" s="149">
        <f ca="1">49.5574+0.0000211081*B5</f>
        <v>49.735911201699999</v>
      </c>
      <c r="F6" s="149">
        <f ca="1">100.4542+0.0000276854*B5</f>
        <v>100.6883354278</v>
      </c>
      <c r="G6" s="149">
        <f ca="1">113.6634+0.000023898*B5</f>
        <v>113.865505386</v>
      </c>
      <c r="H6" s="149">
        <f ca="1">74.0005+0.000013978*B5</f>
        <v>74.118711946000005</v>
      </c>
      <c r="I6" s="207">
        <f ca="1">131.7806+0.000030173*B5</f>
        <v>132.03577306099999</v>
      </c>
      <c r="J6" s="149">
        <v>0</v>
      </c>
      <c r="AL6" t="s">
        <v>327</v>
      </c>
    </row>
    <row r="7" spans="2:56">
      <c r="B7" s="190" t="s">
        <v>311</v>
      </c>
      <c r="C7" s="206">
        <f ca="1">7.0047+0.00000005*B5</f>
        <v>7.0051228499999993</v>
      </c>
      <c r="D7" s="149">
        <f ca="1">3.3946+0.0000000275*B5</f>
        <v>3.3948325675</v>
      </c>
      <c r="E7" s="149">
        <f ca="1">1.8497-0.0000000178*B5</f>
        <v>1.8495494654</v>
      </c>
      <c r="F7" s="149">
        <f ca="1">1.303-0.0000001557*B5</f>
        <v>1.3016832451</v>
      </c>
      <c r="G7" s="149">
        <f ca="1">2.4886-0.0000001081*B5</f>
        <v>2.4876857982999998</v>
      </c>
      <c r="H7" s="149">
        <f ca="1">0.7733+0.000000019*B5</f>
        <v>0.77346068300000004</v>
      </c>
      <c r="I7" s="207">
        <f ca="1">1.77-0.000000255*B5</f>
        <v>1.7678434650000001</v>
      </c>
      <c r="J7" s="149">
        <v>0</v>
      </c>
    </row>
    <row r="8" spans="2:56">
      <c r="B8" s="191" t="s">
        <v>312</v>
      </c>
      <c r="C8" s="206">
        <f ca="1">29.1241+0.0000101444*B5</f>
        <v>29.209891190799997</v>
      </c>
      <c r="D8" s="149">
        <f ca="1">54.891+0.0000138374*B5</f>
        <v>55.008022891799996</v>
      </c>
      <c r="E8" s="149">
        <f ca="1">286.5016+0.0000292961*B5</f>
        <v>286.74935711770001</v>
      </c>
      <c r="F8" s="149">
        <f ca="1">273.8777+0.0000164505*B5</f>
        <v>274.01682187850002</v>
      </c>
      <c r="G8" s="149">
        <f ca="1">339.3939+0.0000297661*B5</f>
        <v>339.64563190769996</v>
      </c>
      <c r="H8" s="149">
        <f ca="1">96.6612+0.000030565*B5</f>
        <v>96.919688205</v>
      </c>
      <c r="I8" s="207">
        <f ca="1">272.8461-0.000006027*B5</f>
        <v>272.79512966099998</v>
      </c>
      <c r="J8" s="149">
        <f ca="1">282.9404+0.0000470935*B5</f>
        <v>283.3386697295</v>
      </c>
    </row>
    <row r="9" spans="2:56">
      <c r="B9" s="192" t="s">
        <v>313</v>
      </c>
      <c r="C9" s="208">
        <v>0.387098</v>
      </c>
      <c r="D9" s="135">
        <v>0.72333000000000003</v>
      </c>
      <c r="E9" s="135">
        <v>1.5236879999999999</v>
      </c>
      <c r="F9" s="135">
        <v>5.2025600000000001</v>
      </c>
      <c r="G9" s="135">
        <v>9.5547500000000003</v>
      </c>
      <c r="H9" s="135">
        <f ca="1">19.18171-0.0000000155*B5</f>
        <v>19.181578916499998</v>
      </c>
      <c r="I9" s="209">
        <f ca="1">30.05826+0.00000003313*B5</f>
        <v>30.058540180410002</v>
      </c>
      <c r="J9" s="135">
        <v>1</v>
      </c>
    </row>
    <row r="10" spans="2:56">
      <c r="B10" s="193" t="s">
        <v>314</v>
      </c>
      <c r="C10" s="208">
        <f ca="1">0.205635+0.000000000559*B5</f>
        <v>0.20563972746300002</v>
      </c>
      <c r="D10" s="135">
        <f ca="1">0.006773-0.000000001302*B5</f>
        <v>6.7619889860000004E-3</v>
      </c>
      <c r="E10" s="135">
        <f ca="1">0.093405+0.000000002516*B5</f>
        <v>9.3426277811999997E-2</v>
      </c>
      <c r="F10" s="135">
        <f ca="1">0.048498+0.000000004469*B5</f>
        <v>4.8535794333000003E-2</v>
      </c>
      <c r="G10" s="135">
        <f ca="1">0.055546-0.000000009499*B5</f>
        <v>5.5465666956999997E-2</v>
      </c>
      <c r="H10" s="135">
        <f ca="1">0.047318+0.00000000745*B5</f>
        <v>4.7381004649999996E-2</v>
      </c>
      <c r="I10" s="209">
        <f ca="1">0.008606+0.00000000215*B5</f>
        <v>8.6241825500000015E-3</v>
      </c>
      <c r="J10" s="135">
        <f ca="1">0.016709-0.000000001151*B5</f>
        <v>1.6699265993000003E-2</v>
      </c>
    </row>
    <row r="11" spans="2:56" ht="15.75" thickBot="1">
      <c r="B11" s="194" t="s">
        <v>100</v>
      </c>
      <c r="C11" s="210">
        <f ca="1">MOD(168.6562+4.0923344368*B5,360)</f>
        <v>217.52853201759717</v>
      </c>
      <c r="D11" s="211">
        <f ca="1">MOD(48.0052+1.6021302244*B5,360)</f>
        <v>277.22050775079879</v>
      </c>
      <c r="E11" s="211">
        <f ca="1">MOD(18.6021+0.5240207766*B5,360)</f>
        <v>130.24580770620014</v>
      </c>
      <c r="F11" s="211">
        <f ca="1">MOD(19.895+0.0830853001*B5,360)</f>
        <v>2.5473829456999511</v>
      </c>
      <c r="G11" s="211">
        <f ca="1">MOD(316.967+0.0334442282*B5,360)</f>
        <v>239.80483788740003</v>
      </c>
      <c r="H11" s="211">
        <f ca="1">MOD(142.5905+0.011725806*B5,360)</f>
        <v>241.75564134199999</v>
      </c>
      <c r="I11" s="212">
        <f ca="1">MOD(260.2471+0.005995147*B5,360)</f>
        <v>310.94805817899999</v>
      </c>
      <c r="J11" s="149">
        <f ca="1">MOD(356.047+0.9856002585*B5,360)</f>
        <v>51.26838613450127</v>
      </c>
    </row>
    <row r="15" spans="2:56" ht="23.25">
      <c r="B15" s="200" t="s">
        <v>322</v>
      </c>
      <c r="C15" s="17">
        <v>8</v>
      </c>
      <c r="I15" s="213" t="s">
        <v>303</v>
      </c>
      <c r="J15">
        <v>1</v>
      </c>
      <c r="P15" s="213" t="s">
        <v>304</v>
      </c>
      <c r="Q15">
        <v>2</v>
      </c>
      <c r="W15" s="213" t="s">
        <v>305</v>
      </c>
      <c r="X15">
        <v>3</v>
      </c>
      <c r="AD15" s="213" t="s">
        <v>306</v>
      </c>
      <c r="AE15">
        <v>4</v>
      </c>
      <c r="AK15" s="213" t="s">
        <v>307</v>
      </c>
      <c r="AL15">
        <v>5</v>
      </c>
      <c r="AR15" s="213" t="s">
        <v>308</v>
      </c>
      <c r="AS15">
        <v>6</v>
      </c>
      <c r="AY15" s="213" t="s">
        <v>309</v>
      </c>
      <c r="AZ15">
        <v>7</v>
      </c>
    </row>
    <row r="16" spans="2:56">
      <c r="C16" s="141"/>
      <c r="G16" s="108"/>
      <c r="J16" s="141"/>
      <c r="N16" s="108"/>
      <c r="Q16" s="141"/>
      <c r="U16" s="108"/>
      <c r="X16" s="141"/>
      <c r="AB16" s="108"/>
      <c r="AE16" s="141"/>
      <c r="AI16" s="108"/>
      <c r="AL16" s="141"/>
      <c r="AP16" s="108"/>
      <c r="AS16" s="141"/>
      <c r="AW16" s="108"/>
      <c r="AZ16" s="141"/>
      <c r="BD16" s="108"/>
    </row>
    <row r="17" spans="2:56">
      <c r="B17" t="s">
        <v>92</v>
      </c>
      <c r="C17" s="168">
        <f ca="1">TimeScales!$M$17</f>
        <v>8457</v>
      </c>
      <c r="D17" t="s">
        <v>99</v>
      </c>
      <c r="G17" s="108"/>
      <c r="I17" t="s">
        <v>92</v>
      </c>
      <c r="J17" s="168">
        <f ca="1">TimeScales!$M$17</f>
        <v>8457</v>
      </c>
      <c r="K17" t="s">
        <v>99</v>
      </c>
      <c r="N17" s="108"/>
      <c r="P17" t="s">
        <v>92</v>
      </c>
      <c r="Q17" s="168">
        <f ca="1">TimeScales!$M$17</f>
        <v>8457</v>
      </c>
      <c r="R17" t="s">
        <v>99</v>
      </c>
      <c r="U17" s="108"/>
      <c r="W17" t="s">
        <v>92</v>
      </c>
      <c r="X17" s="168">
        <f ca="1">TimeScales!$M$17</f>
        <v>8457</v>
      </c>
      <c r="Y17" t="s">
        <v>99</v>
      </c>
      <c r="AB17" s="108"/>
      <c r="AD17" t="s">
        <v>92</v>
      </c>
      <c r="AE17" s="168">
        <f ca="1">TimeScales!$M$17</f>
        <v>8457</v>
      </c>
      <c r="AF17" t="s">
        <v>99</v>
      </c>
      <c r="AI17" s="108"/>
      <c r="AK17" t="s">
        <v>92</v>
      </c>
      <c r="AL17" s="168">
        <f ca="1">TimeScales!$M$17</f>
        <v>8457</v>
      </c>
      <c r="AM17" t="s">
        <v>99</v>
      </c>
      <c r="AP17" s="108"/>
      <c r="AR17" t="s">
        <v>92</v>
      </c>
      <c r="AS17" s="168">
        <f ca="1">TimeScales!$M$17</f>
        <v>8457</v>
      </c>
      <c r="AT17" t="s">
        <v>99</v>
      </c>
      <c r="AW17" s="108"/>
      <c r="AY17" t="s">
        <v>92</v>
      </c>
      <c r="AZ17" s="168">
        <f ca="1">TimeScales!$M$17</f>
        <v>8457</v>
      </c>
      <c r="BA17" t="s">
        <v>99</v>
      </c>
      <c r="BD17" s="108"/>
    </row>
    <row r="18" spans="2:56">
      <c r="C18" s="141"/>
      <c r="G18" s="108"/>
      <c r="J18" s="141"/>
      <c r="N18" s="108"/>
      <c r="Q18" s="141"/>
      <c r="U18" s="108"/>
      <c r="X18" s="141"/>
      <c r="AB18" s="108"/>
      <c r="AE18" s="141"/>
      <c r="AI18" s="108"/>
      <c r="AL18" s="141"/>
      <c r="AP18" s="108"/>
      <c r="AS18" s="141"/>
      <c r="AW18" s="108"/>
      <c r="AZ18" s="141"/>
      <c r="BD18" s="108"/>
    </row>
    <row r="19" spans="2:56">
      <c r="B19" t="s">
        <v>93</v>
      </c>
      <c r="C19" s="168">
        <f ca="1">TimeScales!$M$17</f>
        <v>8457</v>
      </c>
      <c r="D19" t="s">
        <v>99</v>
      </c>
      <c r="G19" s="108"/>
      <c r="I19" t="s">
        <v>93</v>
      </c>
      <c r="J19" s="168">
        <f ca="1">TimeScales!$M$17</f>
        <v>8457</v>
      </c>
      <c r="K19" t="s">
        <v>99</v>
      </c>
      <c r="N19" s="108"/>
      <c r="P19" t="s">
        <v>93</v>
      </c>
      <c r="Q19" s="168">
        <f ca="1">TimeScales!$M$17</f>
        <v>8457</v>
      </c>
      <c r="R19" t="s">
        <v>99</v>
      </c>
      <c r="U19" s="108"/>
      <c r="W19" t="s">
        <v>93</v>
      </c>
      <c r="X19" s="168">
        <f ca="1">TimeScales!$M$17</f>
        <v>8457</v>
      </c>
      <c r="Y19" t="s">
        <v>99</v>
      </c>
      <c r="AB19" s="108"/>
      <c r="AD19" t="s">
        <v>93</v>
      </c>
      <c r="AE19" s="168">
        <f ca="1">TimeScales!$M$17</f>
        <v>8457</v>
      </c>
      <c r="AF19" t="s">
        <v>99</v>
      </c>
      <c r="AI19" s="108"/>
      <c r="AK19" t="s">
        <v>93</v>
      </c>
      <c r="AL19" s="168">
        <f ca="1">TimeScales!$M$17</f>
        <v>8457</v>
      </c>
      <c r="AM19" t="s">
        <v>99</v>
      </c>
      <c r="AP19" s="108"/>
      <c r="AR19" t="s">
        <v>93</v>
      </c>
      <c r="AS19" s="168">
        <f ca="1">TimeScales!$M$17</f>
        <v>8457</v>
      </c>
      <c r="AT19" t="s">
        <v>99</v>
      </c>
      <c r="AW19" s="108"/>
      <c r="AY19" t="s">
        <v>93</v>
      </c>
      <c r="AZ19" s="168">
        <f ca="1">TimeScales!$M$17</f>
        <v>8457</v>
      </c>
      <c r="BA19" t="s">
        <v>99</v>
      </c>
      <c r="BD19" s="108"/>
    </row>
    <row r="20" spans="2:56">
      <c r="G20" s="108"/>
      <c r="N20" s="108"/>
      <c r="U20" s="108"/>
      <c r="AB20" s="108"/>
      <c r="AI20" s="108"/>
      <c r="AP20" s="108"/>
      <c r="AW20" s="108"/>
      <c r="BD20" s="108"/>
    </row>
    <row r="21" spans="2:56">
      <c r="B21" t="s">
        <v>97</v>
      </c>
      <c r="C21" s="192">
        <f ca="1">OFFSET($B$9,0,$C$15)</f>
        <v>1</v>
      </c>
      <c r="D21" t="s">
        <v>94</v>
      </c>
      <c r="E21" s="65"/>
      <c r="G21" s="108"/>
      <c r="I21" t="s">
        <v>97</v>
      </c>
      <c r="J21" s="192">
        <f ca="1">OFFSET($B$9,0,J15)</f>
        <v>0.387098</v>
      </c>
      <c r="K21" t="s">
        <v>94</v>
      </c>
      <c r="L21" s="65"/>
      <c r="N21" s="108"/>
      <c r="P21" t="s">
        <v>97</v>
      </c>
      <c r="Q21" s="192">
        <f ca="1">OFFSET($B$9,0,Q15)</f>
        <v>0.72333000000000003</v>
      </c>
      <c r="R21" t="s">
        <v>94</v>
      </c>
      <c r="S21" s="65"/>
      <c r="U21" s="108"/>
      <c r="W21" t="s">
        <v>97</v>
      </c>
      <c r="X21" s="192">
        <f ca="1">OFFSET($B$9,0,X15)</f>
        <v>1.5236879999999999</v>
      </c>
      <c r="Y21" t="s">
        <v>94</v>
      </c>
      <c r="Z21" s="65"/>
      <c r="AB21" s="108"/>
      <c r="AD21" t="s">
        <v>97</v>
      </c>
      <c r="AE21" s="192">
        <f ca="1">OFFSET($B$9,0,AE15)</f>
        <v>5.2025600000000001</v>
      </c>
      <c r="AF21" t="s">
        <v>94</v>
      </c>
      <c r="AG21" s="65"/>
      <c r="AI21" s="108"/>
      <c r="AK21" t="s">
        <v>97</v>
      </c>
      <c r="AL21" s="192">
        <f ca="1">OFFSET($B$9,0,AL15)</f>
        <v>9.5547500000000003</v>
      </c>
      <c r="AM21" t="s">
        <v>94</v>
      </c>
      <c r="AN21" s="65"/>
      <c r="AP21" s="108"/>
      <c r="AR21" t="s">
        <v>97</v>
      </c>
      <c r="AS21" s="192">
        <f ca="1">OFFSET($B$9,0,AS15)</f>
        <v>19.181578916499998</v>
      </c>
      <c r="AT21" t="s">
        <v>94</v>
      </c>
      <c r="AU21" s="65"/>
      <c r="AW21" s="108"/>
      <c r="AY21" t="s">
        <v>97</v>
      </c>
      <c r="AZ21" s="192">
        <f ca="1">OFFSET($B$9,0,AZ15)</f>
        <v>30.058540180410002</v>
      </c>
      <c r="BA21" t="s">
        <v>94</v>
      </c>
      <c r="BB21" s="65"/>
      <c r="BD21" s="108"/>
    </row>
    <row r="22" spans="2:56">
      <c r="G22" s="108"/>
      <c r="N22" s="108"/>
      <c r="U22" s="108"/>
      <c r="AB22" s="108"/>
      <c r="AI22" s="108"/>
      <c r="AP22" s="108"/>
      <c r="AW22" s="108"/>
      <c r="BD22" s="108"/>
    </row>
    <row r="23" spans="2:56">
      <c r="B23" t="s">
        <v>202</v>
      </c>
      <c r="C23" s="195">
        <f ca="1">OFFSET($B$10,0,$C$15)</f>
        <v>1.6699265993000003E-2</v>
      </c>
      <c r="E23">
        <f ca="1">MOD(C23,360)*PI()/180</f>
        <v>2.9145717424417037E-4</v>
      </c>
      <c r="F23" t="s">
        <v>103</v>
      </c>
      <c r="G23" s="108"/>
      <c r="I23" t="s">
        <v>202</v>
      </c>
      <c r="J23" s="195">
        <f ca="1">OFFSET($B$10,0,J15)</f>
        <v>0.20563972746300002</v>
      </c>
      <c r="L23">
        <f ca="1">MOD(J23,360)*PI()/180</f>
        <v>3.5890903171331557E-3</v>
      </c>
      <c r="M23" t="s">
        <v>103</v>
      </c>
      <c r="N23" s="108"/>
      <c r="P23" t="s">
        <v>202</v>
      </c>
      <c r="Q23" s="195">
        <f ca="1">OFFSET($B$10,0,Q15)</f>
        <v>6.7619889860000004E-3</v>
      </c>
      <c r="S23">
        <f ca="1">MOD(Q23,360)*PI()/180</f>
        <v>1.1801897178929275E-4</v>
      </c>
      <c r="T23" t="s">
        <v>103</v>
      </c>
      <c r="U23" s="108"/>
      <c r="W23" t="s">
        <v>202</v>
      </c>
      <c r="X23" s="195">
        <f ca="1">OFFSET($B$10,0,X15)</f>
        <v>9.3426277811999997E-2</v>
      </c>
      <c r="Z23">
        <f ca="1">MOD(X23,360)*PI()/180</f>
        <v>1.6305961557023239E-3</v>
      </c>
      <c r="AA23" t="s">
        <v>103</v>
      </c>
      <c r="AB23" s="108"/>
      <c r="AD23" t="s">
        <v>202</v>
      </c>
      <c r="AE23" s="195">
        <f ca="1">OFFSET($B$10,0,AE15)</f>
        <v>4.8535794333000003E-2</v>
      </c>
      <c r="AG23">
        <f ca="1">MOD(AE23,360)*PI()/180</f>
        <v>8.4710941618165508E-4</v>
      </c>
      <c r="AH23" t="s">
        <v>103</v>
      </c>
      <c r="AI23" s="108"/>
      <c r="AK23" t="s">
        <v>202</v>
      </c>
      <c r="AL23" s="195">
        <f ca="1">OFFSET($B$10,0,AL15)</f>
        <v>5.5465666956999997E-2</v>
      </c>
      <c r="AN23">
        <f ca="1">MOD(AL23,360)*PI()/180</f>
        <v>9.6805851021427409E-4</v>
      </c>
      <c r="AO23" t="s">
        <v>103</v>
      </c>
      <c r="AP23" s="108"/>
      <c r="AR23" t="s">
        <v>202</v>
      </c>
      <c r="AS23" s="195">
        <f ca="1">OFFSET($B$10,0,AS15)</f>
        <v>4.7381004649999996E-2</v>
      </c>
      <c r="AU23">
        <f ca="1">MOD(AS23,360)*PI()/180</f>
        <v>8.2695453404524344E-4</v>
      </c>
      <c r="AV23" t="s">
        <v>103</v>
      </c>
      <c r="AW23" s="108"/>
      <c r="AY23" t="s">
        <v>202</v>
      </c>
      <c r="AZ23" s="195">
        <f ca="1">OFFSET($B$10,0,AZ15)</f>
        <v>8.6241825500000015E-3</v>
      </c>
      <c r="BB23">
        <f ca="1">MOD(AZ23,360)*PI()/180</f>
        <v>1.505203807905405E-4</v>
      </c>
      <c r="BC23" t="s">
        <v>103</v>
      </c>
      <c r="BD23" s="108"/>
    </row>
    <row r="24" spans="2:56">
      <c r="G24" s="108"/>
      <c r="N24" s="108"/>
      <c r="U24" s="108"/>
      <c r="AB24" s="108"/>
      <c r="AI24" s="108"/>
      <c r="AP24" s="108"/>
      <c r="AW24" s="108"/>
      <c r="BD24" s="108"/>
    </row>
    <row r="25" spans="2:56">
      <c r="B25" t="s">
        <v>98</v>
      </c>
      <c r="C25" s="149">
        <f ca="1">C21*SQRT(1-C23^2)</f>
        <v>0.99986055753554703</v>
      </c>
      <c r="D25" t="s">
        <v>94</v>
      </c>
      <c r="G25" s="108"/>
      <c r="I25" t="s">
        <v>98</v>
      </c>
      <c r="J25" s="149">
        <f ca="1">J21*SQRT(1-J23^2)</f>
        <v>0.37882485058784604</v>
      </c>
      <c r="K25" t="s">
        <v>94</v>
      </c>
      <c r="N25" s="108"/>
      <c r="P25" t="s">
        <v>98</v>
      </c>
      <c r="Q25" s="149">
        <f ca="1">Q21*SQRT(1-Q23^2)</f>
        <v>0.7233134628614587</v>
      </c>
      <c r="R25" t="s">
        <v>94</v>
      </c>
      <c r="U25" s="108"/>
      <c r="W25" t="s">
        <v>98</v>
      </c>
      <c r="X25" s="149">
        <f ca="1">X21*SQRT(1-X23^2)</f>
        <v>1.5170236937988255</v>
      </c>
      <c r="Y25" t="s">
        <v>94</v>
      </c>
      <c r="AB25" s="108"/>
      <c r="AD25" t="s">
        <v>98</v>
      </c>
      <c r="AE25" s="149">
        <f ca="1">AE21*SQRT(1-AE23^2)</f>
        <v>5.1964284908481941</v>
      </c>
      <c r="AF25" t="s">
        <v>94</v>
      </c>
      <c r="AI25" s="108"/>
      <c r="AK25" t="s">
        <v>98</v>
      </c>
      <c r="AL25" s="149">
        <f ca="1">AL21*SQRT(1-AL23^2)</f>
        <v>9.5400413701779794</v>
      </c>
      <c r="AM25" t="s">
        <v>94</v>
      </c>
      <c r="AP25" s="108"/>
      <c r="AR25" t="s">
        <v>98</v>
      </c>
      <c r="AS25" s="149">
        <f ca="1">AS21*SQRT(1-AS23^2)</f>
        <v>19.160035884015482</v>
      </c>
      <c r="AT25" t="s">
        <v>94</v>
      </c>
      <c r="AW25" s="108"/>
      <c r="AY25" t="s">
        <v>98</v>
      </c>
      <c r="AZ25" s="149">
        <f ca="1">AZ21*SQRT(1-AZ23^2)</f>
        <v>30.057422334746825</v>
      </c>
      <c r="BA25" t="s">
        <v>94</v>
      </c>
      <c r="BD25" s="108"/>
    </row>
    <row r="26" spans="2:56">
      <c r="G26" s="108"/>
      <c r="N26" s="108"/>
      <c r="U26" s="108"/>
      <c r="AB26" s="108"/>
      <c r="AI26" s="108"/>
      <c r="AP26" s="108"/>
      <c r="AW26" s="108"/>
      <c r="BD26" s="108"/>
    </row>
    <row r="27" spans="2:56">
      <c r="B27" t="s">
        <v>100</v>
      </c>
      <c r="C27" s="194">
        <f ca="1">OFFSET($B$11,0,$C$15)</f>
        <v>51.26838613450127</v>
      </c>
      <c r="D27" t="s">
        <v>1</v>
      </c>
      <c r="E27">
        <f ca="1">MOD(C27,360)*PI()/180</f>
        <v>0.89480214023085547</v>
      </c>
      <c r="F27" t="s">
        <v>103</v>
      </c>
      <c r="G27" s="108"/>
      <c r="I27" t="s">
        <v>100</v>
      </c>
      <c r="J27" s="194">
        <f ca="1">OFFSET($B$11,0,J15)</f>
        <v>217.52853201759717</v>
      </c>
      <c r="K27" t="s">
        <v>1</v>
      </c>
      <c r="L27">
        <f ca="1">MOD(J27,360)*PI()/180</f>
        <v>3.7965891007369743</v>
      </c>
      <c r="M27" t="s">
        <v>103</v>
      </c>
      <c r="N27" s="108"/>
      <c r="P27" t="s">
        <v>100</v>
      </c>
      <c r="Q27" s="194">
        <f ca="1">OFFSET($B$11,0,Q15)</f>
        <v>277.22050775079879</v>
      </c>
      <c r="R27" t="s">
        <v>1</v>
      </c>
      <c r="S27">
        <f ca="1">MOD(Q27,360)*PI()/180</f>
        <v>4.8384106143018988</v>
      </c>
      <c r="T27" t="s">
        <v>103</v>
      </c>
      <c r="U27" s="108"/>
      <c r="W27" t="s">
        <v>100</v>
      </c>
      <c r="X27" s="194">
        <f ca="1">OFFSET($B$11,0,X15)</f>
        <v>130.24580770620014</v>
      </c>
      <c r="Y27" t="s">
        <v>1</v>
      </c>
      <c r="Z27">
        <f ca="1">MOD(X27,360)*PI()/180</f>
        <v>2.2732181813925956</v>
      </c>
      <c r="AA27" t="s">
        <v>103</v>
      </c>
      <c r="AB27" s="108"/>
      <c r="AD27" t="s">
        <v>100</v>
      </c>
      <c r="AE27" s="194">
        <f ca="1">OFFSET($B$11,0,AE15)</f>
        <v>2.5473829456999511</v>
      </c>
      <c r="AF27" t="s">
        <v>1</v>
      </c>
      <c r="AG27">
        <f ca="1">MOD(AE27,360)*PI()/180</f>
        <v>4.4460219711616074E-2</v>
      </c>
      <c r="AH27" t="s">
        <v>103</v>
      </c>
      <c r="AI27" s="108"/>
      <c r="AK27" t="s">
        <v>100</v>
      </c>
      <c r="AL27" s="194">
        <f ca="1">OFFSET($B$11,0,AL15)</f>
        <v>239.80483788740003</v>
      </c>
      <c r="AM27" t="s">
        <v>1</v>
      </c>
      <c r="AN27">
        <f ca="1">MOD(AL27,360)*PI()/180</f>
        <v>4.185383983346374</v>
      </c>
      <c r="AO27" t="s">
        <v>103</v>
      </c>
      <c r="AP27" s="108"/>
      <c r="AR27" t="s">
        <v>100</v>
      </c>
      <c r="AS27" s="194">
        <f ca="1">OFFSET($B$11,0,AS15)</f>
        <v>241.75564134199999</v>
      </c>
      <c r="AT27" t="s">
        <v>1</v>
      </c>
      <c r="AU27">
        <f ca="1">MOD(AS27,360)*PI()/180</f>
        <v>4.2194319266884222</v>
      </c>
      <c r="AV27" t="s">
        <v>103</v>
      </c>
      <c r="AW27" s="108"/>
      <c r="AY27" t="s">
        <v>100</v>
      </c>
      <c r="AZ27" s="194">
        <f ca="1">OFFSET($B$11,0,AZ15)</f>
        <v>310.94805817899999</v>
      </c>
      <c r="BA27" t="s">
        <v>1</v>
      </c>
      <c r="BB27">
        <f ca="1">MOD(AZ27,360)*PI()/180</f>
        <v>5.4270674179064331</v>
      </c>
      <c r="BC27" t="s">
        <v>103</v>
      </c>
      <c r="BD27" s="108"/>
    </row>
    <row r="28" spans="2:56">
      <c r="C28" s="149">
        <f ca="1">MOD(C27,360)</f>
        <v>51.26838613450127</v>
      </c>
      <c r="G28" s="108"/>
      <c r="J28" s="149">
        <f ca="1">MOD(J27,360)</f>
        <v>217.52853201759717</v>
      </c>
      <c r="N28" s="108"/>
      <c r="Q28" s="149">
        <f ca="1">MOD(Q27,360)</f>
        <v>277.22050775079879</v>
      </c>
      <c r="U28" s="108"/>
      <c r="X28" s="149">
        <f ca="1">MOD(X27,360)</f>
        <v>130.24580770620014</v>
      </c>
      <c r="AB28" s="108"/>
      <c r="AE28" s="149">
        <f ca="1">MOD(AE27,360)</f>
        <v>2.5473829456999511</v>
      </c>
      <c r="AI28" s="108"/>
      <c r="AL28" s="149">
        <f ca="1">MOD(AL27,360)</f>
        <v>239.80483788740003</v>
      </c>
      <c r="AP28" s="108"/>
      <c r="AS28" s="149">
        <f ca="1">MOD(AS27,360)</f>
        <v>241.75564134199999</v>
      </c>
      <c r="AW28" s="108"/>
      <c r="AZ28" s="149">
        <f ca="1">MOD(AZ27,360)</f>
        <v>310.94805817899999</v>
      </c>
      <c r="BD28" s="108"/>
    </row>
    <row r="29" spans="2:56">
      <c r="B29" t="s">
        <v>101</v>
      </c>
      <c r="E29">
        <f ca="1">E27-(E27-C23*SIN(E27)-E27)/(1-C23*COS(E27))</f>
        <v>0.90796653751326162</v>
      </c>
      <c r="F29" t="s">
        <v>103</v>
      </c>
      <c r="G29" s="108"/>
      <c r="I29" t="s">
        <v>101</v>
      </c>
      <c r="L29">
        <f ca="1">L27-(L27-J23*SIN(L27)-L27)/(1-J23*COS(L27))</f>
        <v>3.6888867235806164</v>
      </c>
      <c r="M29" t="s">
        <v>103</v>
      </c>
      <c r="N29" s="108"/>
      <c r="P29" t="s">
        <v>101</v>
      </c>
      <c r="S29">
        <f ca="1">S27-(S27-Q23*SIN(S27)-S27)/(1-Q23*COS(S27))</f>
        <v>4.8316965430829653</v>
      </c>
      <c r="T29" t="s">
        <v>103</v>
      </c>
      <c r="U29" s="108"/>
      <c r="W29" t="s">
        <v>101</v>
      </c>
      <c r="Z29">
        <f ca="1">Z27-(Z27-X23*SIN(Z27)-Z27)/(1-X23*COS(Z27))</f>
        <v>2.3404693063480333</v>
      </c>
      <c r="AA29" t="s">
        <v>103</v>
      </c>
      <c r="AB29" s="108"/>
      <c r="AD29" t="s">
        <v>101</v>
      </c>
      <c r="AG29">
        <f ca="1">AG27-(AG27-AE23*SIN(AG27)-AG27)/(1-AE23*COS(AG27))</f>
        <v>4.672734912279209E-2</v>
      </c>
      <c r="AH29" t="s">
        <v>103</v>
      </c>
      <c r="AI29" s="108"/>
      <c r="AK29" t="s">
        <v>101</v>
      </c>
      <c r="AN29">
        <f ca="1">AN27-(AN27-AL23*SIN(AN27)-AN27)/(1-AL23*COS(AN27))</f>
        <v>4.138745101108932</v>
      </c>
      <c r="AO29" t="s">
        <v>103</v>
      </c>
      <c r="AP29" s="108"/>
      <c r="AR29" t="s">
        <v>101</v>
      </c>
      <c r="AU29">
        <f ca="1">AU27-(AU27-AS23*SIN(AU27)-AU27)/(1-AS23*COS(AU27))</f>
        <v>4.1786076038728472</v>
      </c>
      <c r="AV29" t="s">
        <v>103</v>
      </c>
      <c r="AW29" s="108"/>
      <c r="AY29" t="s">
        <v>101</v>
      </c>
      <c r="BB29">
        <f ca="1">BB27-(BB27-AZ23*SIN(BB27)-BB27)/(1-AZ23*COS(BB27))</f>
        <v>5.4205165119427949</v>
      </c>
      <c r="BC29" t="s">
        <v>103</v>
      </c>
      <c r="BD29" s="108"/>
    </row>
    <row r="30" spans="2:56" ht="17.25" customHeight="1">
      <c r="B30" t="s">
        <v>102</v>
      </c>
      <c r="E30">
        <f ca="1">E29-(E29-$C$23*SIN(E29)-$E$27)/(1-$C$23*COS(E29))</f>
        <v>0.90796539301046031</v>
      </c>
      <c r="F30" t="s">
        <v>103</v>
      </c>
      <c r="G30" s="108"/>
      <c r="I30" t="s">
        <v>102</v>
      </c>
      <c r="L30">
        <f ca="1">L29-(L29-J23*SIN(L29)-L27)/(1-J23*COS(L29))</f>
        <v>3.689475268501949</v>
      </c>
      <c r="M30" t="s">
        <v>103</v>
      </c>
      <c r="N30" s="108"/>
      <c r="P30" t="s">
        <v>102</v>
      </c>
      <c r="S30">
        <f ca="1">S29-(S29-Q23*SIN(S29)-S27)/(1-Q23*COS(S29))</f>
        <v>4.8316966944494553</v>
      </c>
      <c r="T30" t="s">
        <v>103</v>
      </c>
      <c r="U30" s="108"/>
      <c r="W30" t="s">
        <v>102</v>
      </c>
      <c r="Z30">
        <f ca="1">Z29-(Z29-X23*SIN(Z29)-Z27)/(1-X23*COS(Z29))</f>
        <v>2.3403208217852058</v>
      </c>
      <c r="AA30" t="s">
        <v>103</v>
      </c>
      <c r="AB30" s="108"/>
      <c r="AD30" t="s">
        <v>102</v>
      </c>
      <c r="AG30">
        <f ca="1">AG29-(AG29-AE23*SIN(AG29)-AG27)/(1-AE23*COS(AG29))</f>
        <v>4.672734319747579E-2</v>
      </c>
      <c r="AH30" t="s">
        <v>103</v>
      </c>
      <c r="AI30" s="108"/>
      <c r="AK30" t="s">
        <v>102</v>
      </c>
      <c r="AN30">
        <f ca="1">AN29-(AN29-AL23*SIN(AN29)-AN27)/(1-AL23*COS(AN29))</f>
        <v>4.138795249637826</v>
      </c>
      <c r="AO30" t="s">
        <v>103</v>
      </c>
      <c r="AP30" s="108"/>
      <c r="AR30" t="s">
        <v>102</v>
      </c>
      <c r="AU30">
        <f ca="1">AU29-(AU29-AS23*SIN(AU29)-AU27)/(1-AS23*COS(AU29))</f>
        <v>4.1786413143552759</v>
      </c>
      <c r="AV30" t="s">
        <v>103</v>
      </c>
      <c r="AW30" s="108"/>
      <c r="AY30" t="s">
        <v>102</v>
      </c>
      <c r="BB30">
        <f ca="1">BB29-(BB29-AZ23*SIN(BB29)-BB27)/(1-AZ23*COS(BB29))</f>
        <v>5.42051665276656</v>
      </c>
      <c r="BC30" t="s">
        <v>103</v>
      </c>
      <c r="BD30" s="108"/>
    </row>
    <row r="31" spans="2:56">
      <c r="B31" t="s">
        <v>104</v>
      </c>
      <c r="C31">
        <f ca="1">180/PI()*E31</f>
        <v>52.022584963435968</v>
      </c>
      <c r="E31">
        <f ca="1">E30-(E30-$C$23*SIN(E30)-$E$27)/(1-$C$23*COS(E30))</f>
        <v>0.90796539301045154</v>
      </c>
      <c r="F31" t="s">
        <v>103</v>
      </c>
      <c r="G31" s="108"/>
      <c r="I31" t="s">
        <v>104</v>
      </c>
      <c r="J31">
        <f ca="1">180/PI()*L31</f>
        <v>211.39136240666681</v>
      </c>
      <c r="L31">
        <f ca="1">L30-(L30-J23*SIN(L30)-L27)/(1-J23*COS(L30))</f>
        <v>3.6894752842729002</v>
      </c>
      <c r="M31" t="s">
        <v>103</v>
      </c>
      <c r="N31" s="108"/>
      <c r="P31" t="s">
        <v>104</v>
      </c>
      <c r="Q31">
        <f ca="1">180/PI()*S31</f>
        <v>276.83582847926471</v>
      </c>
      <c r="S31">
        <f ca="1">S30-(S30-Q23*SIN(S30)-S27)/(1-Q23*COS(S30))</f>
        <v>4.8316966944494553</v>
      </c>
      <c r="T31" t="s">
        <v>103</v>
      </c>
      <c r="U31" s="108"/>
      <c r="W31" t="s">
        <v>104</v>
      </c>
      <c r="X31">
        <f ca="1">180/PI()*Z31</f>
        <v>134.09050575508826</v>
      </c>
      <c r="Z31">
        <f ca="1">Z30-(Z30-X23*SIN(Z30)-Z27)/(1-X23*COS(Z30))</f>
        <v>2.3403208210906952</v>
      </c>
      <c r="AA31" t="s">
        <v>103</v>
      </c>
      <c r="AB31" s="108"/>
      <c r="AD31" t="s">
        <v>104</v>
      </c>
      <c r="AE31">
        <f ca="1">180/PI()*AG31</f>
        <v>2.6772795530747002</v>
      </c>
      <c r="AG31">
        <f ca="1">AG30-(AG30-AE23*SIN(AG30)-AG27)/(1-AE23*COS(AG30))</f>
        <v>4.672734319747579E-2</v>
      </c>
      <c r="AH31" t="s">
        <v>103</v>
      </c>
      <c r="AI31" s="108"/>
      <c r="AK31" t="s">
        <v>104</v>
      </c>
      <c r="AL31">
        <f ca="1">180/PI()*AN31</f>
        <v>237.13550007629976</v>
      </c>
      <c r="AN31">
        <f ca="1">AN30-(AN30-AL23*SIN(AN30)-AN27)/(1-AL23*COS(AN30))</f>
        <v>4.1387952496946951</v>
      </c>
      <c r="AO31" t="s">
        <v>103</v>
      </c>
      <c r="AP31" s="108"/>
      <c r="AR31" t="s">
        <v>104</v>
      </c>
      <c r="AS31">
        <f ca="1">180/PI()*AU31</f>
        <v>239.41851141285309</v>
      </c>
      <c r="AU31">
        <f ca="1">AU30-(AU30-AS23*SIN(AU30)-AU27)/(1-AS23*COS(AU30))</f>
        <v>4.1786413143779075</v>
      </c>
      <c r="AV31" t="s">
        <v>103</v>
      </c>
      <c r="AW31" s="108"/>
      <c r="AY31" t="s">
        <v>104</v>
      </c>
      <c r="AZ31">
        <f ca="1">180/PI()*BB31</f>
        <v>310.57272698390386</v>
      </c>
      <c r="BB31">
        <f ca="1">BB30-(BB30-AZ23*SIN(BB30)-BB27)/(1-AZ23*COS(BB30))</f>
        <v>5.42051665276656</v>
      </c>
      <c r="BC31" t="s">
        <v>103</v>
      </c>
      <c r="BD31" s="108"/>
    </row>
    <row r="32" spans="2:56">
      <c r="G32" s="108"/>
      <c r="N32" s="108"/>
      <c r="U32" s="108"/>
      <c r="AB32" s="108"/>
      <c r="AI32" s="108"/>
      <c r="AP32" s="108"/>
      <c r="AW32" s="108"/>
      <c r="BD32" s="108"/>
    </row>
    <row r="33" spans="2:56">
      <c r="B33" t="s">
        <v>315</v>
      </c>
      <c r="C33">
        <f ca="1">C21*(1-C23*COS(E31))</f>
        <v>0.98972409318038446</v>
      </c>
      <c r="D33" t="s">
        <v>94</v>
      </c>
      <c r="G33" s="108"/>
      <c r="I33" t="s">
        <v>315</v>
      </c>
      <c r="J33">
        <f ca="1">J21*(1-J23*COS(L31))</f>
        <v>0.455049222870819</v>
      </c>
      <c r="K33" t="s">
        <v>94</v>
      </c>
      <c r="N33" s="108"/>
      <c r="P33" t="s">
        <v>315</v>
      </c>
      <c r="Q33">
        <f ca="1">Q21*(1-Q23*COS(S31))</f>
        <v>0.72274783156153588</v>
      </c>
      <c r="R33" t="s">
        <v>94</v>
      </c>
      <c r="U33" s="108"/>
      <c r="W33" t="s">
        <v>315</v>
      </c>
      <c r="X33">
        <f ca="1">X21*(1-X23*COS(Z31))</f>
        <v>1.6227359842719631</v>
      </c>
      <c r="Y33" t="s">
        <v>94</v>
      </c>
      <c r="AB33" s="108"/>
      <c r="AD33" t="s">
        <v>315</v>
      </c>
      <c r="AE33">
        <f ca="1">AE21*(1-AE23*COS(AG31))</f>
        <v>4.9503252388946368</v>
      </c>
      <c r="AF33" t="s">
        <v>94</v>
      </c>
      <c r="AI33" s="108"/>
      <c r="AK33" t="s">
        <v>315</v>
      </c>
      <c r="AL33">
        <f ca="1">AL21*(1-AL23*COS(AN31))</f>
        <v>9.8423352944748732</v>
      </c>
      <c r="AM33" t="s">
        <v>94</v>
      </c>
      <c r="AP33" s="108"/>
      <c r="AR33" t="s">
        <v>315</v>
      </c>
      <c r="AS33">
        <f ca="1">AS21*(1-AS23*COS(AU31))</f>
        <v>19.643964612323412</v>
      </c>
      <c r="AT33" t="s">
        <v>94</v>
      </c>
      <c r="AW33" s="108"/>
      <c r="AY33" t="s">
        <v>315</v>
      </c>
      <c r="AZ33">
        <f ca="1">AZ21*(1-AZ23*COS(BB31))</f>
        <v>29.889933469432719</v>
      </c>
      <c r="BA33" t="s">
        <v>94</v>
      </c>
      <c r="BD33" s="108"/>
    </row>
    <row r="34" spans="2:56">
      <c r="G34" s="108"/>
      <c r="N34" s="108"/>
      <c r="U34" s="108"/>
      <c r="AB34" s="108"/>
      <c r="AI34" s="108"/>
      <c r="AP34" s="108"/>
      <c r="AW34" s="108"/>
      <c r="BD34" s="108"/>
    </row>
    <row r="35" spans="2:56">
      <c r="B35" s="50" t="s">
        <v>204</v>
      </c>
      <c r="C35">
        <f ca="1">MOD(180/PI()*E35,360)</f>
        <v>52.780720913627022</v>
      </c>
      <c r="D35" t="s">
        <v>1</v>
      </c>
      <c r="E35">
        <f ca="1">2*ATAN(TAN(E31/2)/SQRT((1-$C$23)/(1+$C$23)))</f>
        <v>0.9211973615190211</v>
      </c>
      <c r="F35" t="s">
        <v>103</v>
      </c>
      <c r="G35" s="108"/>
      <c r="I35" s="50" t="s">
        <v>204</v>
      </c>
      <c r="J35">
        <f ca="1">MOD(180/PI()*L35,360)</f>
        <v>205.69810219958748</v>
      </c>
      <c r="K35" t="s">
        <v>1</v>
      </c>
      <c r="L35">
        <f ca="1">2*ATAN(TAN(L31/2)/SQRT((1-J23)/(1+J23)))</f>
        <v>-2.6930761586929948</v>
      </c>
      <c r="M35" t="s">
        <v>103</v>
      </c>
      <c r="N35" s="108"/>
      <c r="P35" s="50" t="s">
        <v>204</v>
      </c>
      <c r="Q35">
        <f ca="1">MOD(180/PI()*S35,360)</f>
        <v>276.45099138767438</v>
      </c>
      <c r="R35" t="s">
        <v>1</v>
      </c>
      <c r="S35">
        <f ca="1">2*ATAN(TAN(S31/2)/SQRT((1-Q23)/(1+Q23)))</f>
        <v>-1.4582052870621804</v>
      </c>
      <c r="T35" t="s">
        <v>103</v>
      </c>
      <c r="U35" s="108"/>
      <c r="W35" s="50" t="s">
        <v>204</v>
      </c>
      <c r="X35">
        <f ca="1">MOD(180/PI()*Z35,360)</f>
        <v>137.82075998189472</v>
      </c>
      <c r="Y35" t="s">
        <v>1</v>
      </c>
      <c r="Z35">
        <f ca="1">2*ATAN(TAN(Z31/2)/SQRT((1-X23)/(1+X23)))</f>
        <v>2.4054260392849036</v>
      </c>
      <c r="AA35" t="s">
        <v>103</v>
      </c>
      <c r="AB35" s="108"/>
      <c r="AD35" s="50" t="s">
        <v>204</v>
      </c>
      <c r="AE35">
        <f ca="1">MOD(180/PI()*AG35,360)</f>
        <v>2.8104836511099935</v>
      </c>
      <c r="AF35" t="s">
        <v>1</v>
      </c>
      <c r="AG35">
        <f ca="1">2*ATAN(TAN(AG31/2)/SQRT((1-AE23)/(1+AE23)))</f>
        <v>4.9052193285340974E-2</v>
      </c>
      <c r="AH35" t="s">
        <v>103</v>
      </c>
      <c r="AI35" s="108"/>
      <c r="AK35" s="50" t="s">
        <v>204</v>
      </c>
      <c r="AL35">
        <f ca="1">MOD(180/PI()*AN35,360)</f>
        <v>234.50420536162659</v>
      </c>
      <c r="AM35" t="s">
        <v>1</v>
      </c>
      <c r="AN35">
        <f ca="1">2*ATAN(TAN(AN31/2)/SQRT((1-AL23)/(1+AL23)))</f>
        <v>-2.1903148138462623</v>
      </c>
      <c r="AO35" t="s">
        <v>103</v>
      </c>
      <c r="AP35" s="108"/>
      <c r="AR35" s="50" t="s">
        <v>204</v>
      </c>
      <c r="AS35">
        <f ca="1">MOD(180/PI()*AU35,360)</f>
        <v>237.10824610096762</v>
      </c>
      <c r="AT35" t="s">
        <v>1</v>
      </c>
      <c r="AU35">
        <f ca="1">2*ATAN(TAN(AU31/2)/SQRT((1-AS23)/(1+AS23)))</f>
        <v>-2.1448657290886941</v>
      </c>
      <c r="AV35" t="s">
        <v>103</v>
      </c>
      <c r="AW35" s="108"/>
      <c r="AY35" s="50" t="s">
        <v>204</v>
      </c>
      <c r="AZ35">
        <f ca="1">MOD(180/PI()*BB35,360)</f>
        <v>310.19633449471695</v>
      </c>
      <c r="BA35" t="s">
        <v>1</v>
      </c>
      <c r="BB35">
        <f ca="1">2*ATAN(TAN(BB31/2)/SQRT((1-AZ23)/(1+AZ23)))</f>
        <v>-0.8692379426291148</v>
      </c>
      <c r="BC35" t="s">
        <v>103</v>
      </c>
      <c r="BD35" s="108"/>
    </row>
    <row r="36" spans="2:56">
      <c r="G36" s="108"/>
      <c r="N36" s="108"/>
      <c r="U36" s="108"/>
      <c r="AB36" s="108"/>
      <c r="AI36" s="108"/>
      <c r="AP36" s="108"/>
      <c r="AW36" s="108"/>
      <c r="BD36" s="108"/>
    </row>
    <row r="37" spans="2:56">
      <c r="B37" t="s">
        <v>315</v>
      </c>
      <c r="C37">
        <f ca="1">C21*(1-C23*C23)/(1+C23*COS(E35))</f>
        <v>0.98972409318038446</v>
      </c>
      <c r="D37" t="s">
        <v>94</v>
      </c>
      <c r="G37" s="108"/>
      <c r="I37" t="s">
        <v>315</v>
      </c>
      <c r="J37">
        <f ca="1">J21*(1-J23*J23)/(1+J23*COS(L35))</f>
        <v>0.455049222870819</v>
      </c>
      <c r="K37" t="s">
        <v>94</v>
      </c>
      <c r="N37" s="108"/>
      <c r="P37" t="s">
        <v>315</v>
      </c>
      <c r="Q37">
        <f ca="1">Q21*(1-Q23*Q23)/(1+Q23*COS(S35))</f>
        <v>0.72274783156153599</v>
      </c>
      <c r="R37" t="s">
        <v>94</v>
      </c>
      <c r="U37" s="108"/>
      <c r="W37" t="s">
        <v>315</v>
      </c>
      <c r="X37">
        <f ca="1">X21*(1-X23*X23)/(1+X23*COS(Z35))</f>
        <v>1.6227359842719631</v>
      </c>
      <c r="Y37" t="s">
        <v>94</v>
      </c>
      <c r="AB37" s="108"/>
      <c r="AD37" t="s">
        <v>315</v>
      </c>
      <c r="AE37">
        <f ca="1">AE21*(1-AE23*AE23)/(1+AE23*COS(AG35))</f>
        <v>4.9503252388946368</v>
      </c>
      <c r="AF37" t="s">
        <v>94</v>
      </c>
      <c r="AI37" s="108"/>
      <c r="AK37" t="s">
        <v>315</v>
      </c>
      <c r="AL37">
        <f ca="1">AL21*(1-AL23*AL23)/(1+AL23*COS(AN35))</f>
        <v>9.842335294474875</v>
      </c>
      <c r="AM37" t="s">
        <v>94</v>
      </c>
      <c r="AP37" s="108"/>
      <c r="AR37" t="s">
        <v>315</v>
      </c>
      <c r="AS37">
        <f ca="1">AS21*(1-AS23*AS23)/(1+AS23*COS(AU35))</f>
        <v>19.643964612323416</v>
      </c>
      <c r="AT37" t="s">
        <v>94</v>
      </c>
      <c r="AW37" s="108"/>
      <c r="AY37" t="s">
        <v>315</v>
      </c>
      <c r="AZ37">
        <f ca="1">AZ21*(1-AZ23*AZ23)/(1+AZ23*COS(BB35))</f>
        <v>29.889933469432723</v>
      </c>
      <c r="BA37" t="s">
        <v>94</v>
      </c>
      <c r="BD37" s="108"/>
    </row>
    <row r="38" spans="2:56">
      <c r="G38" s="108"/>
      <c r="N38" s="108"/>
      <c r="U38" s="108"/>
      <c r="AB38" s="108"/>
      <c r="AI38" s="108"/>
      <c r="AP38" s="108"/>
      <c r="AW38" s="108"/>
      <c r="BD38" s="108"/>
    </row>
    <row r="39" spans="2:56">
      <c r="B39" t="s">
        <v>203</v>
      </c>
      <c r="C39" s="39">
        <f ca="1">OFFSET($B$8,0,$C$15)</f>
        <v>283.3386697295</v>
      </c>
      <c r="E39">
        <f ca="1">MOD(C39,360)*PI()/180</f>
        <v>4.9451926850005661</v>
      </c>
      <c r="F39" t="s">
        <v>103</v>
      </c>
      <c r="G39" s="108"/>
      <c r="I39" t="s">
        <v>203</v>
      </c>
      <c r="J39" s="39">
        <f ca="1">OFFSET($B$8,0,J15)</f>
        <v>29.209891190799997</v>
      </c>
      <c r="L39">
        <f ca="1">MOD(J39,360)*PI()/180</f>
        <v>0.50980877542874714</v>
      </c>
      <c r="M39" t="s">
        <v>103</v>
      </c>
      <c r="N39" s="108"/>
      <c r="P39" t="s">
        <v>203</v>
      </c>
      <c r="Q39" s="39">
        <f ca="1">OFFSET($B$8,0,Q15)</f>
        <v>55.008022891799996</v>
      </c>
      <c r="S39">
        <f ca="1">MOD(Q39,360)*PI()/180</f>
        <v>0.96007111447432247</v>
      </c>
      <c r="T39" t="s">
        <v>103</v>
      </c>
      <c r="U39" s="108"/>
      <c r="W39" t="s">
        <v>203</v>
      </c>
      <c r="X39" s="39">
        <f ca="1">OFFSET($B$8,0,X15)</f>
        <v>286.74935711770001</v>
      </c>
      <c r="Z39">
        <f ca="1">MOD(X39,360)*PI()/180</f>
        <v>5.0047204096809024</v>
      </c>
      <c r="AA39" t="s">
        <v>103</v>
      </c>
      <c r="AB39" s="108"/>
      <c r="AD39" t="s">
        <v>203</v>
      </c>
      <c r="AE39" s="39">
        <f ca="1">OFFSET($B$8,0,AE15)</f>
        <v>274.01682187850002</v>
      </c>
      <c r="AG39">
        <f ca="1">MOD(AE39,360)*PI()/180</f>
        <v>4.7824957476306587</v>
      </c>
      <c r="AH39" t="s">
        <v>103</v>
      </c>
      <c r="AI39" s="108"/>
      <c r="AK39" t="s">
        <v>203</v>
      </c>
      <c r="AL39" s="39">
        <f ca="1">OFFSET($B$8,0,AL15)</f>
        <v>339.64563190769996</v>
      </c>
      <c r="AN39">
        <f ca="1">MOD(AL39,360)*PI()/180</f>
        <v>5.9279345668060737</v>
      </c>
      <c r="AO39" t="s">
        <v>103</v>
      </c>
      <c r="AP39" s="108"/>
      <c r="AR39" t="s">
        <v>203</v>
      </c>
      <c r="AS39" s="39">
        <f ca="1">OFFSET($B$8,0,AS15)</f>
        <v>96.919688205</v>
      </c>
      <c r="AU39">
        <f ca="1">MOD(AS39,360)*PI()/180</f>
        <v>1.691567669183563</v>
      </c>
      <c r="AV39" t="s">
        <v>103</v>
      </c>
      <c r="AW39" s="108"/>
      <c r="AY39" t="s">
        <v>203</v>
      </c>
      <c r="AZ39" s="39">
        <f ca="1">OFFSET($B$8,0,AZ15)</f>
        <v>272.79512966099998</v>
      </c>
      <c r="BB39">
        <f ca="1">MOD(AZ39,360)*PI()/180</f>
        <v>4.7611731959892927</v>
      </c>
      <c r="BC39" t="s">
        <v>103</v>
      </c>
      <c r="BD39" s="108"/>
    </row>
    <row r="40" spans="2:56">
      <c r="G40" s="108"/>
      <c r="N40" s="108"/>
      <c r="U40" s="108"/>
      <c r="AB40" s="108"/>
      <c r="AI40" s="108"/>
      <c r="AP40" s="108"/>
      <c r="AW40" s="108"/>
      <c r="BD40" s="108"/>
    </row>
    <row r="41" spans="2:56">
      <c r="B41" t="s">
        <v>201</v>
      </c>
      <c r="C41" s="196">
        <f ca="1">OFFSET($B$6,0,$C$15)</f>
        <v>0</v>
      </c>
      <c r="D41" t="s">
        <v>1</v>
      </c>
      <c r="E41">
        <f ca="1">MOD(C41,360)*PI()/180</f>
        <v>0</v>
      </c>
      <c r="F41" t="s">
        <v>103</v>
      </c>
      <c r="G41" s="108"/>
      <c r="I41" t="s">
        <v>201</v>
      </c>
      <c r="J41" s="196">
        <f ca="1">OFFSET($B$6,0,J15)</f>
        <v>48.605803225899997</v>
      </c>
      <c r="K41" t="s">
        <v>1</v>
      </c>
      <c r="L41">
        <f ca="1">MOD(J41,360)*PI()/180</f>
        <v>0.84833130186843608</v>
      </c>
      <c r="M41" t="s">
        <v>103</v>
      </c>
      <c r="N41" s="108"/>
      <c r="P41" t="s">
        <v>201</v>
      </c>
      <c r="Q41" s="196">
        <f ca="1">OFFSET($B$6,0,Q15)</f>
        <v>76.88844116300001</v>
      </c>
      <c r="R41" t="s">
        <v>1</v>
      </c>
      <c r="S41">
        <f ca="1">MOD(Q41,360)*PI()/180</f>
        <v>1.3419564550202883</v>
      </c>
      <c r="T41" t="s">
        <v>103</v>
      </c>
      <c r="U41" s="108"/>
      <c r="W41" t="s">
        <v>201</v>
      </c>
      <c r="X41" s="196">
        <f ca="1">OFFSET($B$6,0,X15)</f>
        <v>49.735911201699999</v>
      </c>
      <c r="Y41" t="s">
        <v>1</v>
      </c>
      <c r="Z41">
        <f ca="1">MOD(X41,360)*PI()/180</f>
        <v>0.86805540694919459</v>
      </c>
      <c r="AA41" t="s">
        <v>103</v>
      </c>
      <c r="AB41" s="108"/>
      <c r="AD41" t="s">
        <v>201</v>
      </c>
      <c r="AE41" s="196">
        <f ca="1">OFFSET($B$6,0,AE15)</f>
        <v>100.6883354278</v>
      </c>
      <c r="AF41" t="s">
        <v>1</v>
      </c>
      <c r="AG41">
        <f ca="1">MOD(AE41,360)*PI()/180</f>
        <v>1.7573429715675633</v>
      </c>
      <c r="AH41" t="s">
        <v>103</v>
      </c>
      <c r="AI41" s="108"/>
      <c r="AK41" t="s">
        <v>201</v>
      </c>
      <c r="AL41" s="196">
        <f ca="1">OFFSET($B$6,0,AL15)</f>
        <v>113.865505386</v>
      </c>
      <c r="AM41" t="s">
        <v>1</v>
      </c>
      <c r="AN41">
        <f ca="1">MOD(AL41,360)*PI()/180</f>
        <v>1.9873279734330367</v>
      </c>
      <c r="AO41" t="s">
        <v>103</v>
      </c>
      <c r="AP41" s="108"/>
      <c r="AR41" t="s">
        <v>201</v>
      </c>
      <c r="AS41" s="196">
        <f ca="1">OFFSET($B$6,0,AS15)</f>
        <v>74.118711946000005</v>
      </c>
      <c r="AT41" t="s">
        <v>1</v>
      </c>
      <c r="AU41">
        <f ca="1">MOD(AS41,360)*PI()/180</f>
        <v>1.2936155607949535</v>
      </c>
      <c r="AV41" t="s">
        <v>103</v>
      </c>
      <c r="AW41" s="108"/>
      <c r="AY41" t="s">
        <v>201</v>
      </c>
      <c r="AZ41" s="196">
        <f ca="1">OFFSET($B$6,0,AZ15)</f>
        <v>132.03577306099999</v>
      </c>
      <c r="BA41" t="s">
        <v>1</v>
      </c>
      <c r="BB41">
        <f ca="1">MOD(AZ41,360)*PI()/180</f>
        <v>2.3044589703304816</v>
      </c>
      <c r="BC41" t="s">
        <v>103</v>
      </c>
      <c r="BD41" s="108"/>
    </row>
    <row r="42" spans="2:56">
      <c r="G42" s="108"/>
      <c r="N42" s="108"/>
      <c r="U42" s="108"/>
      <c r="AB42" s="108"/>
      <c r="AI42" s="108"/>
      <c r="AP42" s="108"/>
      <c r="AW42" s="108"/>
      <c r="BD42" s="108"/>
    </row>
    <row r="43" spans="2:56">
      <c r="B43" t="s">
        <v>200</v>
      </c>
      <c r="C43" s="2">
        <f ca="1">OFFSET($B$7,0,$C$15)</f>
        <v>0</v>
      </c>
      <c r="D43" t="s">
        <v>1</v>
      </c>
      <c r="E43">
        <f ca="1">MOD(C43,360)*PI()/180</f>
        <v>0</v>
      </c>
      <c r="F43" t="s">
        <v>103</v>
      </c>
      <c r="G43" s="108"/>
      <c r="I43" t="s">
        <v>200</v>
      </c>
      <c r="J43" s="2">
        <f ca="1">OFFSET($B$7,0,J15)</f>
        <v>7.0051228499999993</v>
      </c>
      <c r="K43" t="s">
        <v>1</v>
      </c>
      <c r="L43">
        <f ca="1">MOD(J43,360)*PI()/180</f>
        <v>0.12226245823918885</v>
      </c>
      <c r="M43" t="s">
        <v>103</v>
      </c>
      <c r="N43" s="108"/>
      <c r="P43" t="s">
        <v>200</v>
      </c>
      <c r="Q43" s="2">
        <f ca="1">OFFSET($B$7,0,Q15)</f>
        <v>3.3948325675</v>
      </c>
      <c r="R43" t="s">
        <v>1</v>
      </c>
      <c r="S43">
        <f ca="1">MOD(Q43,360)*PI()/180</f>
        <v>5.9251005856807641E-2</v>
      </c>
      <c r="T43" t="s">
        <v>103</v>
      </c>
      <c r="U43" s="108"/>
      <c r="W43" t="s">
        <v>200</v>
      </c>
      <c r="X43" s="2">
        <f ca="1">OFFSET($B$7,0,X15)</f>
        <v>1.8495494654</v>
      </c>
      <c r="Y43" t="s">
        <v>1</v>
      </c>
      <c r="Z43">
        <f ca="1">MOD(X43,360)*PI()/180</f>
        <v>3.2280727849730941E-2</v>
      </c>
      <c r="AA43" t="s">
        <v>103</v>
      </c>
      <c r="AB43" s="108"/>
      <c r="AD43" t="s">
        <v>200</v>
      </c>
      <c r="AE43" s="2">
        <f ca="1">OFFSET($B$7,0,AE15)</f>
        <v>1.3016832451</v>
      </c>
      <c r="AF43" t="s">
        <v>1</v>
      </c>
      <c r="AG43">
        <f ca="1">MOD(AE43,360)*PI()/180</f>
        <v>2.2718658445039341E-2</v>
      </c>
      <c r="AH43" t="s">
        <v>103</v>
      </c>
      <c r="AI43" s="108"/>
      <c r="AK43" t="s">
        <v>200</v>
      </c>
      <c r="AL43" s="2">
        <f ca="1">OFFSET($B$7,0,AL15)</f>
        <v>2.4876857982999998</v>
      </c>
      <c r="AM43" t="s">
        <v>1</v>
      </c>
      <c r="AN43">
        <f ca="1">MOD(AL43,360)*PI()/180</f>
        <v>4.3418307935438549E-2</v>
      </c>
      <c r="AO43" t="s">
        <v>103</v>
      </c>
      <c r="AP43" s="108"/>
      <c r="AR43" t="s">
        <v>200</v>
      </c>
      <c r="AS43" s="2">
        <f ca="1">OFFSET($B$7,0,AS15)</f>
        <v>0.77346068300000004</v>
      </c>
      <c r="AT43" t="s">
        <v>1</v>
      </c>
      <c r="AU43">
        <f ca="1">MOD(AS43,360)*PI()/180</f>
        <v>1.3499435553074132E-2</v>
      </c>
      <c r="AV43" t="s">
        <v>103</v>
      </c>
      <c r="AW43" s="108"/>
      <c r="AY43" t="s">
        <v>200</v>
      </c>
      <c r="AZ43" s="2">
        <f ca="1">OFFSET($B$7,0,AZ15)</f>
        <v>1.7678434650000001</v>
      </c>
      <c r="BA43" t="s">
        <v>1</v>
      </c>
      <c r="BB43">
        <f ca="1">MOD(AZ43,360)*PI()/180</f>
        <v>3.0854689124115136E-2</v>
      </c>
      <c r="BC43" t="s">
        <v>103</v>
      </c>
      <c r="BD43" s="108"/>
    </row>
    <row r="44" spans="2:56">
      <c r="G44" s="108"/>
      <c r="N44" s="108"/>
      <c r="U44" s="108"/>
      <c r="AB44" s="108"/>
      <c r="AI44" s="108"/>
      <c r="AP44" s="108"/>
      <c r="AW44" s="108"/>
      <c r="BD44" s="108"/>
    </row>
    <row r="45" spans="2:56">
      <c r="B45" t="s">
        <v>95</v>
      </c>
      <c r="C45" s="100">
        <f ca="1">RightAscensionDecl!C34</f>
        <v>23.4362803721571</v>
      </c>
      <c r="D45" t="s">
        <v>1</v>
      </c>
      <c r="E45">
        <f ca="1">MOD(C45,360)*PI()/180</f>
        <v>0.40904025691466339</v>
      </c>
      <c r="F45" t="s">
        <v>103</v>
      </c>
      <c r="G45" s="108"/>
      <c r="I45" t="s">
        <v>95</v>
      </c>
      <c r="J45" s="100">
        <f ca="1">RightAscensionDecl!$C$34</f>
        <v>23.4362803721571</v>
      </c>
      <c r="K45" t="s">
        <v>1</v>
      </c>
      <c r="L45">
        <f ca="1">MOD(J45,360)*PI()/180</f>
        <v>0.40904025691466339</v>
      </c>
      <c r="M45" t="s">
        <v>103</v>
      </c>
      <c r="N45" s="108"/>
      <c r="P45" t="s">
        <v>95</v>
      </c>
      <c r="Q45" s="100">
        <f ca="1">RightAscensionDecl!$C$34</f>
        <v>23.4362803721571</v>
      </c>
      <c r="R45" t="s">
        <v>1</v>
      </c>
      <c r="S45">
        <f ca="1">MOD(Q45,360)*PI()/180</f>
        <v>0.40904025691466339</v>
      </c>
      <c r="T45" t="s">
        <v>103</v>
      </c>
      <c r="U45" s="108"/>
      <c r="W45" t="s">
        <v>95</v>
      </c>
      <c r="X45" s="100">
        <f ca="1">RightAscensionDecl!$C$34</f>
        <v>23.4362803721571</v>
      </c>
      <c r="Y45" t="s">
        <v>1</v>
      </c>
      <c r="Z45">
        <f ca="1">MOD(X45,360)*PI()/180</f>
        <v>0.40904025691466339</v>
      </c>
      <c r="AA45" t="s">
        <v>103</v>
      </c>
      <c r="AB45" s="108"/>
      <c r="AD45" t="s">
        <v>95</v>
      </c>
      <c r="AE45" s="100">
        <f ca="1">RightAscensionDecl!$C$34</f>
        <v>23.4362803721571</v>
      </c>
      <c r="AF45" t="s">
        <v>1</v>
      </c>
      <c r="AG45">
        <f ca="1">MOD(AE45,360)*PI()/180</f>
        <v>0.40904025691466339</v>
      </c>
      <c r="AH45" t="s">
        <v>103</v>
      </c>
      <c r="AI45" s="108"/>
      <c r="AK45" t="s">
        <v>95</v>
      </c>
      <c r="AL45" s="100">
        <f ca="1">RightAscensionDecl!$C$34</f>
        <v>23.4362803721571</v>
      </c>
      <c r="AM45" t="s">
        <v>1</v>
      </c>
      <c r="AN45">
        <f ca="1">MOD(AL45,360)*PI()/180</f>
        <v>0.40904025691466339</v>
      </c>
      <c r="AO45" t="s">
        <v>103</v>
      </c>
      <c r="AP45" s="108"/>
      <c r="AR45" t="s">
        <v>95</v>
      </c>
      <c r="AS45" s="100">
        <f ca="1">RightAscensionDecl!$C$34</f>
        <v>23.4362803721571</v>
      </c>
      <c r="AT45" t="s">
        <v>1</v>
      </c>
      <c r="AU45">
        <f ca="1">MOD(AS45,360)*PI()/180</f>
        <v>0.40904025691466339</v>
      </c>
      <c r="AV45" t="s">
        <v>103</v>
      </c>
      <c r="AW45" s="108"/>
      <c r="AY45" t="s">
        <v>95</v>
      </c>
      <c r="AZ45" s="100">
        <f ca="1">RightAscensionDecl!$C$34</f>
        <v>23.4362803721571</v>
      </c>
      <c r="BA45" t="s">
        <v>1</v>
      </c>
      <c r="BB45">
        <f ca="1">MOD(AZ45,360)*PI()/180</f>
        <v>0.40904025691466339</v>
      </c>
      <c r="BC45" t="s">
        <v>103</v>
      </c>
      <c r="BD45" s="108"/>
    </row>
    <row r="46" spans="2:56">
      <c r="G46" s="108"/>
      <c r="N46" s="108"/>
      <c r="U46" s="108"/>
      <c r="AB46" s="108"/>
      <c r="AI46" s="108"/>
      <c r="AP46" s="108"/>
      <c r="AW46" s="108"/>
      <c r="BD46" s="108"/>
    </row>
    <row r="47" spans="2:56">
      <c r="B47" t="s">
        <v>213</v>
      </c>
      <c r="E47" s="135">
        <f ca="1">C21*(COS(E31)-C23)</f>
        <v>0.59865154187622172</v>
      </c>
      <c r="G47" s="108"/>
      <c r="I47" t="s">
        <v>213</v>
      </c>
      <c r="L47" s="135">
        <f ca="1">J21*(COS(L31)-J23)</f>
        <v>-0.41004093441587358</v>
      </c>
      <c r="N47" s="108"/>
      <c r="P47" t="s">
        <v>213</v>
      </c>
      <c r="S47" s="135">
        <f ca="1">Q21*(COS(S31)-Q23)</f>
        <v>8.1203110593454086E-2</v>
      </c>
      <c r="U47" s="108"/>
      <c r="W47" t="s">
        <v>213</v>
      </c>
      <c r="Z47" s="135">
        <f ca="1">X21*(COS(Z31)-X23)</f>
        <v>-1.2025251456507391</v>
      </c>
      <c r="AB47" s="108"/>
      <c r="AD47" t="s">
        <v>213</v>
      </c>
      <c r="AG47" s="135">
        <f ca="1">AE21*(COS(AG31)-AE23)</f>
        <v>4.9443709004364012</v>
      </c>
      <c r="AI47" s="108"/>
      <c r="AK47" t="s">
        <v>213</v>
      </c>
      <c r="AN47" s="135">
        <f ca="1">AL21*(COS(AN31)-AL23)</f>
        <v>-5.7148850626194028</v>
      </c>
      <c r="AP47" s="108"/>
      <c r="AR47" t="s">
        <v>213</v>
      </c>
      <c r="AU47" s="135">
        <f ca="1">AS21*(COS(AU31)-AS23)</f>
        <v>-10.667725796875667</v>
      </c>
      <c r="AW47" s="108"/>
      <c r="AY47" t="s">
        <v>213</v>
      </c>
      <c r="BB47" s="135">
        <f ca="1">AZ21*(COS(BB31)-AZ23)</f>
        <v>19.291226763566161</v>
      </c>
      <c r="BD47" s="108"/>
    </row>
    <row r="48" spans="2:56">
      <c r="G48" s="108"/>
      <c r="N48" s="108"/>
      <c r="U48" s="108"/>
      <c r="AB48" s="108"/>
      <c r="AI48" s="108"/>
      <c r="AP48" s="108"/>
      <c r="AW48" s="108"/>
      <c r="BD48" s="108"/>
    </row>
    <row r="49" spans="2:56">
      <c r="B49" t="s">
        <v>214</v>
      </c>
      <c r="E49">
        <f ca="1">C21*(SQRT(1-C23*C23)*SIN(E31))</f>
        <v>0.78814345904216998</v>
      </c>
      <c r="G49" s="108"/>
      <c r="I49" t="s">
        <v>214</v>
      </c>
      <c r="L49">
        <f ca="1">J21*(SQRT(1-J23*J23)*SIN(L31))</f>
        <v>-0.19732264780985864</v>
      </c>
      <c r="N49" s="108"/>
      <c r="P49" t="s">
        <v>214</v>
      </c>
      <c r="S49">
        <f ca="1">Q21*(SQRT(1-Q23*Q23)*SIN(S31))</f>
        <v>-0.71817162493156861</v>
      </c>
      <c r="U49" s="108"/>
      <c r="W49" t="s">
        <v>214</v>
      </c>
      <c r="Z49">
        <f ca="1">X21*(SQRT(1-X23*X23)*SIN(Z31))</f>
        <v>1.0895895322224629</v>
      </c>
      <c r="AB49" s="108"/>
      <c r="AD49" t="s">
        <v>214</v>
      </c>
      <c r="AG49">
        <f ca="1">AE21*(SQRT(1-AE23*AE23)*SIN(AG31))</f>
        <v>0.2427269448474341</v>
      </c>
      <c r="AI49" s="108"/>
      <c r="AK49" t="s">
        <v>214</v>
      </c>
      <c r="AN49">
        <f ca="1">AL21*(SQRT(1-AL23*AL23)*SIN(AN31))</f>
        <v>-8.0132173794247858</v>
      </c>
      <c r="AP49" s="108"/>
      <c r="AR49" t="s">
        <v>214</v>
      </c>
      <c r="AU49">
        <f ca="1">AS21*(SQRT(1-AS23*AS23)*SIN(AU31))</f>
        <v>-16.494998393843147</v>
      </c>
      <c r="AW49" s="108"/>
      <c r="AY49" t="s">
        <v>214</v>
      </c>
      <c r="BB49">
        <f ca="1">AZ21*(SQRT(1-AZ23*AZ23)*SIN(BB31))</f>
        <v>-22.831046685681823</v>
      </c>
      <c r="BD49" s="108"/>
    </row>
    <row r="50" spans="2:56">
      <c r="G50" s="108"/>
      <c r="N50" s="108"/>
      <c r="U50" s="108"/>
      <c r="AB50" s="108"/>
      <c r="AI50" s="108"/>
      <c r="AP50" s="108"/>
      <c r="AW50" s="108"/>
      <c r="BD50" s="108"/>
    </row>
    <row r="51" spans="2:56">
      <c r="B51" t="s">
        <v>271</v>
      </c>
      <c r="C51">
        <f ca="1">MOD(E51*180/PI(),360)</f>
        <v>52.780720913627007</v>
      </c>
      <c r="D51" t="s">
        <v>1</v>
      </c>
      <c r="E51">
        <f ca="1">ATAN2(E47,E49)</f>
        <v>0.92119736151902087</v>
      </c>
      <c r="G51" s="108"/>
      <c r="I51" t="s">
        <v>271</v>
      </c>
      <c r="J51">
        <f ca="1">MOD(L51*180/PI(),360)</f>
        <v>205.69810219958748</v>
      </c>
      <c r="K51" t="s">
        <v>1</v>
      </c>
      <c r="L51">
        <f ca="1">ATAN2(L47,L49)</f>
        <v>-2.6930761586929948</v>
      </c>
      <c r="N51" s="108"/>
      <c r="P51" t="s">
        <v>271</v>
      </c>
      <c r="Q51">
        <f ca="1">MOD(S51*180/PI(),360)</f>
        <v>276.45099138767438</v>
      </c>
      <c r="R51" t="s">
        <v>1</v>
      </c>
      <c r="S51">
        <f ca="1">ATAN2(S47,S49)</f>
        <v>-1.4582052870621804</v>
      </c>
      <c r="U51" s="108"/>
      <c r="W51" t="s">
        <v>271</v>
      </c>
      <c r="X51">
        <f ca="1">MOD(Z51*180/PI(),360)</f>
        <v>137.82075998189472</v>
      </c>
      <c r="Y51" t="s">
        <v>1</v>
      </c>
      <c r="Z51">
        <f ca="1">ATAN2(Z47,Z49)</f>
        <v>2.4054260392849032</v>
      </c>
      <c r="AB51" s="108"/>
      <c r="AD51" t="s">
        <v>271</v>
      </c>
      <c r="AE51">
        <f ca="1">MOD(AG51*180/PI(),360)</f>
        <v>2.8104836511099935</v>
      </c>
      <c r="AF51" t="s">
        <v>1</v>
      </c>
      <c r="AG51">
        <f ca="1">ATAN2(AG47,AG49)</f>
        <v>4.9052193285340974E-2</v>
      </c>
      <c r="AI51" s="108"/>
      <c r="AK51" t="s">
        <v>271</v>
      </c>
      <c r="AL51">
        <f ca="1">MOD(AN51*180/PI(),360)</f>
        <v>234.50420536162659</v>
      </c>
      <c r="AM51" t="s">
        <v>1</v>
      </c>
      <c r="AN51">
        <f ca="1">ATAN2(AN47,AN49)</f>
        <v>-2.1903148138462623</v>
      </c>
      <c r="AP51" s="108"/>
      <c r="AR51" t="s">
        <v>271</v>
      </c>
      <c r="AS51">
        <f ca="1">MOD(AU51*180/PI(),360)</f>
        <v>237.10824610096762</v>
      </c>
      <c r="AT51" t="s">
        <v>1</v>
      </c>
      <c r="AU51">
        <f ca="1">ATAN2(AU47,AU49)</f>
        <v>-2.1448657290886941</v>
      </c>
      <c r="AW51" s="108"/>
      <c r="AY51" t="s">
        <v>271</v>
      </c>
      <c r="AZ51">
        <f ca="1">MOD(BB51*180/PI(),360)</f>
        <v>310.19633449471695</v>
      </c>
      <c r="BA51" t="s">
        <v>1</v>
      </c>
      <c r="BB51">
        <f ca="1">ATAN2(BB47,BB49)</f>
        <v>-0.8692379426291148</v>
      </c>
      <c r="BD51" s="108"/>
    </row>
    <row r="52" spans="2:56">
      <c r="G52" s="108"/>
      <c r="N52" s="108"/>
      <c r="U52" s="108"/>
      <c r="AB52" s="108"/>
      <c r="AI52" s="108"/>
      <c r="AP52" s="108"/>
      <c r="AW52" s="108"/>
      <c r="BD52" s="108"/>
    </row>
    <row r="53" spans="2:56">
      <c r="B53" t="s">
        <v>315</v>
      </c>
      <c r="C53">
        <f ca="1">SQRT(E47*E47+E49*E49)</f>
        <v>0.98972409318038446</v>
      </c>
      <c r="D53" t="s">
        <v>94</v>
      </c>
      <c r="G53" s="108"/>
      <c r="I53" t="s">
        <v>315</v>
      </c>
      <c r="J53">
        <f ca="1">SQRT(L47*L47+L49*L49)</f>
        <v>0.45504922287081895</v>
      </c>
      <c r="K53" t="s">
        <v>94</v>
      </c>
      <c r="N53" s="108"/>
      <c r="P53" t="s">
        <v>315</v>
      </c>
      <c r="Q53">
        <f ca="1">SQRT(S47*S47+S49*S49)</f>
        <v>0.72274783156153599</v>
      </c>
      <c r="R53" t="s">
        <v>94</v>
      </c>
      <c r="U53" s="108"/>
      <c r="W53" t="s">
        <v>315</v>
      </c>
      <c r="X53">
        <f ca="1">SQRT(Z47*Z47+Z49*Z49)</f>
        <v>1.6227359842719631</v>
      </c>
      <c r="Y53" t="s">
        <v>94</v>
      </c>
      <c r="AB53" s="108"/>
      <c r="AD53" t="s">
        <v>315</v>
      </c>
      <c r="AE53">
        <f ca="1">SQRT(AG47*AG47+AG49*AG49)</f>
        <v>4.9503252388946359</v>
      </c>
      <c r="AF53" t="s">
        <v>94</v>
      </c>
      <c r="AI53" s="108"/>
      <c r="AK53" t="s">
        <v>315</v>
      </c>
      <c r="AL53">
        <f ca="1">SQRT(AN47*AN47+AN49*AN49)</f>
        <v>9.842335294474875</v>
      </c>
      <c r="AM53" t="s">
        <v>94</v>
      </c>
      <c r="AP53" s="108"/>
      <c r="AR53" t="s">
        <v>315</v>
      </c>
      <c r="AS53">
        <f ca="1">SQRT(AU47*AU47+AU49*AU49)</f>
        <v>19.643964612323412</v>
      </c>
      <c r="AT53" t="s">
        <v>94</v>
      </c>
      <c r="AW53" s="108"/>
      <c r="AY53" t="s">
        <v>315</v>
      </c>
      <c r="AZ53">
        <f ca="1">SQRT(BB47*BB47+BB49*BB49)</f>
        <v>29.889933469432719</v>
      </c>
      <c r="BA53" t="s">
        <v>94</v>
      </c>
      <c r="BD53" s="108"/>
    </row>
    <row r="54" spans="2:56">
      <c r="G54" s="108"/>
      <c r="N54" s="108"/>
      <c r="U54" s="108"/>
      <c r="AB54" s="108"/>
      <c r="AI54" s="108"/>
      <c r="AP54" s="108"/>
      <c r="AW54" s="108"/>
      <c r="BD54" s="108"/>
    </row>
    <row r="55" spans="2:56">
      <c r="B55" t="s">
        <v>320</v>
      </c>
      <c r="E55" s="201">
        <f ca="1">C53*(COS(E41)*COS(E35+E39)-SIN(E41)*SIN(E35+E39)*COS(E43))</f>
        <v>0.9049948183026868</v>
      </c>
      <c r="G55" s="108"/>
      <c r="I55" t="s">
        <v>320</v>
      </c>
      <c r="L55" s="201">
        <f ca="1">J53*(COS(L41)*COS(L35+L39)-SIN(L41)*SIN(L35+L39)*COS(L43))</f>
        <v>0.10425064030615573</v>
      </c>
      <c r="N55" s="108"/>
      <c r="P55" t="s">
        <v>320</v>
      </c>
      <c r="S55" s="201">
        <f ca="1">Q53*(COS(S41)*COS(S35+S39)-SIN(S41)*SIN(S35+S39)*COS(S43))</f>
        <v>0.47975650113082752</v>
      </c>
      <c r="U55" s="108"/>
      <c r="W55" t="s">
        <v>320</v>
      </c>
      <c r="Z55" s="201">
        <f ca="1">X53*(COS(Z41)*COS(Z35+Z39)-SIN(Z41)*SIN(Z35+Z39)*COS(Z43))</f>
        <v>-0.66735215617622834</v>
      </c>
      <c r="AB55" s="108"/>
      <c r="AD55" t="s">
        <v>320</v>
      </c>
      <c r="AG55" s="201">
        <f ca="1">AE53*(COS(AG41)*COS(AG35+AG39)-SIN(AG41)*SIN(AG35+AG39)*COS(AG43))</f>
        <v>4.7195561468080394</v>
      </c>
      <c r="AI55" s="108"/>
      <c r="AK55" t="s">
        <v>320</v>
      </c>
      <c r="AN55" s="201">
        <f ca="1">AL53*(COS(AN41)*COS(AN35+AN39)-SIN(AN41)*SIN(AN35+AN39)*COS(AN43))</f>
        <v>8.3434082758887538</v>
      </c>
      <c r="AP55" s="108"/>
      <c r="AR55" t="s">
        <v>320</v>
      </c>
      <c r="AU55" s="201">
        <f ca="1">AS53*(COS(AU41)*COS(AU35+AU39)-SIN(AU41)*SIN(AU35+AU39)*COS(AU43))</f>
        <v>13.106217220432034</v>
      </c>
      <c r="AW55" s="108"/>
      <c r="AY55" t="s">
        <v>320</v>
      </c>
      <c r="BB55" s="201">
        <f ca="1">AZ53*(COS(BB41)*COS(BB35+BB39)-SIN(BB41)*SIN(BB35+BB39)*COS(BB43))</f>
        <v>29.770223085983321</v>
      </c>
      <c r="BD55" s="108"/>
    </row>
    <row r="56" spans="2:56">
      <c r="G56" s="108"/>
      <c r="N56" s="108"/>
      <c r="U56" s="108"/>
      <c r="AB56" s="108"/>
      <c r="AI56" s="108"/>
      <c r="AP56" s="108"/>
      <c r="AW56" s="108"/>
      <c r="BD56" s="108"/>
    </row>
    <row r="57" spans="2:56">
      <c r="B57" t="s">
        <v>206</v>
      </c>
      <c r="E57" s="201">
        <f ca="1">C53*(SIN(E41)*COS(E35+E39)+COS(E41)*SIN(E35+E39)*COS(E43))</f>
        <v>-0.40067213462757967</v>
      </c>
      <c r="G57" s="108"/>
      <c r="I57" t="s">
        <v>206</v>
      </c>
      <c r="L57" s="201">
        <f ca="1">J53*(SIN(L41)*COS(L35+L39)+COS(L41)*SIN(L35+L39)*COS(L43))</f>
        <v>-0.44061275415502704</v>
      </c>
      <c r="N57" s="108"/>
      <c r="P57" t="s">
        <v>206</v>
      </c>
      <c r="S57" s="201">
        <f ca="1">Q53*(SIN(S41)*COS(S35+S39)+COS(S41)*SIN(S35+S39)*COS(S43))</f>
        <v>0.54016662575049057</v>
      </c>
      <c r="U57" s="108"/>
      <c r="W57" t="s">
        <v>206</v>
      </c>
      <c r="Z57" s="201">
        <f ca="1">X53*(SIN(Z41)*COS(Z35+Z39)+COS(Z41)*SIN(Z35+Z39)*COS(Z43))</f>
        <v>1.4784031675567961</v>
      </c>
      <c r="AB57" s="108"/>
      <c r="AD57" t="s">
        <v>206</v>
      </c>
      <c r="AG57" s="201">
        <f ca="1">AE53*(SIN(AG41)*COS(AG35+AG39)+COS(AG41)*SIN(AG35+AG39)*COS(AG43))</f>
        <v>1.4896450304843225</v>
      </c>
      <c r="AI57" s="108"/>
      <c r="AK57" t="s">
        <v>206</v>
      </c>
      <c r="AN57" s="201">
        <f ca="1">AL53*(SIN(AN41)*COS(AN35+AN39)+COS(AN41)*SIN(AN35+AN39)*COS(AN43))</f>
        <v>-5.2155144931375128</v>
      </c>
      <c r="AP57" s="108"/>
      <c r="AR57" t="s">
        <v>206</v>
      </c>
      <c r="AU57" s="201">
        <f ca="1">AS53*(SIN(AU41)*COS(AU35+AU39)+COS(AU41)*SIN(AU35+AU39)*COS(AU43))</f>
        <v>14.632119805867502</v>
      </c>
      <c r="AW57" s="108"/>
      <c r="AY57" t="s">
        <v>206</v>
      </c>
      <c r="BB57" s="201">
        <f ca="1">AZ53*(SIN(BB41)*COS(BB35+BB39)+COS(BB41)*SIN(BB35+BB39)*COS(BB43))</f>
        <v>-2.5974198182086177</v>
      </c>
      <c r="BD57" s="108"/>
    </row>
    <row r="58" spans="2:56">
      <c r="G58" s="108"/>
      <c r="N58" s="108"/>
      <c r="U58" s="108"/>
      <c r="AB58" s="108"/>
      <c r="AI58" s="108"/>
      <c r="AP58" s="108"/>
      <c r="AW58" s="108"/>
      <c r="BD58" s="108"/>
    </row>
    <row r="59" spans="2:56">
      <c r="B59" t="s">
        <v>207</v>
      </c>
      <c r="E59" s="201">
        <f ca="1">C53*(SIN(E35+E39)*SIN(E43))</f>
        <v>0</v>
      </c>
      <c r="G59" s="108"/>
      <c r="I59" t="s">
        <v>207</v>
      </c>
      <c r="L59" s="201">
        <f ca="1">J53*(SIN(L35+L39)*SIN(L43))</f>
        <v>-4.5409251337303981E-2</v>
      </c>
      <c r="N59" s="108"/>
      <c r="P59" t="s">
        <v>207</v>
      </c>
      <c r="S59" s="201">
        <f ca="1">Q53*(SIN(S35+S39)*SIN(S43))</f>
        <v>-2.0448571464484731E-2</v>
      </c>
      <c r="U59" s="108"/>
      <c r="W59" t="s">
        <v>207</v>
      </c>
      <c r="Z59" s="201">
        <f ca="1">X53*(SIN(Z35+Z39)*SIN(Z43))</f>
        <v>4.7299560844338201E-2</v>
      </c>
      <c r="AB59" s="108"/>
      <c r="AD59" t="s">
        <v>207</v>
      </c>
      <c r="AG59" s="201">
        <f ca="1">AE53*(SIN(AG35+AG39)*SIN(AG43))</f>
        <v>-0.11165765140396172</v>
      </c>
      <c r="AI59" s="108"/>
      <c r="AK59" t="s">
        <v>207</v>
      </c>
      <c r="AN59" s="201">
        <f ca="1">AL53*(SIN(AN35+AN39)*SIN(AN43))</f>
        <v>-0.23981443361363977</v>
      </c>
      <c r="AP59" s="108"/>
      <c r="AR59" t="s">
        <v>207</v>
      </c>
      <c r="AU59" s="201">
        <f ca="1">AS53*(SIN(AU35+AU39)*SIN(AU43))</f>
        <v>-0.11612858306779757</v>
      </c>
      <c r="AW59" s="108"/>
      <c r="AY59" t="s">
        <v>207</v>
      </c>
      <c r="BB59" s="201">
        <f ca="1">AZ53*(SIN(BB35+BB39)*SIN(BB43))</f>
        <v>-0.62876904017067048</v>
      </c>
      <c r="BD59" s="108"/>
    </row>
    <row r="60" spans="2:56">
      <c r="G60" s="108"/>
      <c r="N60" s="108"/>
      <c r="U60" s="108"/>
      <c r="AB60" s="108"/>
      <c r="AI60" s="108"/>
      <c r="AP60" s="108"/>
      <c r="AW60" s="108"/>
      <c r="BD60" s="108"/>
    </row>
    <row r="61" spans="2:56">
      <c r="I61" t="s">
        <v>316</v>
      </c>
      <c r="J61">
        <f ca="1">MOD(180/PI()*L61,360)</f>
        <v>283.31160047282282</v>
      </c>
      <c r="K61" t="s">
        <v>1</v>
      </c>
      <c r="L61">
        <f ca="1">ATAN2(L55,L57)</f>
        <v>-1.3384650698341043</v>
      </c>
      <c r="M61" t="s">
        <v>103</v>
      </c>
      <c r="P61" t="s">
        <v>316</v>
      </c>
      <c r="Q61">
        <f ca="1">MOD(180/PI()*S61,360)</f>
        <v>48.389673207369782</v>
      </c>
      <c r="R61" t="s">
        <v>1</v>
      </c>
      <c r="S61">
        <f ca="1">ATAN2(S55,S57)</f>
        <v>0.84455912143268752</v>
      </c>
      <c r="T61" t="s">
        <v>103</v>
      </c>
      <c r="W61" t="s">
        <v>316</v>
      </c>
      <c r="X61">
        <f ca="1">MOD(180/PI()*Z61,360)</f>
        <v>114.2944475747059</v>
      </c>
      <c r="Y61" t="s">
        <v>1</v>
      </c>
      <c r="Z61">
        <f ca="1">ATAN2(Z55,Z57)</f>
        <v>1.9948144269266654</v>
      </c>
      <c r="AA61" t="s">
        <v>103</v>
      </c>
      <c r="AD61" t="s">
        <v>316</v>
      </c>
      <c r="AE61">
        <f ca="1">MOD(180/PI()*AG61,360)</f>
        <v>17.517386609647737</v>
      </c>
      <c r="AF61" t="s">
        <v>1</v>
      </c>
      <c r="AG61">
        <f ca="1">ATAN2(AG55,AG57)</f>
        <v>0.3057360726831197</v>
      </c>
      <c r="AH61" t="s">
        <v>103</v>
      </c>
      <c r="AK61" t="s">
        <v>316</v>
      </c>
      <c r="AL61">
        <f ca="1">MOD(180/PI()*AN61,360)</f>
        <v>327.99025004311295</v>
      </c>
      <c r="AM61" t="s">
        <v>1</v>
      </c>
      <c r="AN61">
        <f ca="1">ATAN2(AN55,AN57)</f>
        <v>-0.55867552948779142</v>
      </c>
      <c r="AO61" t="s">
        <v>103</v>
      </c>
      <c r="AR61" t="s">
        <v>316</v>
      </c>
      <c r="AS61">
        <f ca="1">MOD(180/PI()*AU61,360)</f>
        <v>48.148701649400493</v>
      </c>
      <c r="AT61" t="s">
        <v>1</v>
      </c>
      <c r="AU61">
        <f ca="1">ATAN2(AU55,AU57)</f>
        <v>0.84035337434246304</v>
      </c>
      <c r="AV61" t="s">
        <v>103</v>
      </c>
      <c r="AY61" t="s">
        <v>316</v>
      </c>
      <c r="AZ61">
        <f ca="1">MOD(180/PI()*BB61,360)</f>
        <v>355.01363222206021</v>
      </c>
      <c r="BA61" t="s">
        <v>1</v>
      </c>
      <c r="BB61">
        <f ca="1">ATAN2(BB55,BB57)</f>
        <v>-8.7028535440402371E-2</v>
      </c>
      <c r="BC61" t="s">
        <v>103</v>
      </c>
    </row>
    <row r="63" spans="2:56">
      <c r="I63" t="s">
        <v>317</v>
      </c>
      <c r="J63">
        <f ca="1">180/PI()*L63</f>
        <v>-5.727063878890859</v>
      </c>
      <c r="K63" t="s">
        <v>1</v>
      </c>
      <c r="L63">
        <f ca="1">ATAN2(SQRT(L55*L55+L57*L57),L59)</f>
        <v>-9.995612115868327E-2</v>
      </c>
      <c r="M63" t="s">
        <v>103</v>
      </c>
      <c r="P63" t="s">
        <v>317</v>
      </c>
      <c r="Q63">
        <f ca="1">180/PI()*S63</f>
        <v>-1.6212753011899557</v>
      </c>
      <c r="R63" t="s">
        <v>1</v>
      </c>
      <c r="S63">
        <f ca="1">ATAN2(SQRT(S55*S55+S57*S57),S59)</f>
        <v>-2.8296592087027467E-2</v>
      </c>
      <c r="T63" t="s">
        <v>103</v>
      </c>
      <c r="W63" t="s">
        <v>317</v>
      </c>
      <c r="X63">
        <f ca="1">180/PI()*Z63</f>
        <v>1.6702958035157172</v>
      </c>
      <c r="Y63" t="s">
        <v>1</v>
      </c>
      <c r="Z63">
        <f ca="1">ATAN2(SQRT(Z55*Z55+Z57*Z57),Z59)</f>
        <v>2.9152161253593541E-2</v>
      </c>
      <c r="AA63" t="s">
        <v>103</v>
      </c>
      <c r="AD63" t="s">
        <v>317</v>
      </c>
      <c r="AE63">
        <f ca="1">180/PI()*AG63</f>
        <v>-1.2924513952791499</v>
      </c>
      <c r="AF63" t="s">
        <v>1</v>
      </c>
      <c r="AG63">
        <f ca="1">ATAN2(SQRT(AG55*AG55+AG57*AG57),AG59)</f>
        <v>-2.2557532269615863E-2</v>
      </c>
      <c r="AH63" t="s">
        <v>103</v>
      </c>
      <c r="AK63" t="s">
        <v>317</v>
      </c>
      <c r="AL63">
        <f ca="1">180/PI()*AN63</f>
        <v>-1.396184384383603</v>
      </c>
      <c r="AM63" t="s">
        <v>1</v>
      </c>
      <c r="AN63">
        <f ca="1">ATAN2(SQRT(AN55*AN55+AN57*AN57),AN59)</f>
        <v>-2.4368014472423972E-2</v>
      </c>
      <c r="AO63" t="s">
        <v>103</v>
      </c>
      <c r="AR63" t="s">
        <v>317</v>
      </c>
      <c r="AS63">
        <f ca="1">180/PI()*AU63</f>
        <v>-0.33871555858427355</v>
      </c>
      <c r="AT63" t="s">
        <v>1</v>
      </c>
      <c r="AU63">
        <f ca="1">ATAN2(SQRT(AU55*AU55+AU57*AU57),AU59)</f>
        <v>-5.9117017250273161E-3</v>
      </c>
      <c r="AV63" t="s">
        <v>103</v>
      </c>
      <c r="AY63" t="s">
        <v>317</v>
      </c>
      <c r="AZ63">
        <f ca="1">180/PI()*BB63</f>
        <v>-1.2053713628045246</v>
      </c>
      <c r="BA63" t="s">
        <v>1</v>
      </c>
      <c r="BB63">
        <f ca="1">ATAN2(SQRT(BB55*BB55+BB57*BB57),BB59)</f>
        <v>-2.1037698990190066E-2</v>
      </c>
      <c r="BC63" t="s">
        <v>103</v>
      </c>
    </row>
    <row r="65" spans="9:55">
      <c r="I65" t="s">
        <v>315</v>
      </c>
      <c r="J65">
        <f ca="1">J53</f>
        <v>0.45504922287081895</v>
      </c>
      <c r="K65" t="s">
        <v>94</v>
      </c>
      <c r="P65" t="s">
        <v>315</v>
      </c>
      <c r="Q65">
        <f ca="1">Q53</f>
        <v>0.72274783156153599</v>
      </c>
      <c r="R65" t="s">
        <v>94</v>
      </c>
      <c r="W65" t="s">
        <v>315</v>
      </c>
      <c r="X65">
        <f ca="1">X53</f>
        <v>1.6227359842719631</v>
      </c>
      <c r="Y65" t="s">
        <v>94</v>
      </c>
      <c r="AD65" t="s">
        <v>315</v>
      </c>
      <c r="AE65">
        <f ca="1">AE53</f>
        <v>4.9503252388946359</v>
      </c>
      <c r="AF65" t="s">
        <v>94</v>
      </c>
      <c r="AK65" t="s">
        <v>315</v>
      </c>
      <c r="AL65">
        <f ca="1">AL53</f>
        <v>9.842335294474875</v>
      </c>
      <c r="AM65" t="s">
        <v>94</v>
      </c>
      <c r="AR65" t="s">
        <v>315</v>
      </c>
      <c r="AS65">
        <f ca="1">AS53</f>
        <v>19.643964612323412</v>
      </c>
      <c r="AT65" t="s">
        <v>94</v>
      </c>
      <c r="AY65" t="s">
        <v>315</v>
      </c>
      <c r="AZ65">
        <f ca="1">AZ53</f>
        <v>29.889933469432719</v>
      </c>
      <c r="BA65" t="s">
        <v>94</v>
      </c>
    </row>
    <row r="67" spans="9:55">
      <c r="I67" s="7" t="s">
        <v>321</v>
      </c>
      <c r="P67" s="7" t="s">
        <v>321</v>
      </c>
      <c r="W67" s="7" t="s">
        <v>321</v>
      </c>
      <c r="AD67" s="7" t="s">
        <v>321</v>
      </c>
      <c r="AK67" s="7" t="s">
        <v>321</v>
      </c>
      <c r="AR67" s="7" t="s">
        <v>321</v>
      </c>
      <c r="AY67" s="7" t="s">
        <v>321</v>
      </c>
    </row>
    <row r="69" spans="9:55">
      <c r="I69" t="s">
        <v>95</v>
      </c>
      <c r="J69" s="100">
        <f ca="1">RightAscensionDecl!$C$34</f>
        <v>23.4362803721571</v>
      </c>
      <c r="K69" t="s">
        <v>1</v>
      </c>
      <c r="L69">
        <f ca="1">MOD(J69,360)*PI()/180</f>
        <v>0.40904025691466339</v>
      </c>
      <c r="M69" t="s">
        <v>103</v>
      </c>
      <c r="P69" t="s">
        <v>95</v>
      </c>
      <c r="Q69" s="100">
        <f ca="1">RightAscensionDecl!$C$34</f>
        <v>23.4362803721571</v>
      </c>
      <c r="R69" t="s">
        <v>1</v>
      </c>
      <c r="S69">
        <f ca="1">MOD(Q69,360)*PI()/180</f>
        <v>0.40904025691466339</v>
      </c>
      <c r="T69" t="s">
        <v>103</v>
      </c>
      <c r="W69" t="s">
        <v>95</v>
      </c>
      <c r="X69" s="100">
        <f ca="1">RightAscensionDecl!$C$34</f>
        <v>23.4362803721571</v>
      </c>
      <c r="Y69" t="s">
        <v>1</v>
      </c>
      <c r="Z69">
        <f ca="1">MOD(X69,360)*PI()/180</f>
        <v>0.40904025691466339</v>
      </c>
      <c r="AA69" t="s">
        <v>103</v>
      </c>
      <c r="AD69" t="s">
        <v>95</v>
      </c>
      <c r="AE69" s="100">
        <f ca="1">RightAscensionDecl!$C$34</f>
        <v>23.4362803721571</v>
      </c>
      <c r="AF69" t="s">
        <v>1</v>
      </c>
      <c r="AG69">
        <f ca="1">MOD(AE69,360)*PI()/180</f>
        <v>0.40904025691466339</v>
      </c>
      <c r="AH69" t="s">
        <v>103</v>
      </c>
      <c r="AK69" t="s">
        <v>95</v>
      </c>
      <c r="AL69" s="100">
        <f ca="1">RightAscensionDecl!$C$34</f>
        <v>23.4362803721571</v>
      </c>
      <c r="AM69" t="s">
        <v>1</v>
      </c>
      <c r="AN69">
        <f ca="1">MOD(AL69,360)*PI()/180</f>
        <v>0.40904025691466339</v>
      </c>
      <c r="AO69" t="s">
        <v>103</v>
      </c>
      <c r="AR69" t="s">
        <v>95</v>
      </c>
      <c r="AS69" s="100">
        <f ca="1">RightAscensionDecl!$C$34</f>
        <v>23.4362803721571</v>
      </c>
      <c r="AT69" t="s">
        <v>1</v>
      </c>
      <c r="AU69">
        <f ca="1">MOD(AS69,360)*PI()/180</f>
        <v>0.40904025691466339</v>
      </c>
      <c r="AV69" t="s">
        <v>103</v>
      </c>
      <c r="AY69" t="s">
        <v>95</v>
      </c>
      <c r="AZ69" s="100">
        <f ca="1">RightAscensionDecl!$C$34</f>
        <v>23.4362803721571</v>
      </c>
      <c r="BA69" t="s">
        <v>1</v>
      </c>
      <c r="BB69">
        <f ca="1">MOD(AZ69,360)*PI()/180</f>
        <v>0.40904025691466339</v>
      </c>
      <c r="BC69" t="s">
        <v>103</v>
      </c>
    </row>
    <row r="71" spans="9:55">
      <c r="I71" t="s">
        <v>323</v>
      </c>
      <c r="J71" s="201">
        <f ca="1">L55+$E$55</f>
        <v>1.0092454586088426</v>
      </c>
      <c r="P71" t="s">
        <v>323</v>
      </c>
      <c r="Q71" s="201">
        <f ca="1">S55+$E$55</f>
        <v>1.3847513194335144</v>
      </c>
      <c r="W71" t="s">
        <v>323</v>
      </c>
      <c r="X71" s="201">
        <f ca="1">Z55+$E$55</f>
        <v>0.23764266212645846</v>
      </c>
      <c r="AD71" t="s">
        <v>323</v>
      </c>
      <c r="AE71" s="201">
        <f ca="1">AG55+$E$55</f>
        <v>5.6245509651107266</v>
      </c>
      <c r="AK71" t="s">
        <v>323</v>
      </c>
      <c r="AL71" s="201">
        <f ca="1">AN55+$E$55</f>
        <v>9.2484030941914401</v>
      </c>
      <c r="AR71" t="s">
        <v>323</v>
      </c>
      <c r="AS71" s="201">
        <f ca="1">AU55+$E$55</f>
        <v>14.011212038734721</v>
      </c>
      <c r="AY71" t="s">
        <v>323</v>
      </c>
      <c r="AZ71" s="201">
        <f ca="1">BB55+$E$55</f>
        <v>30.675217904286008</v>
      </c>
    </row>
    <row r="73" spans="9:55">
      <c r="I73" t="s">
        <v>206</v>
      </c>
      <c r="J73" s="201">
        <f ca="1">L57+$E$57</f>
        <v>-0.84128488878260677</v>
      </c>
      <c r="P73" t="s">
        <v>206</v>
      </c>
      <c r="Q73" s="201">
        <f ca="1">S57+$E$57</f>
        <v>0.1394944911229109</v>
      </c>
      <c r="W73" t="s">
        <v>206</v>
      </c>
      <c r="X73" s="201">
        <f ca="1">Z57+$E$57</f>
        <v>1.0777310329292165</v>
      </c>
      <c r="AD73" t="s">
        <v>206</v>
      </c>
      <c r="AE73" s="201">
        <f ca="1">AG57+$E$57</f>
        <v>1.0889728958567428</v>
      </c>
      <c r="AK73" t="s">
        <v>206</v>
      </c>
      <c r="AL73" s="201">
        <f ca="1">AN57+$E$57</f>
        <v>-5.6161866277650923</v>
      </c>
      <c r="AR73" t="s">
        <v>206</v>
      </c>
      <c r="AS73" s="201">
        <f ca="1">AU57+$E$57</f>
        <v>14.231447671239922</v>
      </c>
      <c r="AY73" t="s">
        <v>206</v>
      </c>
      <c r="AZ73" s="201">
        <f ca="1">BB57+$E$57</f>
        <v>-2.9980919528361971</v>
      </c>
    </row>
    <row r="75" spans="9:55">
      <c r="I75" t="s">
        <v>207</v>
      </c>
      <c r="J75" s="201">
        <f ca="1">L59+$E$59</f>
        <v>-4.5409251337303981E-2</v>
      </c>
      <c r="P75" t="s">
        <v>207</v>
      </c>
      <c r="Q75" s="201">
        <f ca="1">S59+$E$59</f>
        <v>-2.0448571464484731E-2</v>
      </c>
      <c r="W75" t="s">
        <v>207</v>
      </c>
      <c r="X75" s="201">
        <f ca="1">Z59+$E$59</f>
        <v>4.7299560844338201E-2</v>
      </c>
      <c r="AD75" t="s">
        <v>207</v>
      </c>
      <c r="AE75" s="201">
        <f ca="1">AG59+$E$59</f>
        <v>-0.11165765140396172</v>
      </c>
      <c r="AK75" t="s">
        <v>207</v>
      </c>
      <c r="AL75" s="201">
        <f ca="1">AN59+$E$59</f>
        <v>-0.23981443361363977</v>
      </c>
      <c r="AR75" t="s">
        <v>207</v>
      </c>
      <c r="AS75" s="201">
        <f ca="1">AU59+$E$59</f>
        <v>-0.11612858306779757</v>
      </c>
      <c r="AY75" t="s">
        <v>207</v>
      </c>
      <c r="AZ75" s="201">
        <f ca="1">BB59+$E$59</f>
        <v>-0.62876904017067048</v>
      </c>
    </row>
    <row r="77" spans="9:55">
      <c r="I77" t="s">
        <v>298</v>
      </c>
      <c r="J77">
        <f ca="1">J71</f>
        <v>1.0092454586088426</v>
      </c>
      <c r="P77" t="s">
        <v>298</v>
      </c>
      <c r="Q77">
        <f ca="1">Q71</f>
        <v>1.3847513194335144</v>
      </c>
      <c r="W77" t="s">
        <v>298</v>
      </c>
      <c r="X77">
        <f ca="1">X71</f>
        <v>0.23764266212645846</v>
      </c>
      <c r="AD77" t="s">
        <v>298</v>
      </c>
      <c r="AE77">
        <f ca="1">AE71</f>
        <v>5.6245509651107266</v>
      </c>
      <c r="AK77" t="s">
        <v>298</v>
      </c>
      <c r="AL77">
        <f ca="1">AL71</f>
        <v>9.2484030941914401</v>
      </c>
      <c r="AR77" t="s">
        <v>298</v>
      </c>
      <c r="AS77">
        <f ca="1">AS71</f>
        <v>14.011212038734721</v>
      </c>
      <c r="AY77" t="s">
        <v>298</v>
      </c>
      <c r="AZ77">
        <f ca="1">AZ71</f>
        <v>30.675217904286008</v>
      </c>
    </row>
    <row r="79" spans="9:55">
      <c r="I79" t="s">
        <v>299</v>
      </c>
      <c r="J79">
        <f ca="1">J73*COS(L69)-J75*SIN(L69)</f>
        <v>-0.75382080452881328</v>
      </c>
      <c r="P79" t="s">
        <v>299</v>
      </c>
      <c r="Q79">
        <f ca="1">Q73*COS(S69)-Q75*SIN(S69)</f>
        <v>0.1361195976548053</v>
      </c>
      <c r="W79" t="s">
        <v>299</v>
      </c>
      <c r="X79">
        <f ca="1">X73*COS(Z69)-X75*SIN(Z69)</f>
        <v>0.97000901155020469</v>
      </c>
      <c r="AD79" t="s">
        <v>299</v>
      </c>
      <c r="AE79">
        <f ca="1">AE73*COS(AG69)-AE75*SIN(AG69)</f>
        <v>1.043545338290776</v>
      </c>
      <c r="AK79" t="s">
        <v>299</v>
      </c>
      <c r="AL79">
        <f ca="1">AL73*COS(AN69)-AL75*SIN(AN69)</f>
        <v>-5.0574867298142197</v>
      </c>
      <c r="AR79" t="s">
        <v>299</v>
      </c>
      <c r="AS79">
        <f ca="1">AS73*COS(AU69)-AS75*SIN(AU69)</f>
        <v>13.103583103750548</v>
      </c>
      <c r="AY79" t="s">
        <v>299</v>
      </c>
      <c r="AZ79">
        <f ca="1">AZ73*COS(BB69)-AZ75*SIN(BB69)</f>
        <v>-2.5006786033628434</v>
      </c>
    </row>
    <row r="81" spans="9:56">
      <c r="I81" t="s">
        <v>300</v>
      </c>
      <c r="J81">
        <f ca="1">J73*SIN(L69)+J75*COS(L69)</f>
        <v>-0.3762664732081642</v>
      </c>
      <c r="P81" t="s">
        <v>300</v>
      </c>
      <c r="Q81">
        <f ca="1">Q73*SIN(S69)+Q75*COS(S69)</f>
        <v>3.6719371765757743E-2</v>
      </c>
      <c r="W81" t="s">
        <v>300</v>
      </c>
      <c r="X81">
        <f ca="1">X73*SIN(Z69)+X75*COS(Z69)</f>
        <v>0.47204231304633892</v>
      </c>
      <c r="AD81" t="s">
        <v>300</v>
      </c>
      <c r="AE81">
        <f ca="1">AE73*SIN(AG69)+AE75*COS(AG69)</f>
        <v>0.33066981410352364</v>
      </c>
      <c r="AK81" t="s">
        <v>300</v>
      </c>
      <c r="AL81">
        <f ca="1">AL73*SIN(AN69)+AL75*COS(AN69)</f>
        <v>-2.4537504311176268</v>
      </c>
      <c r="AR81" t="s">
        <v>300</v>
      </c>
      <c r="AS81">
        <f ca="1">AS73*SIN(AU69)+AS75*COS(AU69)</f>
        <v>5.5537103372564074</v>
      </c>
      <c r="AY81" t="s">
        <v>300</v>
      </c>
      <c r="AZ81">
        <f ca="1">AZ73*SIN(BB69)+AZ75*COS(BB69)</f>
        <v>-1.7693254042774513</v>
      </c>
    </row>
    <row r="83" spans="9:56">
      <c r="I83" t="s">
        <v>233</v>
      </c>
      <c r="J83">
        <f ca="1">SQRT(J77*J77+J79*J79+J81*J81)</f>
        <v>1.3146857647071222</v>
      </c>
      <c r="K83" t="s">
        <v>94</v>
      </c>
      <c r="P83" t="s">
        <v>233</v>
      </c>
      <c r="Q83">
        <f ca="1">SQRT(Q77*Q77+Q79*Q79+Q81*Q81)</f>
        <v>1.3919098655449773</v>
      </c>
      <c r="R83" t="s">
        <v>94</v>
      </c>
      <c r="W83" t="s">
        <v>233</v>
      </c>
      <c r="X83">
        <f ca="1">SQRT(X77*X77+X79*X79+X81*X81)</f>
        <v>1.1046336327748187</v>
      </c>
      <c r="Y83" t="s">
        <v>94</v>
      </c>
      <c r="AD83" t="s">
        <v>233</v>
      </c>
      <c r="AE83">
        <f ca="1">SQRT(AE77*AE77+AE79*AE79+AE81*AE81)</f>
        <v>5.7300875174953187</v>
      </c>
      <c r="AF83" t="s">
        <v>94</v>
      </c>
      <c r="AK83" t="s">
        <v>233</v>
      </c>
      <c r="AL83">
        <f ca="1">SQRT(AL77*AL77+AL79*AL79+AL81*AL81)</f>
        <v>10.822754870785287</v>
      </c>
      <c r="AM83" t="s">
        <v>94</v>
      </c>
      <c r="AR83" t="s">
        <v>233</v>
      </c>
      <c r="AS83">
        <f ca="1">SQRT(AS77*AS77+AS79*AS79+AS81*AS81)</f>
        <v>19.971521010214275</v>
      </c>
      <c r="AT83" t="s">
        <v>94</v>
      </c>
      <c r="AY83" t="s">
        <v>233</v>
      </c>
      <c r="AZ83">
        <f ca="1">SQRT(AZ77*AZ77+AZ79*AZ79+AZ81*AZ81)</f>
        <v>30.827794266521359</v>
      </c>
      <c r="BA83" t="s">
        <v>94</v>
      </c>
    </row>
    <row r="85" spans="9:56" ht="21">
      <c r="I85" s="170" t="str">
        <f>CONCATENATE(I15,"'s Right Ascension")</f>
        <v>Mercury's Right Ascension</v>
      </c>
      <c r="J85" s="171">
        <f ca="1">MOD(180/PI()*L85,360)</f>
        <v>323.24338627326472</v>
      </c>
      <c r="K85" t="s">
        <v>1</v>
      </c>
      <c r="L85">
        <f ca="1">ATAN2(J77,J79)</f>
        <v>-0.64152393141527386</v>
      </c>
      <c r="M85" s="202">
        <f ca="1">J85/360</f>
        <v>0.89789829520351305</v>
      </c>
      <c r="N85" t="s">
        <v>328</v>
      </c>
      <c r="P85" s="170" t="str">
        <f>CONCATENATE(P15,"'s Right Ascension")</f>
        <v>Venus's Right Ascension</v>
      </c>
      <c r="Q85" s="171">
        <f ca="1">MOD(180/PI()*S85,360)</f>
        <v>5.6140788428329698</v>
      </c>
      <c r="R85" t="s">
        <v>1</v>
      </c>
      <c r="S85">
        <f ca="1">ATAN2(Q77,Q79)</f>
        <v>9.7984160273988583E-2</v>
      </c>
      <c r="T85" s="202">
        <f ca="1">Q85/360</f>
        <v>1.5594663452313804E-2</v>
      </c>
      <c r="U85" t="s">
        <v>328</v>
      </c>
      <c r="W85" s="170" t="str">
        <f>CONCATENATE(W15,"'s Right Ascension")</f>
        <v>Mars's Right Ascension</v>
      </c>
      <c r="X85" s="171">
        <f ca="1">MOD(180/PI()*Z85,360)</f>
        <v>76.234231226397185</v>
      </c>
      <c r="Y85" t="s">
        <v>1</v>
      </c>
      <c r="Z85">
        <f ca="1">ATAN2(X77,X79)</f>
        <v>1.3305383376273057</v>
      </c>
      <c r="AA85" s="202">
        <f ca="1">X85/360</f>
        <v>0.21176175340665884</v>
      </c>
      <c r="AB85" t="s">
        <v>328</v>
      </c>
      <c r="AD85" s="170" t="str">
        <f>CONCATENATE(AD15,"'s Right Ascension")</f>
        <v>Jupiter's Right Ascension</v>
      </c>
      <c r="AE85" s="171">
        <f ca="1">MOD(180/PI()*AG85,360)</f>
        <v>10.510797779129074</v>
      </c>
      <c r="AF85" t="s">
        <v>1</v>
      </c>
      <c r="AG85">
        <f ca="1">ATAN2(AE77,AE79)</f>
        <v>0.18344802825711007</v>
      </c>
      <c r="AH85" s="202">
        <f ca="1">AE85/360</f>
        <v>2.9196660497580761E-2</v>
      </c>
      <c r="AI85" t="s">
        <v>328</v>
      </c>
      <c r="AK85" s="170" t="str">
        <f>CONCATENATE(AK15,"'s Right Ascension")</f>
        <v>Saturn's Right Ascension</v>
      </c>
      <c r="AL85" s="171">
        <f ca="1">MOD(180/PI()*AN85,360)</f>
        <v>331.32796808429055</v>
      </c>
      <c r="AM85" t="s">
        <v>1</v>
      </c>
      <c r="AN85">
        <f ca="1">ATAN2(AL77,AL79)</f>
        <v>-0.50042136016602712</v>
      </c>
      <c r="AO85" s="202">
        <f ca="1">AL85/360</f>
        <v>0.92035546690080705</v>
      </c>
      <c r="AP85" t="s">
        <v>328</v>
      </c>
      <c r="AR85" s="170" t="str">
        <f>CONCATENATE(AR15,"'s Right Ascension")</f>
        <v>Uranus's Right Ascension</v>
      </c>
      <c r="AS85" s="171">
        <f ca="1">MOD(180/PI()*AU85,360)</f>
        <v>43.082821676190896</v>
      </c>
      <c r="AT85" t="s">
        <v>1</v>
      </c>
      <c r="AU85">
        <f ca="1">ATAN2(AS77,AS79)</f>
        <v>0.7519370892991134</v>
      </c>
      <c r="AV85" s="202">
        <f ca="1">AS85/360</f>
        <v>0.11967450465608583</v>
      </c>
      <c r="AW85" t="s">
        <v>328</v>
      </c>
      <c r="AY85" s="170" t="str">
        <f>CONCATENATE(AY15,"'s Right Ascension")</f>
        <v>Neptune's Right Ascension</v>
      </c>
      <c r="AZ85" s="171">
        <f ca="1">MOD(180/PI()*BB85,360)</f>
        <v>355.33948885954601</v>
      </c>
      <c r="BA85" t="s">
        <v>1</v>
      </c>
      <c r="BB85">
        <f ca="1">ATAN2(AZ77,AZ79)</f>
        <v>-8.134126422679834E-2</v>
      </c>
      <c r="BC85" s="202">
        <f ca="1">AZ85/360</f>
        <v>0.98705413572096112</v>
      </c>
      <c r="BD85" t="s">
        <v>328</v>
      </c>
    </row>
    <row r="87" spans="9:56" ht="18.75">
      <c r="I87" s="169" t="str">
        <f>CONCATENATE(I15,"'s Declination")</f>
        <v>Mercury's Declination</v>
      </c>
      <c r="J87" s="172">
        <f ca="1">180/PI()*L87</f>
        <v>-16.630746686237963</v>
      </c>
      <c r="K87" t="s">
        <v>1</v>
      </c>
      <c r="L87">
        <f ca="1">ATAN2(SQRT(J77*J77+J79*J79),J81)</f>
        <v>-0.2902612867399888</v>
      </c>
      <c r="P87" s="169" t="str">
        <f>CONCATENATE(P15,"'s Declination")</f>
        <v>Venus's Declination</v>
      </c>
      <c r="Q87" s="172">
        <f ca="1">180/PI()*S87</f>
        <v>1.5116705344238923</v>
      </c>
      <c r="R87" t="s">
        <v>1</v>
      </c>
      <c r="S87">
        <f ca="1">ATAN2(SQRT(Q77*Q77+Q79*Q79),Q81)</f>
        <v>2.6383628031079204E-2</v>
      </c>
      <c r="W87" s="169" t="str">
        <f>CONCATENATE(W15,"'s Declination")</f>
        <v>Mars's Declination</v>
      </c>
      <c r="X87" s="172">
        <f ca="1">180/PI()*Z87</f>
        <v>25.298189593436252</v>
      </c>
      <c r="Y87" t="s">
        <v>1</v>
      </c>
      <c r="Z87">
        <f ca="1">ATAN2(SQRT(X77*X77+X79*X79),X81)</f>
        <v>0.44153670319922822</v>
      </c>
      <c r="AD87" s="169" t="str">
        <f>CONCATENATE(AD15,"'s Declination")</f>
        <v>Jupiter's Declination</v>
      </c>
      <c r="AE87" s="172">
        <f ca="1">180/PI()*AG87</f>
        <v>3.3082419867440191</v>
      </c>
      <c r="AF87" t="s">
        <v>1</v>
      </c>
      <c r="AG87">
        <f ca="1">ATAN2(SQRT(AE77*AE77+AE79*AE79),AE81)</f>
        <v>5.7739715121401733E-2</v>
      </c>
      <c r="AK87" s="169" t="str">
        <f>CONCATENATE(AK15,"'s Declination")</f>
        <v>Saturn's Declination</v>
      </c>
      <c r="AL87" s="172">
        <f ca="1">180/PI()*AN87</f>
        <v>-13.104124951065074</v>
      </c>
      <c r="AM87" t="s">
        <v>1</v>
      </c>
      <c r="AN87">
        <f ca="1">ATAN2(SQRT(AL77*AL77+AL79*AL79),AL81)</f>
        <v>-0.22871012598882637</v>
      </c>
      <c r="AR87" s="169" t="str">
        <f>CONCATENATE(AR15,"'s Declination")</f>
        <v>Uranus's Declination</v>
      </c>
      <c r="AS87" s="172">
        <f ca="1">180/PI()*AU87</f>
        <v>16.145735403520323</v>
      </c>
      <c r="AT87" t="s">
        <v>1</v>
      </c>
      <c r="AU87">
        <f ca="1">ATAN2(SQRT(AS77*AS77+AS79*AS79),AS81)</f>
        <v>0.28179624294724492</v>
      </c>
      <c r="AY87" s="169" t="str">
        <f>CONCATENATE(AY15,"'s Declination")</f>
        <v>Neptune's Declination</v>
      </c>
      <c r="AZ87" s="172">
        <f ca="1">180/PI()*BB87</f>
        <v>-3.2902326949271354</v>
      </c>
      <c r="BA87" t="s">
        <v>1</v>
      </c>
      <c r="BB87">
        <f ca="1">ATAN2(SQRT(AZ77*AZ77+AZ79*AZ79),AZ81)</f>
        <v>-5.7425393683244647E-2</v>
      </c>
    </row>
    <row r="90" spans="9:56">
      <c r="I90" t="s">
        <v>150</v>
      </c>
      <c r="J90">
        <f>AzimuthAlt!$C$36</f>
        <v>51.287840000000003</v>
      </c>
      <c r="K90" t="s">
        <v>1</v>
      </c>
      <c r="L90" s="82">
        <f>J90*PI()/180</f>
        <v>0.89514167423604851</v>
      </c>
      <c r="M90" t="s">
        <v>103</v>
      </c>
      <c r="P90" t="s">
        <v>150</v>
      </c>
      <c r="Q90">
        <f>AzimuthAlt!$C$36</f>
        <v>51.287840000000003</v>
      </c>
      <c r="R90" t="s">
        <v>1</v>
      </c>
      <c r="S90" s="82">
        <f>Q90*PI()/180</f>
        <v>0.89514167423604851</v>
      </c>
      <c r="T90" t="s">
        <v>103</v>
      </c>
      <c r="W90" t="s">
        <v>150</v>
      </c>
      <c r="X90">
        <f>AzimuthAlt!$C$36</f>
        <v>51.287840000000003</v>
      </c>
      <c r="Y90" t="s">
        <v>1</v>
      </c>
      <c r="Z90" s="82">
        <f>X90*PI()/180</f>
        <v>0.89514167423604851</v>
      </c>
      <c r="AA90" t="s">
        <v>103</v>
      </c>
      <c r="AD90" t="s">
        <v>150</v>
      </c>
      <c r="AE90">
        <f>AzimuthAlt!$C$36</f>
        <v>51.287840000000003</v>
      </c>
      <c r="AF90" t="s">
        <v>1</v>
      </c>
      <c r="AG90" s="82">
        <f>AE90*PI()/180</f>
        <v>0.89514167423604851</v>
      </c>
      <c r="AH90" t="s">
        <v>103</v>
      </c>
      <c r="AK90" t="s">
        <v>150</v>
      </c>
      <c r="AL90">
        <f>AzimuthAlt!$C$36</f>
        <v>51.287840000000003</v>
      </c>
      <c r="AM90" t="s">
        <v>1</v>
      </c>
      <c r="AN90" s="82">
        <f>AL90*PI()/180</f>
        <v>0.89514167423604851</v>
      </c>
      <c r="AO90" t="s">
        <v>103</v>
      </c>
      <c r="AR90" t="s">
        <v>150</v>
      </c>
      <c r="AS90">
        <f>AzimuthAlt!$C$36</f>
        <v>51.287840000000003</v>
      </c>
      <c r="AT90" t="s">
        <v>1</v>
      </c>
      <c r="AU90" s="82">
        <f>AS90*PI()/180</f>
        <v>0.89514167423604851</v>
      </c>
      <c r="AV90" t="s">
        <v>103</v>
      </c>
      <c r="AY90" t="s">
        <v>150</v>
      </c>
      <c r="AZ90">
        <f>AzimuthAlt!$C$36</f>
        <v>51.287840000000003</v>
      </c>
      <c r="BA90" t="s">
        <v>1</v>
      </c>
      <c r="BB90" s="82">
        <f>AZ90*PI()/180</f>
        <v>0.89514167423604851</v>
      </c>
      <c r="BC90" t="s">
        <v>103</v>
      </c>
    </row>
    <row r="92" spans="9:56">
      <c r="I92" t="s">
        <v>151</v>
      </c>
      <c r="J92">
        <f>AzimuthAlt!$C$38</f>
        <v>0.16183</v>
      </c>
      <c r="K92" t="s">
        <v>1</v>
      </c>
      <c r="L92" s="82">
        <f>J92*PI()/180</f>
        <v>2.8244663285024235E-3</v>
      </c>
      <c r="M92" t="s">
        <v>103</v>
      </c>
      <c r="P92" t="s">
        <v>151</v>
      </c>
      <c r="Q92">
        <f>AzimuthAlt!$C$38</f>
        <v>0.16183</v>
      </c>
      <c r="R92" t="s">
        <v>1</v>
      </c>
      <c r="S92" s="82">
        <f>Q92*PI()/180</f>
        <v>2.8244663285024235E-3</v>
      </c>
      <c r="T92" t="s">
        <v>103</v>
      </c>
      <c r="W92" t="s">
        <v>151</v>
      </c>
      <c r="X92">
        <f>AzimuthAlt!$C$38</f>
        <v>0.16183</v>
      </c>
      <c r="Y92" t="s">
        <v>1</v>
      </c>
      <c r="Z92" s="82">
        <f>X92*PI()/180</f>
        <v>2.8244663285024235E-3</v>
      </c>
      <c r="AA92" t="s">
        <v>103</v>
      </c>
      <c r="AD92" t="s">
        <v>151</v>
      </c>
      <c r="AE92">
        <f>AzimuthAlt!$C$38</f>
        <v>0.16183</v>
      </c>
      <c r="AF92" t="s">
        <v>1</v>
      </c>
      <c r="AG92" s="82">
        <f>AE92*PI()/180</f>
        <v>2.8244663285024235E-3</v>
      </c>
      <c r="AH92" t="s">
        <v>103</v>
      </c>
      <c r="AK92" t="s">
        <v>151</v>
      </c>
      <c r="AL92">
        <f>AzimuthAlt!$C$38</f>
        <v>0.16183</v>
      </c>
      <c r="AM92" t="s">
        <v>1</v>
      </c>
      <c r="AN92" s="82">
        <f>AL92*PI()/180</f>
        <v>2.8244663285024235E-3</v>
      </c>
      <c r="AO92" t="s">
        <v>103</v>
      </c>
      <c r="AR92" t="s">
        <v>151</v>
      </c>
      <c r="AS92">
        <f>AzimuthAlt!$C$38</f>
        <v>0.16183</v>
      </c>
      <c r="AT92" t="s">
        <v>1</v>
      </c>
      <c r="AU92" s="82">
        <f>AS92*PI()/180</f>
        <v>2.8244663285024235E-3</v>
      </c>
      <c r="AV92" t="s">
        <v>103</v>
      </c>
      <c r="AY92" t="s">
        <v>151</v>
      </c>
      <c r="AZ92">
        <f>AzimuthAlt!$C$38</f>
        <v>0.16183</v>
      </c>
      <c r="BA92" t="s">
        <v>1</v>
      </c>
      <c r="BB92" s="82">
        <f>AZ92*PI()/180</f>
        <v>2.8244663285024235E-3</v>
      </c>
      <c r="BC92" t="s">
        <v>103</v>
      </c>
    </row>
    <row r="94" spans="9:56">
      <c r="I94" t="s">
        <v>133</v>
      </c>
      <c r="J94" s="5">
        <f ca="1">MOD(AzimuthAlt!$C$42-J85,360)</f>
        <v>120.38217598968441</v>
      </c>
      <c r="K94" t="s">
        <v>1</v>
      </c>
      <c r="L94" s="82">
        <f ca="1">J94*PI()/180</f>
        <v>2.1010653317352563</v>
      </c>
      <c r="M94" t="s">
        <v>103</v>
      </c>
      <c r="P94" t="s">
        <v>133</v>
      </c>
      <c r="Q94" s="5">
        <f ca="1">MOD(AzimuthAlt!$C$42-Q85,360)</f>
        <v>78.011483420116178</v>
      </c>
      <c r="R94" t="s">
        <v>1</v>
      </c>
      <c r="S94" s="82">
        <f ca="1">Q94*PI()/180</f>
        <v>1.3615572400459941</v>
      </c>
      <c r="T94" t="s">
        <v>103</v>
      </c>
      <c r="W94" t="s">
        <v>133</v>
      </c>
      <c r="X94" s="5">
        <f ca="1">MOD(AzimuthAlt!$C$42-X85,360)</f>
        <v>7.3913310365519607</v>
      </c>
      <c r="Y94" t="s">
        <v>1</v>
      </c>
      <c r="Z94" s="82">
        <f ca="1">X94*PI()/180</f>
        <v>0.12900306269267706</v>
      </c>
      <c r="AA94" t="s">
        <v>103</v>
      </c>
      <c r="AD94" t="s">
        <v>133</v>
      </c>
      <c r="AE94" s="5">
        <f ca="1">MOD(AzimuthAlt!$C$42-AE85,360)</f>
        <v>73.114764483820068</v>
      </c>
      <c r="AF94" t="s">
        <v>1</v>
      </c>
      <c r="AG94" s="82">
        <f ca="1">AE94*PI()/180</f>
        <v>1.2760933720628724</v>
      </c>
      <c r="AH94" t="s">
        <v>103</v>
      </c>
      <c r="AK94" t="s">
        <v>133</v>
      </c>
      <c r="AL94" s="5">
        <f ca="1">MOD(AzimuthAlt!$C$42-AL85,360)</f>
        <v>112.29759417865858</v>
      </c>
      <c r="AM94" t="s">
        <v>1</v>
      </c>
      <c r="AN94" s="82">
        <f ca="1">AL94*PI()/180</f>
        <v>1.9599627604860097</v>
      </c>
      <c r="AO94" t="s">
        <v>103</v>
      </c>
      <c r="AR94" t="s">
        <v>133</v>
      </c>
      <c r="AS94" s="5">
        <f ca="1">MOD(AzimuthAlt!$C$42-AS85,360)</f>
        <v>40.542740586758249</v>
      </c>
      <c r="AT94" t="s">
        <v>1</v>
      </c>
      <c r="AU94" s="82">
        <f ca="1">AS94*PI()/180</f>
        <v>0.70760431102086918</v>
      </c>
      <c r="AV94" t="s">
        <v>103</v>
      </c>
      <c r="AY94" t="s">
        <v>133</v>
      </c>
      <c r="AZ94" s="5">
        <f ca="1">MOD(AzimuthAlt!$C$42-AZ85,360)</f>
        <v>88.286073403403122</v>
      </c>
      <c r="BA94" t="s">
        <v>1</v>
      </c>
      <c r="BB94" s="82">
        <f ca="1">AZ94*PI()/180</f>
        <v>1.5408826645467804</v>
      </c>
      <c r="BC94" t="s">
        <v>103</v>
      </c>
    </row>
    <row r="96" spans="9:56" ht="18.75">
      <c r="I96" s="130" t="str">
        <f>CONCATENATE(I15,"'s Altitude")</f>
        <v>Mercury's Altitude</v>
      </c>
      <c r="J96" s="97">
        <f ca="1">L96*180/PI()</f>
        <v>-31.76264520114837</v>
      </c>
      <c r="K96" t="s">
        <v>1</v>
      </c>
      <c r="L96" s="83">
        <f ca="1">ASIN(SIN(L90)*SIN(L87)+COS(L90)*COS(L87)*COS(L94))</f>
        <v>-0.55436273790281565</v>
      </c>
      <c r="M96" t="s">
        <v>103</v>
      </c>
      <c r="P96" s="130" t="str">
        <f>CONCATENATE(P15,"'s Altitude")</f>
        <v>Venus's Altitude</v>
      </c>
      <c r="Q96" s="97">
        <f ca="1">S96*180/PI()</f>
        <v>8.6528066075825478</v>
      </c>
      <c r="R96" t="s">
        <v>1</v>
      </c>
      <c r="S96" s="83">
        <f ca="1">ASIN(SIN(S90)*SIN(S87)+COS(S90)*COS(S87)*COS(S94))</f>
        <v>0.1510199648406364</v>
      </c>
      <c r="T96" t="s">
        <v>103</v>
      </c>
      <c r="W96" s="130" t="str">
        <f>CONCATENATE(W15,"'s Altitude")</f>
        <v>Mars's Altitude</v>
      </c>
      <c r="X96" s="97">
        <f ca="1">Z96*180/PI()</f>
        <v>63.402639226117131</v>
      </c>
      <c r="Y96" t="s">
        <v>1</v>
      </c>
      <c r="Z96" s="83">
        <f ca="1">ASIN(SIN(Z90)*SIN(Z87)+COS(Z90)*COS(Z87)*COS(Z94))</f>
        <v>1.1065848089498536</v>
      </c>
      <c r="AA96" t="s">
        <v>103</v>
      </c>
      <c r="AD96" s="130" t="str">
        <f>CONCATENATE(AD15,"'s Altitude")</f>
        <v>Jupiter's Altitude</v>
      </c>
      <c r="AE96" s="97">
        <f ca="1">AG96*180/PI()</f>
        <v>13.084026657715198</v>
      </c>
      <c r="AF96" t="s">
        <v>1</v>
      </c>
      <c r="AG96" s="83">
        <f ca="1">ASIN(SIN(AG90)*SIN(AG87)+COS(AG90)*COS(AG87)*COS(AG94))</f>
        <v>0.22835934459583934</v>
      </c>
      <c r="AH96" t="s">
        <v>103</v>
      </c>
      <c r="AK96" s="130" t="str">
        <f>CONCATENATE(AK15,"'s Altitude")</f>
        <v>Saturn's Altitude</v>
      </c>
      <c r="AL96" s="97">
        <f ca="1">AN96*180/PI()</f>
        <v>-24.080627665726148</v>
      </c>
      <c r="AM96" t="s">
        <v>1</v>
      </c>
      <c r="AN96" s="83">
        <f ca="1">ASIN(SIN(AN90)*SIN(AN87)+COS(AN90)*COS(AN87)*COS(AN94))</f>
        <v>-0.42028623871375775</v>
      </c>
      <c r="AO96" t="s">
        <v>103</v>
      </c>
      <c r="AR96" s="130" t="str">
        <f>CONCATENATE(AR15,"'s Altitude")</f>
        <v>Uranus's Altitude</v>
      </c>
      <c r="AS96" s="97">
        <f ca="1">AU96*180/PI()</f>
        <v>42.337923249666986</v>
      </c>
      <c r="AT96" t="s">
        <v>1</v>
      </c>
      <c r="AU96" s="83">
        <f ca="1">ASIN(SIN(AU90)*SIN(AU87)+COS(AU90)*COS(AU87)*COS(AU94))</f>
        <v>0.7389361591633461</v>
      </c>
      <c r="AV96" t="s">
        <v>103</v>
      </c>
      <c r="AY96" s="130" t="str">
        <f>CONCATENATE(AY15,"'s Altitude")</f>
        <v>Neptune's Altitude</v>
      </c>
      <c r="AZ96" s="97">
        <f ca="1">BB96*180/PI()</f>
        <v>-1.4961428091013798</v>
      </c>
      <c r="BA96" t="s">
        <v>1</v>
      </c>
      <c r="BB96" s="83">
        <f ca="1">ASIN(SIN(BB90)*SIN(BB87)+COS(BB90)*COS(BB87)*COS(BB94))</f>
        <v>-2.6112618098856059E-2</v>
      </c>
      <c r="BC96" t="s">
        <v>103</v>
      </c>
    </row>
    <row r="98" spans="9:55">
      <c r="I98" t="s">
        <v>326</v>
      </c>
      <c r="J98" s="143">
        <f ca="1">90-J96</f>
        <v>121.76264520114837</v>
      </c>
      <c r="P98" t="s">
        <v>326</v>
      </c>
      <c r="Q98" s="143">
        <f ca="1">90-Q96</f>
        <v>81.347193392417452</v>
      </c>
      <c r="W98" t="s">
        <v>326</v>
      </c>
      <c r="X98" s="143">
        <f ca="1">90-X96</f>
        <v>26.597360773882869</v>
      </c>
      <c r="AD98" t="s">
        <v>326</v>
      </c>
      <c r="AE98" s="143">
        <f ca="1">90-AE96</f>
        <v>76.915973342284801</v>
      </c>
      <c r="AK98" t="s">
        <v>326</v>
      </c>
      <c r="AL98" s="143">
        <f ca="1">90-AL96</f>
        <v>114.08062766572615</v>
      </c>
      <c r="AR98" t="s">
        <v>326</v>
      </c>
      <c r="AS98" s="143">
        <f ca="1">90-AS96</f>
        <v>47.662076750333014</v>
      </c>
      <c r="AY98" t="s">
        <v>326</v>
      </c>
      <c r="AZ98" s="143">
        <f ca="1">90-AZ96</f>
        <v>91.496142809101386</v>
      </c>
    </row>
    <row r="100" spans="9:55">
      <c r="I100" t="s">
        <v>325</v>
      </c>
      <c r="L100" s="144">
        <f ca="1">COS(L87)*SIN(-L94)/COS(L96)</f>
        <v>-0.97218266311131885</v>
      </c>
      <c r="M100" t="s">
        <v>103</v>
      </c>
      <c r="P100" t="s">
        <v>325</v>
      </c>
      <c r="S100" s="144">
        <f ca="1">COS(S87)*SIN(-S94)/COS(S96)</f>
        <v>-0.98910668634719923</v>
      </c>
      <c r="T100" t="s">
        <v>103</v>
      </c>
      <c r="W100" t="s">
        <v>325</v>
      </c>
      <c r="Z100" s="144">
        <f ca="1">COS(Z87)*SIN(-Z94)/COS(Z96)</f>
        <v>-0.25977951073334327</v>
      </c>
      <c r="AA100" t="s">
        <v>103</v>
      </c>
      <c r="AD100" t="s">
        <v>325</v>
      </c>
      <c r="AG100" s="144">
        <f ca="1">COS(AG87)*SIN(-AG94)/COS(AG96)</f>
        <v>-0.98075510146241796</v>
      </c>
      <c r="AH100" t="s">
        <v>103</v>
      </c>
      <c r="AK100" t="s">
        <v>325</v>
      </c>
      <c r="AN100" s="144">
        <f ca="1">COS(AN87)*SIN(-AN94)/COS(AN96)</f>
        <v>-0.98703165566688222</v>
      </c>
      <c r="AO100" t="s">
        <v>103</v>
      </c>
      <c r="AR100" t="s">
        <v>325</v>
      </c>
      <c r="AU100" s="144">
        <f ca="1">COS(AU87)*SIN(-AU94)/COS(AU96)</f>
        <v>-0.84468228057763695</v>
      </c>
      <c r="AV100" t="s">
        <v>103</v>
      </c>
      <c r="AY100" t="s">
        <v>325</v>
      </c>
      <c r="BB100" s="144">
        <f ca="1">COS(BB87)*SIN(-BB94)/COS(BB96)</f>
        <v>-0.99824528919626498</v>
      </c>
      <c r="BC100" t="s">
        <v>103</v>
      </c>
    </row>
    <row r="101" spans="9:55">
      <c r="I101" t="s">
        <v>9</v>
      </c>
      <c r="P101" t="s">
        <v>9</v>
      </c>
      <c r="W101" t="s">
        <v>9</v>
      </c>
      <c r="AD101" t="s">
        <v>9</v>
      </c>
      <c r="AK101" t="s">
        <v>9</v>
      </c>
      <c r="AR101" t="s">
        <v>9</v>
      </c>
      <c r="AY101" t="s">
        <v>9</v>
      </c>
    </row>
    <row r="102" spans="9:55">
      <c r="L102" s="144">
        <f ca="1">(SIN(L87)-SIN(L96)*SIN(L90))/(COS(L96)*COS(L90))</f>
        <v>0.23422397303816647</v>
      </c>
      <c r="M102" t="s">
        <v>103</v>
      </c>
      <c r="S102" s="144">
        <f ca="1">(SIN(S87)-SIN(S96)*SIN(S90))/(COS(S96)*COS(S90))</f>
        <v>-0.1472004178773389</v>
      </c>
      <c r="T102" t="s">
        <v>103</v>
      </c>
      <c r="Z102" s="144">
        <f ca="1">(SIN(Z87)-SIN(Z96)*SIN(Z90))/(COS(Z96)*COS(Z90))</f>
        <v>-0.96566795835998731</v>
      </c>
      <c r="AA102" t="s">
        <v>103</v>
      </c>
      <c r="AG102" s="144">
        <f ca="1">(SIN(AG87)-SIN(AG96)*SIN(AG90))/(COS(AG96)*COS(AG90))</f>
        <v>-0.19524198051505734</v>
      </c>
      <c r="AH102" t="s">
        <v>103</v>
      </c>
      <c r="AN102" s="144">
        <f ca="1">(SIN(AN87)-SIN(AN96)*SIN(AN90))/(COS(AN96)*COS(AN90))</f>
        <v>0.16052573224094951</v>
      </c>
      <c r="AO102" t="s">
        <v>103</v>
      </c>
      <c r="AU102" s="144">
        <f ca="1">(SIN(AU87)-SIN(AU96)*SIN(AU90))/(COS(AU96)*COS(AU90))</f>
        <v>-0.53526801219404319</v>
      </c>
      <c r="AV102" t="s">
        <v>103</v>
      </c>
      <c r="BB102" s="144">
        <f ca="1">(SIN(BB87)-SIN(BB96)*SIN(BB90))/(COS(BB96)*COS(BB90))</f>
        <v>-5.9214378300082887E-2</v>
      </c>
      <c r="BC102" t="s">
        <v>103</v>
      </c>
    </row>
    <row r="104" spans="9:55" ht="18.75">
      <c r="I104" s="129" t="str">
        <f>CONCATENATE(I15,"'s Azimuth")</f>
        <v>Mercury's Azimuth</v>
      </c>
      <c r="J104" s="87">
        <f ca="1">MOD(L104*180/PI(),360)</f>
        <v>283.54588306639579</v>
      </c>
      <c r="K104" t="s">
        <v>1</v>
      </c>
      <c r="L104">
        <f ca="1">ATAN2(L102,L100)</f>
        <v>-1.3343760671961447</v>
      </c>
      <c r="M104" t="s">
        <v>103</v>
      </c>
      <c r="P104" s="129" t="str">
        <f>CONCATENATE(P15,"'s Azimuth")</f>
        <v>Venus's Azimuth</v>
      </c>
      <c r="Q104" s="87">
        <f ca="1">MOD(S104*180/PI(),360)</f>
        <v>261.53527864541036</v>
      </c>
      <c r="R104" t="s">
        <v>1</v>
      </c>
      <c r="S104">
        <f ca="1">ATAN2(S102,S100)</f>
        <v>-1.7185335846963599</v>
      </c>
      <c r="T104" t="s">
        <v>103</v>
      </c>
      <c r="W104" s="129" t="str">
        <f>CONCATENATE(W15,"'s Azimuth")</f>
        <v>Mars's Azimuth</v>
      </c>
      <c r="X104" s="87">
        <f ca="1">MOD(Z104*180/PI(),360)</f>
        <v>195.05697949839706</v>
      </c>
      <c r="Y104" t="s">
        <v>1</v>
      </c>
      <c r="Z104">
        <f ca="1">ATAN2(Z102,Z100)</f>
        <v>-2.8787987859374802</v>
      </c>
      <c r="AA104" t="s">
        <v>103</v>
      </c>
      <c r="AD104" s="129" t="str">
        <f>CONCATENATE(AD15,"'s Azimuth")</f>
        <v>Jupiter's Azimuth</v>
      </c>
      <c r="AE104" s="87">
        <f ca="1">MOD(AG104*180/PI(),360)</f>
        <v>258.7411402365417</v>
      </c>
      <c r="AF104" t="s">
        <v>1</v>
      </c>
      <c r="AG104">
        <f ca="1">ATAN2(AG102,AG100)</f>
        <v>-1.7673004996875536</v>
      </c>
      <c r="AH104" t="s">
        <v>103</v>
      </c>
      <c r="AK104" s="129" t="str">
        <f>CONCATENATE(AK15,"'s Azimuth")</f>
        <v>Saturn's Azimuth</v>
      </c>
      <c r="AL104" s="87">
        <f ca="1">MOD(AN104*180/PI(),360)</f>
        <v>279.23741290765827</v>
      </c>
      <c r="AM104" t="s">
        <v>1</v>
      </c>
      <c r="AN104">
        <f ca="1">ATAN2(AN102,AN100)</f>
        <v>-1.4095730571900373</v>
      </c>
      <c r="AO104" t="s">
        <v>103</v>
      </c>
      <c r="AR104" s="129" t="str">
        <f>CONCATENATE(AR15,"'s Azimuth")</f>
        <v>Uranus's Azimuth</v>
      </c>
      <c r="AS104" s="87">
        <f ca="1">MOD(AU104*180/PI(),360)</f>
        <v>237.63791083554037</v>
      </c>
      <c r="AT104" t="s">
        <v>1</v>
      </c>
      <c r="AU104">
        <f ca="1">ATAN2(AU102,AU100)</f>
        <v>-2.1356213355386977</v>
      </c>
      <c r="AV104" t="s">
        <v>103</v>
      </c>
      <c r="AY104" s="129" t="str">
        <f>CONCATENATE(AY15,"'s Azimuth")</f>
        <v>Neptune's Azimuth</v>
      </c>
      <c r="AZ104" s="87">
        <f ca="1">MOD(BB104*180/PI(),360)</f>
        <v>266.60528022071799</v>
      </c>
      <c r="BA104" t="s">
        <v>1</v>
      </c>
      <c r="BB104">
        <f ca="1">ATAN2(BB102,BB100)</f>
        <v>-1.6300453641259431</v>
      </c>
      <c r="BC104" t="s">
        <v>103</v>
      </c>
    </row>
  </sheetData>
  <dataValidations disablePrompts="1" count="2">
    <dataValidation type="list" allowBlank="1" showInputMessage="1" showErrorMessage="1" sqref="D3:D4 D12:D13" xr:uid="{5E2750EB-CEC8-4DF1-BFEB-F503A9C308E2}">
      <formula1>$C$5:$J$5</formula1>
    </dataValidation>
    <dataValidation type="list" allowBlank="1" showInputMessage="1" showErrorMessage="1" sqref="AY15 I15 P15 W15 AD15 AK15 AR15" xr:uid="{8408B148-7AEF-4657-8415-5F4428CBBF52}">
      <formula1>$C$5:$I$5</formula1>
    </dataValidation>
  </dataValidations>
  <hyperlinks>
    <hyperlink ref="AL3" r:id="rId1" location="6" display="6" xr:uid="{EE62FA3D-30B2-44DC-96A5-3785361B9582}"/>
  </hyperlinks>
  <pageMargins left="0.7" right="0.7" top="0.75" bottom="0.75" header="0.3" footer="0.3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76D6E-4C0D-406B-BBFD-28B95DC1C2CE}">
  <dimension ref="B2:L22"/>
  <sheetViews>
    <sheetView workbookViewId="0">
      <selection activeCell="C17" sqref="C17"/>
    </sheetView>
  </sheetViews>
  <sheetFormatPr defaultRowHeight="15"/>
  <cols>
    <col min="1" max="1" width="5.42578125" customWidth="1"/>
    <col min="2" max="2" width="19.7109375" customWidth="1"/>
    <col min="3" max="3" width="15.140625" customWidth="1"/>
    <col min="5" max="5" width="13.42578125" customWidth="1"/>
  </cols>
  <sheetData>
    <row r="2" spans="2:12" ht="23.25">
      <c r="B2" s="20" t="s">
        <v>248</v>
      </c>
    </row>
    <row r="3" spans="2:12">
      <c r="L3" s="7" t="s">
        <v>174</v>
      </c>
    </row>
    <row r="4" spans="2:12">
      <c r="B4" t="s">
        <v>247</v>
      </c>
      <c r="C4" s="138">
        <f ca="1">RightAscensionDecl!C32</f>
        <v>336.91646124105591</v>
      </c>
      <c r="D4" t="s">
        <v>1</v>
      </c>
      <c r="E4" s="100">
        <f ca="1">RADIANS(C4)</f>
        <v>5.8803015528242861</v>
      </c>
      <c r="F4" t="s">
        <v>103</v>
      </c>
    </row>
    <row r="5" spans="2:12">
      <c r="L5" s="6" t="s">
        <v>258</v>
      </c>
    </row>
    <row r="6" spans="2:12">
      <c r="B6" t="s">
        <v>246</v>
      </c>
      <c r="C6" s="138">
        <f ca="1">Moon2!C18</f>
        <v>49.170559952384792</v>
      </c>
      <c r="D6" t="s">
        <v>1</v>
      </c>
      <c r="E6" s="100">
        <f ca="1">RADIANS(C6)</f>
        <v>0.8581881662183809</v>
      </c>
      <c r="F6" t="s">
        <v>103</v>
      </c>
      <c r="L6" s="6" t="s">
        <v>250</v>
      </c>
    </row>
    <row r="7" spans="2:12">
      <c r="L7" s="6" t="s">
        <v>251</v>
      </c>
    </row>
    <row r="8" spans="2:12">
      <c r="B8" t="s">
        <v>248</v>
      </c>
      <c r="C8" s="5">
        <f ca="1">C4-C6</f>
        <v>287.74590128867112</v>
      </c>
      <c r="D8" t="s">
        <v>1</v>
      </c>
      <c r="E8" s="100">
        <f ca="1">RADIANS(C8)</f>
        <v>5.0221133866059056</v>
      </c>
      <c r="F8" t="s">
        <v>103</v>
      </c>
      <c r="L8" s="6" t="s">
        <v>252</v>
      </c>
    </row>
    <row r="9" spans="2:12">
      <c r="L9" s="6" t="s">
        <v>253</v>
      </c>
    </row>
    <row r="10" spans="2:12" ht="21">
      <c r="B10" s="146" t="s">
        <v>249</v>
      </c>
      <c r="C10" s="147">
        <f ca="1">(1-COS(E8))/2</f>
        <v>0.34760191617265912</v>
      </c>
      <c r="L10" s="6" t="s">
        <v>254</v>
      </c>
    </row>
    <row r="11" spans="2:12">
      <c r="L11" s="6" t="s">
        <v>255</v>
      </c>
    </row>
    <row r="12" spans="2:12">
      <c r="L12" s="6" t="s">
        <v>256</v>
      </c>
    </row>
    <row r="13" spans="2:12">
      <c r="L13" s="6" t="s">
        <v>257</v>
      </c>
    </row>
    <row r="14" spans="2:12">
      <c r="L14" s="6" t="s">
        <v>302</v>
      </c>
    </row>
    <row r="19" spans="3:3">
      <c r="C19" s="148"/>
    </row>
    <row r="20" spans="3:3">
      <c r="C20" s="148"/>
    </row>
    <row r="22" spans="3:3">
      <c r="C22" s="148"/>
    </row>
  </sheetData>
  <hyperlinks>
    <hyperlink ref="L5" r:id="rId1" xr:uid="{523E58DB-2F2F-427A-9F97-DB7E9F469F97}"/>
    <hyperlink ref="L6" r:id="rId2" xr:uid="{0DE3A562-77BD-40D9-A5D2-A8AB96EE90E5}"/>
    <hyperlink ref="L7" r:id="rId3" xr:uid="{67C5A6E0-591C-4B19-B208-7535C25A2508}"/>
    <hyperlink ref="L8" r:id="rId4" xr:uid="{2FBA5F36-1692-4061-9E4E-304348F4F00F}"/>
    <hyperlink ref="L9" r:id="rId5" xr:uid="{55F070C8-35CB-4449-B78A-BFF0E9B311E5}"/>
    <hyperlink ref="L10" r:id="rId6" xr:uid="{53BE69E4-5BCF-49DD-A707-88EDFA29760E}"/>
    <hyperlink ref="L11" r:id="rId7" xr:uid="{A25A2E57-18CC-43F3-BAAA-5B00EB5B5910}"/>
    <hyperlink ref="L12" r:id="rId8" xr:uid="{21CBDF76-7D91-4644-AB23-2859A9E4B664}"/>
    <hyperlink ref="L13" r:id="rId9" xr:uid="{B795DC02-EAF1-45ED-9804-4DCD4C8B5C6F}"/>
    <hyperlink ref="L14" r:id="rId10" display="https://www.perkinselearning.org/accessible-science/activities/relating-tides-moon-phases" xr:uid="{1EDC4C98-7428-4F57-88C2-D4FBEC8850B8}"/>
  </hyperlinks>
  <pageMargins left="0.7" right="0.7" top="0.75" bottom="0.75" header="0.3" footer="0.3"/>
  <drawing r:id="rId1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620BB-39E0-4F39-9543-8FED941DF4F8}">
  <sheetPr>
    <tabColor rgb="FF92D050"/>
  </sheetPr>
  <dimension ref="B2:AD50"/>
  <sheetViews>
    <sheetView tabSelected="1" zoomScale="120" zoomScaleNormal="120" workbookViewId="0">
      <selection activeCell="J25" sqref="J25"/>
    </sheetView>
  </sheetViews>
  <sheetFormatPr defaultRowHeight="15"/>
  <cols>
    <col min="1" max="1" width="3.42578125" customWidth="1"/>
    <col min="2" max="2" width="3" customWidth="1"/>
    <col min="3" max="3" width="22.28515625" customWidth="1"/>
    <col min="4" max="4" width="22.42578125" bestFit="1" customWidth="1"/>
    <col min="6" max="6" width="1.42578125" customWidth="1"/>
    <col min="7" max="7" width="4.42578125" customWidth="1"/>
    <col min="8" max="8" width="2.140625" customWidth="1"/>
    <col min="9" max="9" width="20.42578125" customWidth="1"/>
    <col min="12" max="12" width="1.85546875" customWidth="1"/>
    <col min="13" max="13" width="4.42578125" customWidth="1"/>
    <col min="14" max="14" width="2.140625" customWidth="1"/>
    <col min="15" max="15" width="21.140625" customWidth="1"/>
    <col min="16" max="16" width="14" customWidth="1"/>
    <col min="18" max="18" width="2.42578125" customWidth="1"/>
    <col min="19" max="19" width="4.42578125" customWidth="1"/>
    <col min="20" max="20" width="3.28515625" customWidth="1"/>
    <col min="21" max="21" width="25" bestFit="1" customWidth="1"/>
    <col min="22" max="22" width="8.7109375" bestFit="1" customWidth="1"/>
    <col min="23" max="23" width="9.5703125" bestFit="1" customWidth="1"/>
    <col min="24" max="24" width="2.7109375" customWidth="1"/>
    <col min="25" max="25" width="3.5703125" customWidth="1"/>
    <col min="26" max="26" width="10.7109375" customWidth="1"/>
    <col min="27" max="27" width="3" customWidth="1"/>
    <col min="28" max="28" width="21" customWidth="1"/>
    <col min="29" max="29" width="7.5703125" bestFit="1" customWidth="1"/>
    <col min="30" max="30" width="9.28515625" customWidth="1"/>
  </cols>
  <sheetData>
    <row r="2" spans="2:30" ht="23.25">
      <c r="B2" s="20" t="s">
        <v>180</v>
      </c>
      <c r="N2" s="20" t="s">
        <v>269</v>
      </c>
      <c r="T2" s="20" t="s">
        <v>333</v>
      </c>
    </row>
    <row r="4" spans="2:30">
      <c r="B4" s="57"/>
      <c r="C4" s="58"/>
      <c r="D4" s="58"/>
      <c r="E4" s="58"/>
      <c r="F4" s="59"/>
      <c r="H4" s="57"/>
      <c r="I4" s="58"/>
      <c r="J4" s="58"/>
      <c r="K4" s="58"/>
      <c r="L4" s="59"/>
      <c r="N4" s="57"/>
      <c r="O4" s="58"/>
      <c r="P4" s="58"/>
      <c r="Q4" s="58"/>
      <c r="R4" s="59"/>
      <c r="T4" s="57"/>
      <c r="U4" s="58"/>
      <c r="V4" s="58"/>
      <c r="W4" s="58"/>
      <c r="X4" s="59"/>
      <c r="Z4" s="218"/>
      <c r="AA4" s="57"/>
      <c r="AB4" s="58"/>
      <c r="AC4" s="58"/>
      <c r="AD4" s="59"/>
    </row>
    <row r="5" spans="2:30">
      <c r="B5" s="60"/>
      <c r="C5" s="12" t="s">
        <v>13</v>
      </c>
      <c r="D5" s="132">
        <f ca="1">NOW()</f>
        <v>44982.800206828702</v>
      </c>
      <c r="E5" s="12"/>
      <c r="F5" s="61"/>
      <c r="H5" s="60"/>
      <c r="I5" s="12" t="s">
        <v>169</v>
      </c>
      <c r="J5" s="167">
        <f>SunRiseSet!C6</f>
        <v>0</v>
      </c>
      <c r="K5" s="167">
        <f ca="1">SunRiseSet!D6</f>
        <v>0.20992421184789603</v>
      </c>
      <c r="L5" s="61"/>
      <c r="N5" s="60"/>
      <c r="O5" s="12" t="s">
        <v>227</v>
      </c>
      <c r="P5" s="197">
        <f ca="1">Moon2!C54/360</f>
        <v>0.1288880560980761</v>
      </c>
      <c r="Q5" s="12" t="s">
        <v>172</v>
      </c>
      <c r="R5" s="61"/>
      <c r="T5" s="60"/>
      <c r="U5" s="216" t="s">
        <v>331</v>
      </c>
      <c r="V5" s="197">
        <f ca="1">Planets!M85</f>
        <v>0.89789829520351305</v>
      </c>
      <c r="W5" s="12" t="s">
        <v>172</v>
      </c>
      <c r="X5" s="61"/>
      <c r="Z5" s="218"/>
      <c r="AA5" s="60"/>
      <c r="AB5" s="2" t="s">
        <v>334</v>
      </c>
      <c r="AC5" s="131">
        <f ca="1">Planets!J96</f>
        <v>-31.76264520114837</v>
      </c>
      <c r="AD5" s="61" t="s">
        <v>1</v>
      </c>
    </row>
    <row r="6" spans="2:30">
      <c r="B6" s="60"/>
      <c r="C6" s="12"/>
      <c r="D6" s="12"/>
      <c r="E6" s="12"/>
      <c r="F6" s="61"/>
      <c r="H6" s="60"/>
      <c r="I6" s="12"/>
      <c r="J6" s="167"/>
      <c r="K6" s="167"/>
      <c r="L6" s="61"/>
      <c r="N6" s="60"/>
      <c r="O6" s="12"/>
      <c r="P6" s="12"/>
      <c r="Q6" s="12"/>
      <c r="R6" s="61"/>
      <c r="T6" s="60"/>
      <c r="U6" s="12"/>
      <c r="V6" s="12"/>
      <c r="W6" s="12"/>
      <c r="X6" s="61"/>
      <c r="Z6" s="218"/>
      <c r="AA6" s="60"/>
      <c r="AB6" s="12"/>
      <c r="AC6" s="12"/>
      <c r="AD6" s="61"/>
    </row>
    <row r="7" spans="2:30">
      <c r="B7" s="60"/>
      <c r="C7" s="12" t="s">
        <v>30</v>
      </c>
      <c r="D7" s="133">
        <f ca="1">TimeScales!C17</f>
        <v>0.80020297076388891</v>
      </c>
      <c r="E7" s="12"/>
      <c r="F7" s="61"/>
      <c r="H7" s="60"/>
      <c r="I7" s="12" t="s">
        <v>170</v>
      </c>
      <c r="J7" s="167">
        <f ca="1">SunRiseSet!C8</f>
        <v>0.20992421184789603</v>
      </c>
      <c r="K7" s="167">
        <f ca="1">SunRiseSet!D8</f>
        <v>0.23666516856140141</v>
      </c>
      <c r="L7" s="61"/>
      <c r="N7" s="60"/>
      <c r="O7" s="12" t="s">
        <v>226</v>
      </c>
      <c r="P7" s="131">
        <f ca="1">Moon2!C56</f>
        <v>18.577971395937684</v>
      </c>
      <c r="Q7" s="12" t="s">
        <v>1</v>
      </c>
      <c r="R7" s="61"/>
      <c r="T7" s="60"/>
      <c r="U7" s="217" t="s">
        <v>332</v>
      </c>
      <c r="V7" s="131">
        <f ca="1">Planets!J87</f>
        <v>-16.630746686237963</v>
      </c>
      <c r="W7" s="12" t="s">
        <v>1</v>
      </c>
      <c r="X7" s="61"/>
      <c r="Z7" s="218"/>
      <c r="AA7" s="60"/>
      <c r="AB7" s="196" t="s">
        <v>335</v>
      </c>
      <c r="AC7" s="131">
        <f ca="1">Planets!J104</f>
        <v>283.54588306639579</v>
      </c>
      <c r="AD7" s="61" t="s">
        <v>1</v>
      </c>
    </row>
    <row r="8" spans="2:30">
      <c r="B8" s="62"/>
      <c r="C8" s="63"/>
      <c r="D8" s="63"/>
      <c r="E8" s="63"/>
      <c r="F8" s="64"/>
      <c r="H8" s="60"/>
      <c r="I8" s="12"/>
      <c r="J8" s="167"/>
      <c r="K8" s="167"/>
      <c r="L8" s="61"/>
      <c r="N8" s="62"/>
      <c r="O8" s="63"/>
      <c r="P8" s="63"/>
      <c r="Q8" s="63"/>
      <c r="R8" s="64"/>
      <c r="T8" s="62"/>
      <c r="U8" s="63"/>
      <c r="V8" s="63"/>
      <c r="W8" s="63"/>
      <c r="X8" s="64"/>
      <c r="Z8" s="218"/>
      <c r="AA8" s="62"/>
      <c r="AB8" s="63"/>
      <c r="AC8" s="63"/>
      <c r="AD8" s="64"/>
    </row>
    <row r="9" spans="2:30">
      <c r="H9" s="60"/>
      <c r="I9" s="12" t="s">
        <v>167</v>
      </c>
      <c r="J9" s="167">
        <f ca="1">SunRiseSet!C10</f>
        <v>0.23666516856140141</v>
      </c>
      <c r="K9" s="167">
        <f ca="1">SunRiseSet!D10</f>
        <v>0.26337824856319503</v>
      </c>
      <c r="L9" s="61"/>
    </row>
    <row r="10" spans="2:30">
      <c r="B10" s="57"/>
      <c r="C10" s="58"/>
      <c r="D10" s="58"/>
      <c r="E10" s="58"/>
      <c r="F10" s="59"/>
      <c r="H10" s="60"/>
      <c r="I10" s="12"/>
      <c r="J10" s="167"/>
      <c r="K10" s="167"/>
      <c r="L10" s="61"/>
      <c r="N10" s="57"/>
      <c r="O10" s="58"/>
      <c r="P10" s="58"/>
      <c r="Q10" s="58"/>
      <c r="R10" s="59"/>
      <c r="T10" s="57"/>
      <c r="U10" s="58"/>
      <c r="V10" s="58"/>
      <c r="W10" s="58"/>
      <c r="X10" s="59"/>
      <c r="Z10" s="218"/>
      <c r="AA10" s="57"/>
      <c r="AB10" s="58"/>
      <c r="AC10" s="58"/>
      <c r="AD10" s="59"/>
    </row>
    <row r="11" spans="2:30">
      <c r="B11" s="60"/>
      <c r="C11" s="12" t="s">
        <v>182</v>
      </c>
      <c r="D11" s="12">
        <f>AzimuthAlt!C36</f>
        <v>51.287840000000003</v>
      </c>
      <c r="E11" s="12" t="s">
        <v>1</v>
      </c>
      <c r="F11" s="61"/>
      <c r="H11" s="60"/>
      <c r="I11" s="12" t="s">
        <v>166</v>
      </c>
      <c r="J11" s="167">
        <f ca="1">SunRiseSet!C12</f>
        <v>0.26337824856319503</v>
      </c>
      <c r="K11" s="167">
        <f ca="1">SunRiseSet!D12</f>
        <v>0.28752008793634376</v>
      </c>
      <c r="L11" s="61"/>
      <c r="N11" s="60"/>
      <c r="O11" s="2" t="s">
        <v>225</v>
      </c>
      <c r="P11" s="131">
        <f ca="1">Moon2!C65</f>
        <v>46.106931073391337</v>
      </c>
      <c r="Q11" s="12" t="s">
        <v>1</v>
      </c>
      <c r="R11" s="61"/>
      <c r="T11" s="60"/>
      <c r="U11" s="216" t="str">
        <f>Planets!P85</f>
        <v>Venus's Right Ascension</v>
      </c>
      <c r="V11" s="197">
        <f ca="1">Planets!T85</f>
        <v>1.5594663452313804E-2</v>
      </c>
      <c r="W11" s="12" t="s">
        <v>172</v>
      </c>
      <c r="X11" s="61"/>
      <c r="Z11" s="218"/>
      <c r="AA11" s="60"/>
      <c r="AB11" s="2" t="str">
        <f>Planets!P96</f>
        <v>Venus's Altitude</v>
      </c>
      <c r="AC11" s="131">
        <f ca="1">Planets!Q96</f>
        <v>8.6528066075825478</v>
      </c>
      <c r="AD11" s="61" t="s">
        <v>1</v>
      </c>
    </row>
    <row r="12" spans="2:30">
      <c r="B12" s="60"/>
      <c r="C12" s="12"/>
      <c r="D12" s="12"/>
      <c r="E12" s="12"/>
      <c r="F12" s="61"/>
      <c r="H12" s="60"/>
      <c r="I12" s="12"/>
      <c r="J12" s="167"/>
      <c r="K12" s="167"/>
      <c r="L12" s="61"/>
      <c r="N12" s="60"/>
      <c r="O12" s="12"/>
      <c r="P12" s="12"/>
      <c r="Q12" s="12"/>
      <c r="R12" s="61"/>
      <c r="T12" s="60"/>
      <c r="U12" s="12"/>
      <c r="V12" s="12"/>
      <c r="W12" s="12"/>
      <c r="X12" s="61"/>
      <c r="Z12" s="218"/>
      <c r="AA12" s="60"/>
      <c r="AB12" s="12"/>
      <c r="AC12" s="12"/>
      <c r="AD12" s="61"/>
    </row>
    <row r="13" spans="2:30">
      <c r="B13" s="60"/>
      <c r="C13" s="12" t="s">
        <v>183</v>
      </c>
      <c r="D13" s="134">
        <f>AzimuthAlt!C38</f>
        <v>0.16183</v>
      </c>
      <c r="E13" s="12" t="s">
        <v>1</v>
      </c>
      <c r="F13" s="61"/>
      <c r="H13" s="60"/>
      <c r="I13" s="111" t="s">
        <v>171</v>
      </c>
      <c r="J13" s="165">
        <f ca="1">SunRiseSet!C14</f>
        <v>0.28752008793634376</v>
      </c>
      <c r="K13" s="165">
        <f ca="1">SunRiseSet!D14</f>
        <v>0.72961547761039336</v>
      </c>
      <c r="L13" s="61"/>
      <c r="N13" s="60"/>
      <c r="O13" s="196" t="s">
        <v>235</v>
      </c>
      <c r="P13" s="163">
        <f ca="1">Moon2!C73</f>
        <v>235.80113198215287</v>
      </c>
      <c r="Q13" s="12" t="s">
        <v>1</v>
      </c>
      <c r="R13" s="61"/>
      <c r="T13" s="60"/>
      <c r="U13" s="217" t="str">
        <f>Planets!P87</f>
        <v>Venus's Declination</v>
      </c>
      <c r="V13" s="131">
        <f ca="1">Planets!Q87</f>
        <v>1.5116705344238923</v>
      </c>
      <c r="W13" s="12" t="s">
        <v>1</v>
      </c>
      <c r="X13" s="61"/>
      <c r="Z13" s="218"/>
      <c r="AA13" s="60"/>
      <c r="AB13" s="196" t="str">
        <f>Planets!P104</f>
        <v>Venus's Azimuth</v>
      </c>
      <c r="AC13" s="131">
        <f ca="1">Planets!Q104</f>
        <v>261.53527864541036</v>
      </c>
      <c r="AD13" s="61" t="s">
        <v>1</v>
      </c>
    </row>
    <row r="14" spans="2:30">
      <c r="B14" s="62"/>
      <c r="C14" s="63"/>
      <c r="D14" s="63"/>
      <c r="E14" s="63"/>
      <c r="F14" s="64"/>
      <c r="H14" s="60"/>
      <c r="I14" s="12"/>
      <c r="J14" s="167"/>
      <c r="K14" s="167"/>
      <c r="L14" s="61"/>
      <c r="N14" s="62"/>
      <c r="O14" s="63"/>
      <c r="P14" s="63"/>
      <c r="Q14" s="63"/>
      <c r="R14" s="64"/>
      <c r="T14" s="62"/>
      <c r="U14" s="63"/>
      <c r="V14" s="63"/>
      <c r="W14" s="63"/>
      <c r="X14" s="64"/>
      <c r="Z14" s="218"/>
      <c r="AA14" s="62"/>
      <c r="AB14" s="63"/>
      <c r="AC14" s="63"/>
      <c r="AD14" s="64"/>
    </row>
    <row r="15" spans="2:30">
      <c r="H15" s="60"/>
      <c r="I15" s="12" t="s">
        <v>166</v>
      </c>
      <c r="J15" s="167">
        <f ca="1">SunRiseSet!C16</f>
        <v>0.72961547761039336</v>
      </c>
      <c r="K15" s="167">
        <f ca="1">SunRiseSet!D16</f>
        <v>0.75375731698354198</v>
      </c>
      <c r="L15" s="61"/>
    </row>
    <row r="16" spans="2:30">
      <c r="B16" s="57"/>
      <c r="C16" s="58"/>
      <c r="D16" s="58"/>
      <c r="E16" s="58"/>
      <c r="F16" s="59"/>
      <c r="H16" s="60"/>
      <c r="I16" s="12"/>
      <c r="J16" s="167"/>
      <c r="K16" s="167"/>
      <c r="L16" s="61"/>
      <c r="N16" s="57"/>
      <c r="O16" s="58"/>
      <c r="P16" s="58"/>
      <c r="Q16" s="58"/>
      <c r="R16" s="59"/>
      <c r="T16" s="57"/>
      <c r="U16" s="58"/>
      <c r="V16" s="58"/>
      <c r="W16" s="58"/>
      <c r="X16" s="59"/>
      <c r="Z16" s="218"/>
      <c r="AA16" s="57"/>
      <c r="AB16" s="58"/>
      <c r="AC16" s="58"/>
      <c r="AD16" s="59"/>
    </row>
    <row r="17" spans="2:30">
      <c r="B17" s="60"/>
      <c r="C17" s="12" t="s">
        <v>108</v>
      </c>
      <c r="D17" s="198">
        <f ca="1">RightAscensionDecl!C38/360</f>
        <v>0.94067411073702545</v>
      </c>
      <c r="E17" s="12" t="s">
        <v>172</v>
      </c>
      <c r="F17" s="61"/>
      <c r="H17" s="60"/>
      <c r="I17" s="12" t="s">
        <v>167</v>
      </c>
      <c r="J17" s="167">
        <f ca="1">SunRiseSet!C18</f>
        <v>0.75375731698354198</v>
      </c>
      <c r="K17" s="167">
        <f ca="1">SunRiseSet!D18</f>
        <v>0.7804703969853356</v>
      </c>
      <c r="L17" s="61"/>
      <c r="N17" s="60"/>
      <c r="O17" s="12"/>
      <c r="P17" s="224" t="s">
        <v>344</v>
      </c>
      <c r="Q17" s="12"/>
      <c r="R17" s="61"/>
      <c r="T17" s="60"/>
      <c r="U17" s="216" t="str">
        <f>Planets!W85</f>
        <v>Mars's Right Ascension</v>
      </c>
      <c r="V17" s="197">
        <f ca="1">Planets!AA85</f>
        <v>0.21176175340665884</v>
      </c>
      <c r="W17" s="12" t="s">
        <v>172</v>
      </c>
      <c r="X17" s="61"/>
      <c r="Z17" s="218"/>
      <c r="AA17" s="60"/>
      <c r="AB17" s="2" t="str">
        <f>Planets!W96</f>
        <v>Mars's Altitude</v>
      </c>
      <c r="AC17" s="131">
        <f ca="1">Planets!X96</f>
        <v>63.402639226117131</v>
      </c>
      <c r="AD17" s="61" t="s">
        <v>1</v>
      </c>
    </row>
    <row r="18" spans="2:30">
      <c r="B18" s="60"/>
      <c r="C18" s="12"/>
      <c r="D18" s="12"/>
      <c r="E18" s="12"/>
      <c r="F18" s="61"/>
      <c r="H18" s="60"/>
      <c r="I18" s="12"/>
      <c r="J18" s="167"/>
      <c r="K18" s="167"/>
      <c r="L18" s="61"/>
      <c r="N18" s="60"/>
      <c r="O18" s="12" t="str">
        <f>MoonRiseSet!B5</f>
        <v>Moon-Rise</v>
      </c>
      <c r="P18" s="165">
        <f ca="1">MoonRiseSet!C5</f>
        <v>0.37372498260810971</v>
      </c>
      <c r="Q18" s="12"/>
      <c r="R18" s="61"/>
      <c r="T18" s="60"/>
      <c r="U18" s="12"/>
      <c r="V18" s="12"/>
      <c r="W18" s="12"/>
      <c r="X18" s="61"/>
      <c r="Z18" s="218"/>
      <c r="AA18" s="60"/>
      <c r="AB18" s="12"/>
      <c r="AC18" s="12"/>
      <c r="AD18" s="61"/>
    </row>
    <row r="19" spans="2:30">
      <c r="B19" s="60"/>
      <c r="C19" s="12" t="s">
        <v>4</v>
      </c>
      <c r="D19" s="131">
        <f ca="1">RightAscensionDecl!C41</f>
        <v>-8.9719847738756346</v>
      </c>
      <c r="E19" s="12" t="s">
        <v>1</v>
      </c>
      <c r="F19" s="61"/>
      <c r="H19" s="60"/>
      <c r="I19" s="12" t="s">
        <v>170</v>
      </c>
      <c r="J19" s="167">
        <f ca="1">SunRiseSet!C20</f>
        <v>0.7804703969853356</v>
      </c>
      <c r="K19" s="167">
        <f ca="1">SunRiseSet!D20</f>
        <v>0.80721135369884101</v>
      </c>
      <c r="L19" s="61"/>
      <c r="N19" s="60"/>
      <c r="O19" s="12"/>
      <c r="P19" s="12"/>
      <c r="Q19" s="12"/>
      <c r="R19" s="61"/>
      <c r="T19" s="60"/>
      <c r="U19" s="217" t="str">
        <f>Planets!W87</f>
        <v>Mars's Declination</v>
      </c>
      <c r="V19" s="131">
        <f ca="1">Planets!X87</f>
        <v>25.298189593436252</v>
      </c>
      <c r="W19" s="12" t="s">
        <v>1</v>
      </c>
      <c r="X19" s="61"/>
      <c r="Z19" s="218"/>
      <c r="AA19" s="60"/>
      <c r="AB19" s="196" t="str">
        <f>Planets!W104</f>
        <v>Mars's Azimuth</v>
      </c>
      <c r="AC19" s="131">
        <f ca="1">Planets!X104</f>
        <v>195.05697949839706</v>
      </c>
      <c r="AD19" s="61" t="s">
        <v>1</v>
      </c>
    </row>
    <row r="20" spans="2:30">
      <c r="B20" s="62"/>
      <c r="C20" s="63"/>
      <c r="D20" s="63"/>
      <c r="E20" s="63"/>
      <c r="F20" s="64"/>
      <c r="H20" s="60"/>
      <c r="I20" s="12"/>
      <c r="J20" s="167"/>
      <c r="K20" s="167"/>
      <c r="L20" s="61"/>
      <c r="N20" s="60"/>
      <c r="O20" s="12" t="str">
        <f>MoonRiseSet!B30</f>
        <v>Moon-Set</v>
      </c>
      <c r="P20" s="165">
        <f ca="1">MoonRiseSet!C30</f>
        <v>1.0272056916728616</v>
      </c>
      <c r="Q20" s="12"/>
      <c r="R20" s="61"/>
      <c r="T20" s="62"/>
      <c r="U20" s="63"/>
      <c r="V20" s="63"/>
      <c r="W20" s="63"/>
      <c r="X20" s="64"/>
      <c r="Z20" s="218"/>
      <c r="AA20" s="62"/>
      <c r="AB20" s="63"/>
      <c r="AC20" s="63"/>
      <c r="AD20" s="64"/>
    </row>
    <row r="21" spans="2:30">
      <c r="H21" s="60"/>
      <c r="I21" s="12" t="s">
        <v>169</v>
      </c>
      <c r="J21" s="167">
        <f ca="1">SunRiseSet!C22</f>
        <v>0.80721135369884101</v>
      </c>
      <c r="K21" s="167">
        <f>SunRiseSet!D22</f>
        <v>0.99930555555555556</v>
      </c>
      <c r="L21" s="61"/>
      <c r="N21" s="60"/>
      <c r="O21" s="12"/>
      <c r="P21" s="12"/>
      <c r="Q21" s="12"/>
      <c r="R21" s="61"/>
    </row>
    <row r="22" spans="2:30">
      <c r="B22" s="57"/>
      <c r="C22" s="58"/>
      <c r="D22" s="58"/>
      <c r="E22" s="58"/>
      <c r="F22" s="59"/>
      <c r="H22" s="62"/>
      <c r="I22" s="63"/>
      <c r="J22" s="63"/>
      <c r="K22" s="63"/>
      <c r="L22" s="64"/>
      <c r="N22" s="60"/>
      <c r="O22" s="12" t="s">
        <v>270</v>
      </c>
      <c r="P22" s="165">
        <f ca="1">(P18+P20)/2</f>
        <v>0.70046533714048564</v>
      </c>
      <c r="Q22" s="12"/>
      <c r="R22" s="61"/>
      <c r="T22" s="57"/>
      <c r="U22" s="58"/>
      <c r="V22" s="58"/>
      <c r="W22" s="58"/>
      <c r="X22" s="59"/>
      <c r="Z22" s="218"/>
      <c r="AA22" s="57"/>
      <c r="AB22" s="58"/>
      <c r="AC22" s="58"/>
      <c r="AD22" s="59"/>
    </row>
    <row r="23" spans="2:30">
      <c r="B23" s="60"/>
      <c r="C23" s="2" t="s">
        <v>8</v>
      </c>
      <c r="D23" s="131">
        <f ca="1">AzimuthAlt!C50</f>
        <v>-16.343623617036076</v>
      </c>
      <c r="E23" s="12" t="s">
        <v>1</v>
      </c>
      <c r="F23" s="61"/>
      <c r="N23" s="60"/>
      <c r="O23" s="12"/>
      <c r="P23" s="166"/>
      <c r="Q23" s="12"/>
      <c r="R23" s="61"/>
      <c r="T23" s="60"/>
      <c r="U23" s="216" t="str">
        <f>Planets!AD85</f>
        <v>Jupiter's Right Ascension</v>
      </c>
      <c r="V23" s="197">
        <f ca="1">Planets!AH85</f>
        <v>2.9196660497580761E-2</v>
      </c>
      <c r="W23" s="12" t="s">
        <v>172</v>
      </c>
      <c r="X23" s="61"/>
      <c r="Z23" s="218"/>
      <c r="AA23" s="60"/>
      <c r="AB23" s="2" t="str">
        <f>Planets!AD96</f>
        <v>Jupiter's Altitude</v>
      </c>
      <c r="AC23" s="131">
        <f ca="1">Planets!AE96</f>
        <v>13.084026657715198</v>
      </c>
      <c r="AD23" s="61" t="s">
        <v>1</v>
      </c>
    </row>
    <row r="24" spans="2:30">
      <c r="B24" s="60"/>
      <c r="C24" s="12"/>
      <c r="D24" s="12"/>
      <c r="E24" s="12"/>
      <c r="F24" s="61"/>
      <c r="K24" s="215"/>
      <c r="N24" s="60"/>
      <c r="O24" s="12" t="str">
        <f>PhaseOfMoon!B2</f>
        <v>Moon Phase</v>
      </c>
      <c r="P24" s="164">
        <f ca="1">PhaseOfMoon!C10</f>
        <v>0.34760191617265912</v>
      </c>
      <c r="Q24" s="12"/>
      <c r="R24" s="61"/>
      <c r="T24" s="60"/>
      <c r="U24" s="12"/>
      <c r="V24" s="12"/>
      <c r="W24" s="12"/>
      <c r="X24" s="61"/>
      <c r="Z24" s="218"/>
      <c r="AA24" s="60"/>
      <c r="AB24" s="12"/>
      <c r="AC24" s="12"/>
      <c r="AD24" s="61"/>
    </row>
    <row r="25" spans="2:30">
      <c r="B25" s="60"/>
      <c r="C25" s="196" t="s">
        <v>7</v>
      </c>
      <c r="D25" s="131">
        <f ca="1">AzimuthAlt!C58</f>
        <v>276.08553090326592</v>
      </c>
      <c r="E25" s="12" t="s">
        <v>1</v>
      </c>
      <c r="F25" s="61"/>
      <c r="N25" s="60"/>
      <c r="O25" s="12"/>
      <c r="P25" s="12"/>
      <c r="Q25" s="12"/>
      <c r="R25" s="61"/>
      <c r="T25" s="60"/>
      <c r="U25" s="217" t="str">
        <f>Planets!AD87</f>
        <v>Jupiter's Declination</v>
      </c>
      <c r="V25" s="131">
        <f ca="1">Planets!AE87</f>
        <v>3.3082419867440191</v>
      </c>
      <c r="W25" s="12" t="s">
        <v>1</v>
      </c>
      <c r="X25" s="61"/>
      <c r="Z25" s="218"/>
      <c r="AA25" s="60"/>
      <c r="AB25" s="196" t="str">
        <f>Planets!AD104</f>
        <v>Jupiter's Azimuth</v>
      </c>
      <c r="AC25" s="131">
        <f ca="1">Planets!AE104</f>
        <v>258.7411402365417</v>
      </c>
      <c r="AD25" s="61" t="s">
        <v>1</v>
      </c>
    </row>
    <row r="26" spans="2:30">
      <c r="B26" s="62"/>
      <c r="C26" s="63"/>
      <c r="D26" s="63"/>
      <c r="E26" s="63"/>
      <c r="F26" s="64"/>
      <c r="K26" s="215"/>
      <c r="N26" s="62"/>
      <c r="O26" s="63"/>
      <c r="P26" s="63"/>
      <c r="Q26" s="63"/>
      <c r="R26" s="64"/>
      <c r="T26" s="62"/>
      <c r="U26" s="63"/>
      <c r="V26" s="63"/>
      <c r="W26" s="63"/>
      <c r="X26" s="64"/>
      <c r="Z26" s="218"/>
      <c r="AA26" s="62"/>
      <c r="AB26" s="63"/>
      <c r="AC26" s="63"/>
      <c r="AD26" s="64"/>
    </row>
    <row r="28" spans="2:30">
      <c r="T28" s="57"/>
      <c r="U28" s="58"/>
      <c r="V28" s="58"/>
      <c r="W28" s="58"/>
      <c r="X28" s="59"/>
      <c r="Z28" s="218"/>
      <c r="AA28" s="57"/>
      <c r="AB28" s="58"/>
      <c r="AC28" s="58"/>
      <c r="AD28" s="59"/>
    </row>
    <row r="29" spans="2:30">
      <c r="C29" t="s">
        <v>181</v>
      </c>
      <c r="O29" s="214" t="s">
        <v>329</v>
      </c>
      <c r="T29" s="60"/>
      <c r="U29" s="216" t="str">
        <f>Planets!AK85</f>
        <v>Saturn's Right Ascension</v>
      </c>
      <c r="V29" s="197">
        <f ca="1">Planets!AO85</f>
        <v>0.92035546690080705</v>
      </c>
      <c r="W29" s="12" t="s">
        <v>172</v>
      </c>
      <c r="X29" s="61"/>
      <c r="Z29" s="218"/>
      <c r="AA29" s="60"/>
      <c r="AB29" s="2" t="str">
        <f>Planets!AK96</f>
        <v>Saturn's Altitude</v>
      </c>
      <c r="AC29" s="131">
        <f ca="1">Planets!AL96</f>
        <v>-24.080627665726148</v>
      </c>
      <c r="AD29" s="61" t="s">
        <v>1</v>
      </c>
    </row>
    <row r="30" spans="2:30">
      <c r="C30" t="s">
        <v>184</v>
      </c>
      <c r="O30" s="214" t="s">
        <v>330</v>
      </c>
      <c r="T30" s="60"/>
      <c r="U30" s="12"/>
      <c r="V30" s="12"/>
      <c r="W30" s="12"/>
      <c r="X30" s="61"/>
      <c r="Z30" s="218"/>
      <c r="AA30" s="60"/>
      <c r="AB30" s="12"/>
      <c r="AC30" s="12"/>
      <c r="AD30" s="61"/>
    </row>
    <row r="31" spans="2:30">
      <c r="T31" s="60"/>
      <c r="U31" s="217" t="str">
        <f>Planets!AK87</f>
        <v>Saturn's Declination</v>
      </c>
      <c r="V31" s="131">
        <f ca="1">Planets!AL87</f>
        <v>-13.104124951065074</v>
      </c>
      <c r="W31" s="12" t="s">
        <v>1</v>
      </c>
      <c r="X31" s="61"/>
      <c r="Z31" s="218"/>
      <c r="AA31" s="60"/>
      <c r="AB31" s="196" t="str">
        <f>Planets!AK104</f>
        <v>Saturn's Azimuth</v>
      </c>
      <c r="AC31" s="131">
        <f ca="1">Planets!AL104</f>
        <v>279.23741290765827</v>
      </c>
      <c r="AD31" s="61" t="s">
        <v>1</v>
      </c>
    </row>
    <row r="32" spans="2:30">
      <c r="T32" s="62"/>
      <c r="U32" s="63"/>
      <c r="V32" s="63"/>
      <c r="W32" s="63"/>
      <c r="X32" s="64"/>
      <c r="Z32" s="218"/>
      <c r="AA32" s="62"/>
      <c r="AB32" s="63"/>
      <c r="AC32" s="63"/>
      <c r="AD32" s="64"/>
    </row>
    <row r="34" spans="20:30">
      <c r="T34" s="57"/>
      <c r="U34" s="58"/>
      <c r="V34" s="58"/>
      <c r="W34" s="58"/>
      <c r="X34" s="59"/>
      <c r="Z34" s="218"/>
      <c r="AA34" s="57"/>
      <c r="AB34" s="58"/>
      <c r="AC34" s="58"/>
      <c r="AD34" s="59"/>
    </row>
    <row r="35" spans="20:30">
      <c r="T35" s="60"/>
      <c r="U35" s="216" t="str">
        <f>Planets!AR85</f>
        <v>Uranus's Right Ascension</v>
      </c>
      <c r="V35" s="197">
        <f ca="1">Planets!AV85</f>
        <v>0.11967450465608583</v>
      </c>
      <c r="W35" s="12" t="s">
        <v>172</v>
      </c>
      <c r="X35" s="61"/>
      <c r="Z35" s="218"/>
      <c r="AA35" s="60"/>
      <c r="AB35" s="2" t="str">
        <f>Planets!AR96</f>
        <v>Uranus's Altitude</v>
      </c>
      <c r="AC35" s="131">
        <f ca="1">Planets!AS96</f>
        <v>42.337923249666986</v>
      </c>
      <c r="AD35" s="61" t="s">
        <v>1</v>
      </c>
    </row>
    <row r="36" spans="20:30">
      <c r="T36" s="60"/>
      <c r="U36" s="12"/>
      <c r="V36" s="12"/>
      <c r="W36" s="12"/>
      <c r="X36" s="61"/>
      <c r="Z36" s="218"/>
      <c r="AA36" s="60"/>
      <c r="AB36" s="12"/>
      <c r="AC36" s="12"/>
      <c r="AD36" s="61"/>
    </row>
    <row r="37" spans="20:30">
      <c r="T37" s="60"/>
      <c r="U37" s="217" t="str">
        <f>Planets!AR87</f>
        <v>Uranus's Declination</v>
      </c>
      <c r="V37" s="131">
        <f ca="1">Planets!AS87</f>
        <v>16.145735403520323</v>
      </c>
      <c r="W37" s="12" t="s">
        <v>1</v>
      </c>
      <c r="X37" s="61"/>
      <c r="Z37" s="218"/>
      <c r="AA37" s="60"/>
      <c r="AB37" s="196" t="str">
        <f>Planets!AR104</f>
        <v>Uranus's Azimuth</v>
      </c>
      <c r="AC37" s="131">
        <f ca="1">Planets!AS104</f>
        <v>237.63791083554037</v>
      </c>
      <c r="AD37" s="61" t="s">
        <v>1</v>
      </c>
    </row>
    <row r="38" spans="20:30">
      <c r="T38" s="62"/>
      <c r="U38" s="63"/>
      <c r="V38" s="63"/>
      <c r="W38" s="63"/>
      <c r="X38" s="64"/>
      <c r="Z38" s="218"/>
      <c r="AA38" s="62"/>
      <c r="AB38" s="63"/>
      <c r="AC38" s="63"/>
      <c r="AD38" s="64"/>
    </row>
    <row r="40" spans="20:30">
      <c r="T40" s="57"/>
      <c r="U40" s="58"/>
      <c r="V40" s="58"/>
      <c r="W40" s="58"/>
      <c r="X40" s="59"/>
      <c r="Z40" s="218"/>
      <c r="AA40" s="57"/>
      <c r="AB40" s="58"/>
      <c r="AC40" s="58"/>
      <c r="AD40" s="59"/>
    </row>
    <row r="41" spans="20:30">
      <c r="T41" s="60"/>
      <c r="U41" s="216" t="str">
        <f>Planets!AY85</f>
        <v>Neptune's Right Ascension</v>
      </c>
      <c r="V41" s="197">
        <f ca="1">Planets!BC85</f>
        <v>0.98705413572096112</v>
      </c>
      <c r="W41" s="12" t="s">
        <v>172</v>
      </c>
      <c r="X41" s="61"/>
      <c r="Z41" s="218"/>
      <c r="AA41" s="60"/>
      <c r="AB41" s="2" t="str">
        <f>Planets!AY96</f>
        <v>Neptune's Altitude</v>
      </c>
      <c r="AC41" s="131">
        <f ca="1">Planets!AZ96</f>
        <v>-1.4961428091013798</v>
      </c>
      <c r="AD41" s="61" t="s">
        <v>1</v>
      </c>
    </row>
    <row r="42" spans="20:30">
      <c r="T42" s="60"/>
      <c r="U42" s="12"/>
      <c r="V42" s="12"/>
      <c r="W42" s="12"/>
      <c r="X42" s="61"/>
      <c r="Z42" s="218"/>
      <c r="AA42" s="60"/>
      <c r="AB42" s="12"/>
      <c r="AC42" s="12"/>
      <c r="AD42" s="61"/>
    </row>
    <row r="43" spans="20:30">
      <c r="T43" s="60"/>
      <c r="U43" s="217" t="str">
        <f>Planets!AY87</f>
        <v>Neptune's Declination</v>
      </c>
      <c r="V43" s="131">
        <f ca="1">Planets!AZ87</f>
        <v>-3.2902326949271354</v>
      </c>
      <c r="W43" s="12" t="s">
        <v>1</v>
      </c>
      <c r="X43" s="61"/>
      <c r="Z43" s="218"/>
      <c r="AA43" s="60"/>
      <c r="AB43" s="196" t="str">
        <f>Planets!AY104</f>
        <v>Neptune's Azimuth</v>
      </c>
      <c r="AC43" s="131">
        <f ca="1">Planets!AZ104</f>
        <v>266.60528022071799</v>
      </c>
      <c r="AD43" s="61" t="s">
        <v>1</v>
      </c>
    </row>
    <row r="44" spans="20:30">
      <c r="T44" s="62"/>
      <c r="U44" s="63"/>
      <c r="V44" s="63"/>
      <c r="W44" s="63"/>
      <c r="X44" s="64"/>
      <c r="Z44" s="218"/>
      <c r="AA44" s="62"/>
      <c r="AB44" s="63"/>
      <c r="AC44" s="63"/>
      <c r="AD44" s="64"/>
    </row>
    <row r="50" spans="20:20" ht="23.25">
      <c r="T50" s="20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3E81C-1F4D-48F0-B455-C80B76E85424}">
  <dimension ref="B3:G23"/>
  <sheetViews>
    <sheetView topLeftCell="G2" workbookViewId="0">
      <selection activeCell="AF21" sqref="AF21"/>
    </sheetView>
  </sheetViews>
  <sheetFormatPr defaultRowHeight="15"/>
  <cols>
    <col min="1" max="1" width="3.7109375" customWidth="1"/>
    <col min="2" max="4" width="10.5703125" customWidth="1"/>
    <col min="5" max="6" width="9.140625" customWidth="1"/>
    <col min="8" max="8" width="6.140625" customWidth="1"/>
  </cols>
  <sheetData>
    <row r="3" spans="2:7">
      <c r="B3" s="221" t="s">
        <v>325</v>
      </c>
      <c r="C3" s="221" t="s">
        <v>336</v>
      </c>
      <c r="D3" s="221" t="s">
        <v>338</v>
      </c>
      <c r="E3" s="3" t="s">
        <v>339</v>
      </c>
      <c r="F3" s="3" t="s">
        <v>340</v>
      </c>
    </row>
    <row r="4" spans="2:7">
      <c r="B4" s="223">
        <f ca="1">AzimuthAlt!C58</f>
        <v>276.08553090326592</v>
      </c>
      <c r="C4" s="222">
        <f ca="1">AzimuthAlt!C50</f>
        <v>-16.343623617036076</v>
      </c>
      <c r="D4" t="s">
        <v>322</v>
      </c>
      <c r="E4" s="222">
        <f ca="1">Planets!E55</f>
        <v>0.9049948183026868</v>
      </c>
      <c r="F4" s="222">
        <f ca="1">Planets!E57</f>
        <v>-0.40067213462757967</v>
      </c>
      <c r="G4" t="str">
        <f>D4</f>
        <v>Sun</v>
      </c>
    </row>
    <row r="5" spans="2:7">
      <c r="B5" s="223">
        <f ca="1">Moon2!C73</f>
        <v>235.80113198215287</v>
      </c>
      <c r="C5" s="222">
        <f ca="1">Moon2!C65</f>
        <v>46.106931073391337</v>
      </c>
      <c r="D5" t="s">
        <v>337</v>
      </c>
      <c r="E5" s="222"/>
      <c r="F5" s="222"/>
      <c r="G5" t="str">
        <f t="shared" ref="G5:G12" si="0">D5</f>
        <v>Moon</v>
      </c>
    </row>
    <row r="6" spans="2:7">
      <c r="B6" s="223">
        <f ca="1">Planets!J104</f>
        <v>283.54588306639579</v>
      </c>
      <c r="C6" s="222">
        <f ca="1">Planets!J96</f>
        <v>-31.76264520114837</v>
      </c>
      <c r="D6" t="s">
        <v>303</v>
      </c>
      <c r="E6" s="222">
        <f ca="1">Orbits!I11</f>
        <v>0.10425064030615573</v>
      </c>
      <c r="F6" s="222">
        <f ca="1">Orbits!J11</f>
        <v>-0.44061275415502704</v>
      </c>
      <c r="G6" t="str">
        <f t="shared" si="0"/>
        <v>Mercury</v>
      </c>
    </row>
    <row r="7" spans="2:7">
      <c r="B7" s="223">
        <f ca="1">Planets!Q104</f>
        <v>261.53527864541036</v>
      </c>
      <c r="C7" s="222">
        <f ca="1">Planets!Q96</f>
        <v>8.6528066075825478</v>
      </c>
      <c r="D7" t="s">
        <v>304</v>
      </c>
      <c r="E7" s="222">
        <f ca="1">Orbits!N11</f>
        <v>0.47975650113082752</v>
      </c>
      <c r="F7" s="222">
        <f ca="1">Orbits!O11</f>
        <v>0.54016662575049057</v>
      </c>
      <c r="G7" t="str">
        <f t="shared" si="0"/>
        <v>Venus</v>
      </c>
    </row>
    <row r="8" spans="2:7">
      <c r="B8" s="223">
        <f ca="1">Planets!X104</f>
        <v>195.05697949839706</v>
      </c>
      <c r="C8" s="222">
        <f ca="1">Planets!X96</f>
        <v>63.402639226117131</v>
      </c>
      <c r="D8" t="s">
        <v>305</v>
      </c>
      <c r="E8" s="222">
        <f ca="1">Orbits!S11</f>
        <v>-0.66735215617622834</v>
      </c>
      <c r="F8" s="222">
        <f ca="1">Orbits!T11</f>
        <v>1.4784031675567961</v>
      </c>
      <c r="G8" t="str">
        <f t="shared" si="0"/>
        <v>Mars</v>
      </c>
    </row>
    <row r="9" spans="2:7">
      <c r="B9" s="223">
        <f ca="1">Planets!AE104</f>
        <v>258.7411402365417</v>
      </c>
      <c r="C9" s="222">
        <f ca="1">Planets!AE96</f>
        <v>13.084026657715198</v>
      </c>
      <c r="D9" t="s">
        <v>306</v>
      </c>
      <c r="E9" s="222">
        <f ca="1">Orbits!X11</f>
        <v>4.7195561468080394</v>
      </c>
      <c r="F9" s="222">
        <f ca="1">Orbits!Y11</f>
        <v>1.4896450304843225</v>
      </c>
      <c r="G9" t="str">
        <f t="shared" si="0"/>
        <v>Jupiter</v>
      </c>
    </row>
    <row r="10" spans="2:7">
      <c r="B10" s="223">
        <f ca="1">Planets!AL104</f>
        <v>279.23741290765827</v>
      </c>
      <c r="C10" s="222">
        <f ca="1">Planets!AL96</f>
        <v>-24.080627665726148</v>
      </c>
      <c r="D10" t="s">
        <v>307</v>
      </c>
      <c r="E10" s="222">
        <f ca="1">Orbits!AC11</f>
        <v>8.3434082758887538</v>
      </c>
      <c r="F10" s="222">
        <f ca="1">Orbits!AD11</f>
        <v>-5.2155144931375128</v>
      </c>
      <c r="G10" t="str">
        <f t="shared" si="0"/>
        <v>Saturn</v>
      </c>
    </row>
    <row r="11" spans="2:7">
      <c r="B11" s="223">
        <f ca="1">Planets!AS104</f>
        <v>237.63791083554037</v>
      </c>
      <c r="C11" s="222">
        <f ca="1">Planets!AS96</f>
        <v>42.337923249666986</v>
      </c>
      <c r="D11" t="s">
        <v>308</v>
      </c>
      <c r="E11" s="222">
        <f ca="1">Orbits!AH11</f>
        <v>13.106217220432034</v>
      </c>
      <c r="F11" s="222">
        <f ca="1">Orbits!AI11</f>
        <v>14.632119805867502</v>
      </c>
      <c r="G11" t="str">
        <f t="shared" si="0"/>
        <v>Uranus</v>
      </c>
    </row>
    <row r="12" spans="2:7">
      <c r="B12" s="223">
        <f ca="1">Planets!AZ104</f>
        <v>266.60528022071799</v>
      </c>
      <c r="C12" s="222">
        <f ca="1">Planets!AZ96</f>
        <v>-1.4961428091013798</v>
      </c>
      <c r="D12" t="s">
        <v>309</v>
      </c>
      <c r="E12" s="222">
        <f ca="1">Orbits!AM11</f>
        <v>29.770223085983321</v>
      </c>
      <c r="F12" s="222">
        <f ca="1">Orbits!AN11</f>
        <v>-2.5974198182086177</v>
      </c>
      <c r="G12" t="str">
        <f t="shared" si="0"/>
        <v>Neptune</v>
      </c>
    </row>
    <row r="13" spans="2:7">
      <c r="E13" s="222"/>
      <c r="F13" s="222"/>
    </row>
    <row r="14" spans="2:7">
      <c r="E14" s="222"/>
      <c r="F14" s="222"/>
    </row>
    <row r="15" spans="2:7">
      <c r="E15" s="222"/>
      <c r="F15" s="222"/>
    </row>
    <row r="16" spans="2:7">
      <c r="E16" s="222">
        <f ca="1">E4</f>
        <v>0.9049948183026868</v>
      </c>
      <c r="F16" s="222">
        <f ca="1">F4</f>
        <v>-0.40067213462757967</v>
      </c>
      <c r="G16" t="str">
        <f>G4</f>
        <v>Sun</v>
      </c>
    </row>
    <row r="17" spans="5:7">
      <c r="E17" s="222">
        <f t="shared" ref="E17:G18" ca="1" si="1">E9</f>
        <v>4.7195561468080394</v>
      </c>
      <c r="F17" s="222">
        <f t="shared" ca="1" si="1"/>
        <v>1.4896450304843225</v>
      </c>
      <c r="G17" t="str">
        <f t="shared" si="1"/>
        <v>Jupiter</v>
      </c>
    </row>
    <row r="18" spans="5:7">
      <c r="E18" s="222">
        <f t="shared" ca="1" si="1"/>
        <v>8.3434082758887538</v>
      </c>
      <c r="F18" s="222">
        <f t="shared" ca="1" si="1"/>
        <v>-5.2155144931375128</v>
      </c>
      <c r="G18" t="str">
        <f t="shared" si="1"/>
        <v>Saturn</v>
      </c>
    </row>
    <row r="19" spans="5:7">
      <c r="E19" s="222"/>
      <c r="F19" s="222"/>
    </row>
    <row r="20" spans="5:7">
      <c r="E20" s="222"/>
      <c r="F20" s="222"/>
    </row>
    <row r="21" spans="5:7">
      <c r="E21" s="222">
        <f ca="1">-E4</f>
        <v>-0.9049948183026868</v>
      </c>
      <c r="F21" s="222">
        <f ca="1">-F4</f>
        <v>0.40067213462757967</v>
      </c>
      <c r="G21" t="str">
        <f>G4</f>
        <v>Sun</v>
      </c>
    </row>
    <row r="22" spans="5:7">
      <c r="E22" s="222">
        <f t="shared" ref="E22:G23" ca="1" si="2">E9</f>
        <v>4.7195561468080394</v>
      </c>
      <c r="F22" s="222">
        <f t="shared" ca="1" si="2"/>
        <v>1.4896450304843225</v>
      </c>
      <c r="G22" t="str">
        <f t="shared" si="2"/>
        <v>Jupiter</v>
      </c>
    </row>
    <row r="23" spans="5:7">
      <c r="E23" s="222">
        <f t="shared" ca="1" si="2"/>
        <v>8.3434082758887538</v>
      </c>
      <c r="F23" s="222">
        <f t="shared" ca="1" si="2"/>
        <v>-5.2155144931375128</v>
      </c>
      <c r="G23" t="str">
        <f t="shared" si="2"/>
        <v>Saturn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FFF5F-799B-4037-8954-23DF268CA552}">
  <dimension ref="B2:AN50"/>
  <sheetViews>
    <sheetView workbookViewId="0">
      <selection activeCell="H13" sqref="H13"/>
    </sheetView>
  </sheetViews>
  <sheetFormatPr defaultRowHeight="15"/>
  <cols>
    <col min="1" max="1" width="3.42578125" customWidth="1"/>
    <col min="2" max="2" width="7.42578125" customWidth="1"/>
    <col min="4" max="5" width="9.140625" customWidth="1"/>
    <col min="6" max="6" width="3.28515625" customWidth="1"/>
    <col min="7" max="7" width="7.42578125" customWidth="1"/>
    <col min="11" max="11" width="3.140625" customWidth="1"/>
    <col min="12" max="12" width="7.42578125" customWidth="1"/>
    <col min="16" max="16" width="3.42578125" customWidth="1"/>
    <col min="17" max="17" width="7.42578125" customWidth="1"/>
    <col min="21" max="21" width="3.42578125" customWidth="1"/>
    <col min="22" max="22" width="7.42578125" customWidth="1"/>
    <col min="26" max="26" width="3.7109375" customWidth="1"/>
    <col min="27" max="27" width="7.42578125" customWidth="1"/>
    <col min="31" max="31" width="3.85546875" customWidth="1"/>
    <col min="32" max="32" width="7.42578125" customWidth="1"/>
    <col min="36" max="36" width="4" customWidth="1"/>
    <col min="37" max="37" width="7.42578125" customWidth="1"/>
  </cols>
  <sheetData>
    <row r="2" spans="2:40" ht="26.25">
      <c r="B2" s="92" t="s">
        <v>341</v>
      </c>
      <c r="G2" s="92" t="s">
        <v>303</v>
      </c>
      <c r="L2" s="92" t="s">
        <v>304</v>
      </c>
      <c r="Q2" s="92" t="s">
        <v>305</v>
      </c>
      <c r="V2" s="92" t="s">
        <v>306</v>
      </c>
      <c r="AA2" s="92" t="s">
        <v>307</v>
      </c>
      <c r="AF2" s="92" t="s">
        <v>308</v>
      </c>
      <c r="AK2" s="92" t="s">
        <v>342</v>
      </c>
    </row>
    <row r="4" spans="2:40">
      <c r="B4" t="s">
        <v>97</v>
      </c>
      <c r="E4" s="192">
        <f>Planets!J9</f>
        <v>1</v>
      </c>
      <c r="G4" t="s">
        <v>97</v>
      </c>
      <c r="J4" s="192">
        <f>Planets!C9</f>
        <v>0.387098</v>
      </c>
      <c r="L4" t="s">
        <v>97</v>
      </c>
      <c r="O4" s="192">
        <f>Planets!D9</f>
        <v>0.72333000000000003</v>
      </c>
      <c r="Q4" t="s">
        <v>97</v>
      </c>
      <c r="T4" s="192">
        <v>1.5236879999999999</v>
      </c>
      <c r="V4" t="s">
        <v>97</v>
      </c>
      <c r="Y4" s="192">
        <f>Planets!F9</f>
        <v>5.2025600000000001</v>
      </c>
      <c r="AA4" t="s">
        <v>97</v>
      </c>
      <c r="AD4" s="192">
        <f>Planets!G9</f>
        <v>9.5547500000000003</v>
      </c>
      <c r="AF4" t="s">
        <v>97</v>
      </c>
      <c r="AI4" s="192">
        <f ca="1">Planets!H9</f>
        <v>19.181578916499998</v>
      </c>
      <c r="AK4" t="s">
        <v>97</v>
      </c>
      <c r="AN4" s="192">
        <f ca="1">Planets!I9</f>
        <v>30.058540180410002</v>
      </c>
    </row>
    <row r="6" spans="2:40">
      <c r="B6" t="s">
        <v>202</v>
      </c>
      <c r="E6" s="195">
        <f ca="1">Planets!J10</f>
        <v>1.6699265993000003E-2</v>
      </c>
      <c r="G6" t="s">
        <v>202</v>
      </c>
      <c r="J6" s="195">
        <f ca="1">Planets!C10</f>
        <v>0.20563972746300002</v>
      </c>
      <c r="L6" t="s">
        <v>202</v>
      </c>
      <c r="O6" s="195">
        <f ca="1">Planets!D10</f>
        <v>6.7619889860000004E-3</v>
      </c>
      <c r="Q6" t="s">
        <v>202</v>
      </c>
      <c r="T6" s="195">
        <f>0.093405+0.000000002516*Q1</f>
        <v>9.3405000000000002E-2</v>
      </c>
      <c r="V6" t="s">
        <v>202</v>
      </c>
      <c r="Y6" s="195">
        <f ca="1">Planets!F10</f>
        <v>4.8535794333000003E-2</v>
      </c>
      <c r="AA6" t="s">
        <v>202</v>
      </c>
      <c r="AD6" s="195">
        <f ca="1">Planets!G10</f>
        <v>5.5465666956999997E-2</v>
      </c>
      <c r="AF6" t="s">
        <v>202</v>
      </c>
      <c r="AI6" s="195">
        <f ca="1">Planets!H10</f>
        <v>4.7381004649999996E-2</v>
      </c>
      <c r="AK6" t="s">
        <v>202</v>
      </c>
      <c r="AN6" s="195">
        <f ca="1">Planets!J10</f>
        <v>1.6699265993000003E-2</v>
      </c>
    </row>
    <row r="8" spans="2:40">
      <c r="B8" t="s">
        <v>203</v>
      </c>
      <c r="E8" s="39">
        <f ca="1">Planets!J8</f>
        <v>283.3386697295</v>
      </c>
      <c r="G8" t="s">
        <v>203</v>
      </c>
      <c r="J8" s="39">
        <f ca="1">Planets!C8</f>
        <v>29.209891190799997</v>
      </c>
      <c r="L8" t="s">
        <v>203</v>
      </c>
      <c r="O8" s="39">
        <f ca="1">Planets!D8</f>
        <v>55.008022891799996</v>
      </c>
      <c r="Q8" t="s">
        <v>203</v>
      </c>
      <c r="T8" s="39">
        <v>286.72621319870001</v>
      </c>
      <c r="V8" t="s">
        <v>203</v>
      </c>
      <c r="Y8" s="39">
        <f ca="1">Planets!F8</f>
        <v>274.01682187850002</v>
      </c>
      <c r="AA8" t="s">
        <v>203</v>
      </c>
      <c r="AD8" s="39">
        <f ca="1">Planets!G8</f>
        <v>339.64563190769996</v>
      </c>
      <c r="AF8" t="s">
        <v>203</v>
      </c>
      <c r="AI8" s="39">
        <f ca="1">Planets!H8</f>
        <v>96.919688205</v>
      </c>
      <c r="AK8" t="s">
        <v>203</v>
      </c>
      <c r="AN8" s="39">
        <f ca="1">Planets!J8</f>
        <v>283.3386697295</v>
      </c>
    </row>
    <row r="10" spans="2:40">
      <c r="D10" s="3" t="s">
        <v>339</v>
      </c>
      <c r="E10" s="3" t="s">
        <v>340</v>
      </c>
      <c r="I10" s="3" t="s">
        <v>339</v>
      </c>
      <c r="J10" s="3" t="s">
        <v>340</v>
      </c>
      <c r="N10" s="3" t="s">
        <v>339</v>
      </c>
      <c r="O10" s="3" t="s">
        <v>340</v>
      </c>
      <c r="S10" s="3" t="s">
        <v>339</v>
      </c>
      <c r="T10" s="3" t="s">
        <v>340</v>
      </c>
      <c r="X10" s="3" t="s">
        <v>339</v>
      </c>
      <c r="Y10" s="3" t="s">
        <v>340</v>
      </c>
      <c r="AC10" s="3" t="s">
        <v>339</v>
      </c>
      <c r="AD10" s="3" t="s">
        <v>340</v>
      </c>
      <c r="AH10" s="3" t="s">
        <v>339</v>
      </c>
      <c r="AI10" s="3" t="s">
        <v>340</v>
      </c>
      <c r="AM10" s="3" t="s">
        <v>339</v>
      </c>
      <c r="AN10" s="3" t="s">
        <v>340</v>
      </c>
    </row>
    <row r="11" spans="2:40">
      <c r="B11" t="s">
        <v>343</v>
      </c>
      <c r="D11">
        <f ca="1">Planets!E55</f>
        <v>0.9049948183026868</v>
      </c>
      <c r="E11">
        <f ca="1">Planets!E57</f>
        <v>-0.40067213462757967</v>
      </c>
      <c r="I11">
        <f ca="1">Planets!L55</f>
        <v>0.10425064030615573</v>
      </c>
      <c r="J11">
        <f ca="1">Planets!L57</f>
        <v>-0.44061275415502704</v>
      </c>
      <c r="N11">
        <f ca="1">Planets!S55</f>
        <v>0.47975650113082752</v>
      </c>
      <c r="O11">
        <f ca="1">Planets!S57</f>
        <v>0.54016662575049057</v>
      </c>
      <c r="S11">
        <f ca="1">Planets!Z55</f>
        <v>-0.66735215617622834</v>
      </c>
      <c r="T11">
        <f ca="1">Planets!Z57</f>
        <v>1.4784031675567961</v>
      </c>
      <c r="X11">
        <f ca="1">Planets!AG55</f>
        <v>4.7195561468080394</v>
      </c>
      <c r="Y11">
        <f ca="1">Planets!AG57</f>
        <v>1.4896450304843225</v>
      </c>
      <c r="AC11">
        <f ca="1">Planets!AN55</f>
        <v>8.3434082758887538</v>
      </c>
      <c r="AD11">
        <f ca="1">Planets!AN57</f>
        <v>-5.2155144931375128</v>
      </c>
      <c r="AH11">
        <f ca="1">Planets!AU55</f>
        <v>13.106217220432034</v>
      </c>
      <c r="AI11">
        <f ca="1">Planets!AU57</f>
        <v>14.632119805867502</v>
      </c>
      <c r="AM11">
        <f ca="1">Planets!BB55</f>
        <v>29.770223085983321</v>
      </c>
      <c r="AN11">
        <f ca="1">Planets!BB57</f>
        <v>-2.5974198182086177</v>
      </c>
    </row>
    <row r="13" spans="2:40">
      <c r="D13" s="3" t="s">
        <v>339</v>
      </c>
      <c r="E13" s="3" t="s">
        <v>340</v>
      </c>
      <c r="I13" s="3" t="s">
        <v>339</v>
      </c>
      <c r="J13" s="3" t="s">
        <v>340</v>
      </c>
      <c r="N13" s="3" t="s">
        <v>339</v>
      </c>
      <c r="O13" s="3" t="s">
        <v>340</v>
      </c>
      <c r="S13" s="3" t="s">
        <v>339</v>
      </c>
      <c r="T13" s="3" t="s">
        <v>340</v>
      </c>
      <c r="X13" s="3" t="s">
        <v>339</v>
      </c>
      <c r="Y13" s="3" t="s">
        <v>340</v>
      </c>
      <c r="AC13" s="3" t="s">
        <v>339</v>
      </c>
      <c r="AD13" s="3" t="s">
        <v>340</v>
      </c>
      <c r="AH13" s="3" t="s">
        <v>339</v>
      </c>
      <c r="AI13" s="3" t="s">
        <v>340</v>
      </c>
      <c r="AM13" s="3" t="s">
        <v>339</v>
      </c>
      <c r="AN13" s="3" t="s">
        <v>340</v>
      </c>
    </row>
    <row r="14" spans="2:40">
      <c r="B14" s="3">
        <v>0</v>
      </c>
      <c r="C14" s="219">
        <f ca="1">E$4*(1-E$6^2)/(1+E$6*COS(RADIANS(B14-E$8)))</f>
        <v>0.99588436138678926</v>
      </c>
      <c r="D14" s="220">
        <f ca="1">C14*COS(RADIANS(B14))</f>
        <v>0.99588436138678926</v>
      </c>
      <c r="E14" s="220">
        <f ca="1">C14*SIN(RADIANS(B14))</f>
        <v>0</v>
      </c>
      <c r="G14" s="3">
        <v>0</v>
      </c>
      <c r="H14" s="219">
        <f ca="1">J$4*(1-J$6^2)/(1+J$6*COS(RADIANS(G14-J$8)))</f>
        <v>0.31431251987112502</v>
      </c>
      <c r="I14" s="220">
        <f ca="1">H14*COS(RADIANS(G14))</f>
        <v>0.31431251987112502</v>
      </c>
      <c r="J14" s="220">
        <f ca="1">H14*SIN(RADIANS(G14))</f>
        <v>0</v>
      </c>
      <c r="L14" s="3">
        <v>0</v>
      </c>
      <c r="M14" s="219">
        <f ca="1">O$4*(1-O$6^2)/(1+O$6*COS(RADIANS(L14-O$8)))</f>
        <v>0.72050300143027768</v>
      </c>
      <c r="N14" s="220">
        <f ca="1">M14*COS(RADIANS(L14))</f>
        <v>0.72050300143027768</v>
      </c>
      <c r="O14" s="220">
        <f ca="1">M14*SIN(RADIANS(L14))</f>
        <v>0</v>
      </c>
      <c r="Q14" s="3">
        <v>0</v>
      </c>
      <c r="R14" s="219">
        <f>T$4*(1-T$6^2)/(1+T$6*COS(RADIANS(Q14-T$8)))</f>
        <v>1.4708552998962341</v>
      </c>
      <c r="S14" s="220">
        <f>R14*COS(RADIANS(Q14))</f>
        <v>1.4708552998962341</v>
      </c>
      <c r="T14" s="220">
        <f>R14*SIN(RADIANS(Q14))</f>
        <v>0</v>
      </c>
      <c r="V14" s="3">
        <v>0</v>
      </c>
      <c r="W14" s="219">
        <f ca="1">Y$4*(1-Y$6^2)/(1+Y$6*COS(RADIANS(V14-Y$8)))</f>
        <v>5.1727174808107694</v>
      </c>
      <c r="X14" s="220">
        <f ca="1">W14*COS(RADIANS(V14))</f>
        <v>5.1727174808107694</v>
      </c>
      <c r="Y14" s="220">
        <f ca="1">W14*SIN(RADIANS(V14))</f>
        <v>0</v>
      </c>
      <c r="AA14" s="3">
        <v>0</v>
      </c>
      <c r="AB14" s="219">
        <f ca="1">AD$4*(1-AD$6^2)/(1+AD$6*COS(RADIANS(AA14-AD$8)))</f>
        <v>9.0545000812991514</v>
      </c>
      <c r="AC14" s="220">
        <f ca="1">AB14*COS(RADIANS(AA14))</f>
        <v>9.0545000812991514</v>
      </c>
      <c r="AD14" s="220">
        <f ca="1">AB14*SIN(RADIANS(AA14))</f>
        <v>0</v>
      </c>
      <c r="AF14" s="3">
        <v>0</v>
      </c>
      <c r="AG14" s="219">
        <f ca="1">AI$4*(1-AI$6^2)/(1+AI$6*COS(RADIANS(AF14-AI$8)))</f>
        <v>19.248393945732793</v>
      </c>
      <c r="AH14" s="220">
        <f ca="1">AG14*COS(RADIANS(AF14))</f>
        <v>19.248393945732793</v>
      </c>
      <c r="AI14" s="220">
        <f ca="1">AG14*SIN(RADIANS(AF14))</f>
        <v>0</v>
      </c>
      <c r="AK14" s="3">
        <v>0</v>
      </c>
      <c r="AL14" s="219">
        <f ca="1">AN$4*(1-AN$6^2)/(1+AN$6*COS(RADIANS(AK14-AN$8)))</f>
        <v>29.934830091786761</v>
      </c>
      <c r="AM14" s="220">
        <f ca="1">AL14*COS(RADIANS(AK14))</f>
        <v>29.934830091786761</v>
      </c>
      <c r="AN14" s="220">
        <f ca="1">AL14*SIN(RADIANS(AK14))</f>
        <v>0</v>
      </c>
    </row>
    <row r="15" spans="2:40">
      <c r="B15" s="3">
        <f>B14+10</f>
        <v>10</v>
      </c>
      <c r="C15" s="219">
        <f t="shared" ref="C15:C50" ca="1" si="0">E$4*(1-E$6^2)/(1+E$6*COS(RADIANS(B15-E$8)))</f>
        <v>0.99874982169007731</v>
      </c>
      <c r="D15" s="220">
        <f t="shared" ref="D15:D50" ca="1" si="1">C15*COS(RADIANS(B15))</f>
        <v>0.9835765677199485</v>
      </c>
      <c r="E15" s="220">
        <f t="shared" ref="E15:E50" ca="1" si="2">C15*SIN(RADIANS(B15))</f>
        <v>0.17343108648165353</v>
      </c>
      <c r="G15" s="3">
        <f>G14+10</f>
        <v>10</v>
      </c>
      <c r="H15" s="219">
        <f t="shared" ref="H15:H50" ca="1" si="3">J$4*(1-J$6^2)/(1+J$6*COS(RADIANS(G15-J$8)))</f>
        <v>0.31044359300970459</v>
      </c>
      <c r="I15" s="220">
        <f t="shared" ref="I15:I50" ca="1" si="4">H15*COS(RADIANS(G15))</f>
        <v>0.30572725726892358</v>
      </c>
      <c r="J15" s="220">
        <f t="shared" ref="J15:J50" ca="1" si="5">H15*SIN(RADIANS(G15))</f>
        <v>5.390796419450939E-2</v>
      </c>
      <c r="L15" s="3">
        <f>L14+10</f>
        <v>10</v>
      </c>
      <c r="M15" s="219">
        <f t="shared" ref="M15:M50" ca="1" si="6">O$4*(1-O$6^2)/(1+O$6*COS(RADIANS(L15-O$8)))</f>
        <v>0.71985545647269156</v>
      </c>
      <c r="N15" s="220">
        <f t="shared" ref="N15:N50" ca="1" si="7">M15*COS(RADIANS(L15))</f>
        <v>0.70891923458244865</v>
      </c>
      <c r="O15" s="220">
        <f t="shared" ref="O15:O50" ca="1" si="8">M15*SIN(RADIANS(L15))</f>
        <v>0.12500158820007917</v>
      </c>
      <c r="Q15" s="3">
        <f>Q14+10</f>
        <v>10</v>
      </c>
      <c r="R15" s="219">
        <f t="shared" ref="R15:R50" si="9">T$4*(1-T$6^2)/(1+T$6*COS(RADIANS(Q15-T$8)))</f>
        <v>1.4940495851739715</v>
      </c>
      <c r="S15" s="220">
        <f t="shared" ref="S15:S50" si="10">R15*COS(RADIANS(Q15))</f>
        <v>1.4713516148640002</v>
      </c>
      <c r="T15" s="220">
        <f t="shared" ref="T15:T50" si="11">R15*SIN(RADIANS(Q15))</f>
        <v>0.25943898780949337</v>
      </c>
      <c r="V15" s="3">
        <f>V14+10</f>
        <v>10</v>
      </c>
      <c r="W15" s="219">
        <f t="shared" ref="W15:W50" ca="1" si="12">Y$4*(1-Y$6^2)/(1+Y$6*COS(RADIANS(V15-Y$8)))</f>
        <v>5.216696518360366</v>
      </c>
      <c r="X15" s="220">
        <f t="shared" ref="X15:X50" ca="1" si="13">W15*COS(RADIANS(V15))</f>
        <v>5.1374431763930808</v>
      </c>
      <c r="Y15" s="220">
        <f t="shared" ref="Y15:Y50" ca="1" si="14">W15*SIN(RADIANS(V15))</f>
        <v>0.90586984385469771</v>
      </c>
      <c r="AA15" s="3">
        <f>AA14+10</f>
        <v>10</v>
      </c>
      <c r="AB15" s="219">
        <f t="shared" ref="AB15:AB50" ca="1" si="15">AD$4*(1-AD$6^2)/(1+AD$6*COS(RADIANS(AA15-AD$8)))</f>
        <v>9.0902745319114331</v>
      </c>
      <c r="AC15" s="220">
        <f t="shared" ref="AC15:AC50" ca="1" si="16">AB15*COS(RADIANS(AA15))</f>
        <v>8.9521728360357997</v>
      </c>
      <c r="AD15" s="220">
        <f t="shared" ref="AD15:AD50" ca="1" si="17">AB15*SIN(RADIANS(AA15))</f>
        <v>1.5785096069585285</v>
      </c>
      <c r="AF15" s="3">
        <f>AF14+10</f>
        <v>10</v>
      </c>
      <c r="AG15" s="219">
        <f t="shared" ref="AG15:AG50" ca="1" si="18">AI$4*(1-AI$6^2)/(1+AI$6*COS(RADIANS(AF15-AI$8)))</f>
        <v>19.089913155917248</v>
      </c>
      <c r="AH15" s="220">
        <f t="shared" ref="AH15:AH50" ca="1" si="19">AG15*COS(RADIANS(AF15))</f>
        <v>18.799894480277054</v>
      </c>
      <c r="AI15" s="220">
        <f t="shared" ref="AI15:AI50" ca="1" si="20">AG15*SIN(RADIANS(AF15))</f>
        <v>3.3149286313449888</v>
      </c>
      <c r="AK15" s="3">
        <f>AK14+10</f>
        <v>10</v>
      </c>
      <c r="AL15" s="219">
        <f t="shared" ref="AL15:AL50" ca="1" si="21">AN$4*(1-AN$6^2)/(1+AN$6*COS(RADIANS(AK15-AN$8)))</f>
        <v>30.020961645448512</v>
      </c>
      <c r="AM15" s="220">
        <f t="shared" ref="AM15:AM50" ca="1" si="22">AL15*COS(RADIANS(AK15))</f>
        <v>29.564875781319827</v>
      </c>
      <c r="AN15" s="220">
        <f t="shared" ref="AN15:AN50" ca="1" si="23">AL15*SIN(RADIANS(AK15))</f>
        <v>5.2130852815409447</v>
      </c>
    </row>
    <row r="16" spans="2:40">
      <c r="B16" s="3">
        <f t="shared" ref="B16:B50" si="24">B15+10</f>
        <v>20</v>
      </c>
      <c r="C16" s="219">
        <f t="shared" ca="1" si="0"/>
        <v>1.0016614746238441</v>
      </c>
      <c r="D16" s="220">
        <f t="shared" ca="1" si="1"/>
        <v>0.9412538962295578</v>
      </c>
      <c r="E16" s="220">
        <f t="shared" ca="1" si="2"/>
        <v>0.34258840111464783</v>
      </c>
      <c r="G16" s="3">
        <f t="shared" ref="G16:G50" si="25">G15+10</f>
        <v>20</v>
      </c>
      <c r="H16" s="219">
        <f t="shared" ca="1" si="3"/>
        <v>0.30817288669048409</v>
      </c>
      <c r="I16" s="220">
        <f t="shared" ca="1" si="4"/>
        <v>0.28958778754933978</v>
      </c>
      <c r="J16" s="220">
        <f t="shared" ca="1" si="5"/>
        <v>0.10540133487496443</v>
      </c>
      <c r="L16" s="3">
        <f t="shared" ref="L16:L50" si="26">L15+10</f>
        <v>20</v>
      </c>
      <c r="M16" s="219">
        <f t="shared" ca="1" si="6"/>
        <v>0.71931297239342817</v>
      </c>
      <c r="N16" s="220">
        <f t="shared" ca="1" si="7"/>
        <v>0.67593309219368236</v>
      </c>
      <c r="O16" s="220">
        <f t="shared" ca="1" si="8"/>
        <v>0.24601952591401308</v>
      </c>
      <c r="Q16" s="3">
        <f t="shared" ref="Q16:Q50" si="27">Q15+10</f>
        <v>20</v>
      </c>
      <c r="R16" s="219">
        <f t="shared" si="9"/>
        <v>1.5184944014699588</v>
      </c>
      <c r="S16" s="220">
        <f t="shared" si="10"/>
        <v>1.4269179837660351</v>
      </c>
      <c r="T16" s="220">
        <f t="shared" si="11"/>
        <v>0.51935567282998085</v>
      </c>
      <c r="V16" s="3">
        <f t="shared" ref="V16:V50" si="28">V15+10</f>
        <v>20</v>
      </c>
      <c r="W16" s="219">
        <f t="shared" ca="1" si="12"/>
        <v>5.2606100491610714</v>
      </c>
      <c r="X16" s="220">
        <f t="shared" ca="1" si="13"/>
        <v>4.9433564440288542</v>
      </c>
      <c r="Y16" s="220">
        <f t="shared" ca="1" si="14"/>
        <v>1.7992346029945228</v>
      </c>
      <c r="AA16" s="3">
        <f t="shared" ref="AA16:AA50" si="29">AA15+10</f>
        <v>20</v>
      </c>
      <c r="AB16" s="219">
        <f t="shared" ca="1" si="15"/>
        <v>9.1390667093073024</v>
      </c>
      <c r="AC16" s="220">
        <f t="shared" ca="1" si="16"/>
        <v>8.5879135476062274</v>
      </c>
      <c r="AD16" s="220">
        <f t="shared" ca="1" si="17"/>
        <v>3.125744905780131</v>
      </c>
      <c r="AF16" s="3">
        <f t="shared" ref="AF16:AF50" si="30">AF15+10</f>
        <v>20</v>
      </c>
      <c r="AG16" s="219">
        <f t="shared" ca="1" si="18"/>
        <v>18.935469948523803</v>
      </c>
      <c r="AH16" s="220">
        <f t="shared" ca="1" si="19"/>
        <v>17.793521381741144</v>
      </c>
      <c r="AI16" s="220">
        <f t="shared" ca="1" si="20"/>
        <v>6.4763121457330035</v>
      </c>
      <c r="AK16" s="3">
        <f t="shared" ref="AK16:AK50" si="31">AK15+10</f>
        <v>20</v>
      </c>
      <c r="AL16" s="219">
        <f t="shared" ca="1" si="21"/>
        <v>30.108481682149552</v>
      </c>
      <c r="AM16" s="220">
        <f t="shared" ca="1" si="22"/>
        <v>28.292718059783631</v>
      </c>
      <c r="AN16" s="220">
        <f t="shared" ca="1" si="23"/>
        <v>10.297707220247061</v>
      </c>
    </row>
    <row r="17" spans="2:40">
      <c r="B17" s="3">
        <f t="shared" si="24"/>
        <v>30</v>
      </c>
      <c r="C17" s="219">
        <f t="shared" ca="1" si="0"/>
        <v>1.0045307407691919</v>
      </c>
      <c r="D17" s="220">
        <f t="shared" ca="1" si="1"/>
        <v>0.86994914038852078</v>
      </c>
      <c r="E17" s="220">
        <f t="shared" ca="1" si="2"/>
        <v>0.50226537038459584</v>
      </c>
      <c r="G17" s="3">
        <f t="shared" si="25"/>
        <v>30</v>
      </c>
      <c r="H17" s="219">
        <f t="shared" ca="1" si="3"/>
        <v>0.30750025963215782</v>
      </c>
      <c r="I17" s="220">
        <f t="shared" ca="1" si="4"/>
        <v>0.26630303651175924</v>
      </c>
      <c r="J17" s="220">
        <f t="shared" ca="1" si="5"/>
        <v>0.15375012981607888</v>
      </c>
      <c r="L17" s="3">
        <f t="shared" si="26"/>
        <v>30</v>
      </c>
      <c r="M17" s="219">
        <f t="shared" ca="1" si="6"/>
        <v>0.71889152786547705</v>
      </c>
      <c r="N17" s="220">
        <f t="shared" ca="1" si="7"/>
        <v>0.62257832569691185</v>
      </c>
      <c r="O17" s="220">
        <f t="shared" ca="1" si="8"/>
        <v>0.35944576393273847</v>
      </c>
      <c r="Q17" s="3">
        <f t="shared" si="27"/>
        <v>30</v>
      </c>
      <c r="R17" s="219">
        <f t="shared" si="9"/>
        <v>1.543496742568236</v>
      </c>
      <c r="S17" s="220">
        <f t="shared" si="10"/>
        <v>1.3367073897226225</v>
      </c>
      <c r="T17" s="220">
        <f t="shared" si="11"/>
        <v>0.77174837128411788</v>
      </c>
      <c r="V17" s="3">
        <f t="shared" si="28"/>
        <v>30</v>
      </c>
      <c r="W17" s="219">
        <f t="shared" ca="1" si="12"/>
        <v>5.3030680266977486</v>
      </c>
      <c r="X17" s="220">
        <f t="shared" ca="1" si="13"/>
        <v>4.5925916291172646</v>
      </c>
      <c r="Y17" s="220">
        <f t="shared" ca="1" si="14"/>
        <v>2.6515340133488738</v>
      </c>
      <c r="AA17" s="3">
        <f t="shared" si="29"/>
        <v>30</v>
      </c>
      <c r="AB17" s="219">
        <f t="shared" ca="1" si="15"/>
        <v>9.1997826870086055</v>
      </c>
      <c r="AC17" s="220">
        <f t="shared" ca="1" si="16"/>
        <v>7.9672455162457156</v>
      </c>
      <c r="AD17" s="220">
        <f t="shared" ca="1" si="17"/>
        <v>4.5998913435043018</v>
      </c>
      <c r="AF17" s="3">
        <f t="shared" si="30"/>
        <v>30</v>
      </c>
      <c r="AG17" s="219">
        <f t="shared" ca="1" si="18"/>
        <v>18.78951404028922</v>
      </c>
      <c r="AH17" s="220">
        <f t="shared" ca="1" si="19"/>
        <v>16.272196483654852</v>
      </c>
      <c r="AI17" s="220">
        <f t="shared" ca="1" si="20"/>
        <v>9.394757020144608</v>
      </c>
      <c r="AK17" s="3">
        <f t="shared" si="31"/>
        <v>30</v>
      </c>
      <c r="AL17" s="219">
        <f t="shared" ca="1" si="21"/>
        <v>30.194727633867778</v>
      </c>
      <c r="AM17" s="220">
        <f t="shared" ca="1" si="22"/>
        <v>26.149401191281491</v>
      </c>
      <c r="AN17" s="220">
        <f t="shared" ca="1" si="23"/>
        <v>15.097363816933887</v>
      </c>
    </row>
    <row r="18" spans="2:40">
      <c r="B18" s="3">
        <f t="shared" si="24"/>
        <v>40</v>
      </c>
      <c r="C18" s="219">
        <f t="shared" ca="1" si="0"/>
        <v>1.0072688284572653</v>
      </c>
      <c r="D18" s="220">
        <f t="shared" ca="1" si="1"/>
        <v>0.77161268876665123</v>
      </c>
      <c r="E18" s="220">
        <f t="shared" ca="1" si="2"/>
        <v>0.64745992255580631</v>
      </c>
      <c r="G18" s="3">
        <f t="shared" si="25"/>
        <v>40</v>
      </c>
      <c r="H18" s="219">
        <f t="shared" ca="1" si="3"/>
        <v>0.30842537791610702</v>
      </c>
      <c r="I18" s="220">
        <f t="shared" ca="1" si="4"/>
        <v>0.23626754686950455</v>
      </c>
      <c r="J18" s="220">
        <f t="shared" ca="1" si="5"/>
        <v>0.19825201143736196</v>
      </c>
      <c r="L18" s="3">
        <f t="shared" si="26"/>
        <v>40</v>
      </c>
      <c r="M18" s="219">
        <f t="shared" ca="1" si="6"/>
        <v>0.71860348623669335</v>
      </c>
      <c r="N18" s="220">
        <f t="shared" ca="1" si="7"/>
        <v>0.55048220743754395</v>
      </c>
      <c r="O18" s="220">
        <f t="shared" ca="1" si="8"/>
        <v>0.461909417230498</v>
      </c>
      <c r="Q18" s="3">
        <f t="shared" si="27"/>
        <v>40</v>
      </c>
      <c r="R18" s="219">
        <f t="shared" si="9"/>
        <v>1.5682743869793783</v>
      </c>
      <c r="S18" s="220">
        <f t="shared" si="10"/>
        <v>1.2013678794313745</v>
      </c>
      <c r="T18" s="220">
        <f t="shared" si="11"/>
        <v>1.0080673445390973</v>
      </c>
      <c r="V18" s="3">
        <f t="shared" si="28"/>
        <v>40</v>
      </c>
      <c r="W18" s="219">
        <f t="shared" ca="1" si="12"/>
        <v>5.3426613872510016</v>
      </c>
      <c r="X18" s="220">
        <f t="shared" ca="1" si="13"/>
        <v>4.0927160671699596</v>
      </c>
      <c r="Y18" s="220">
        <f t="shared" ca="1" si="14"/>
        <v>3.4341965424756413</v>
      </c>
      <c r="AA18" s="3">
        <f t="shared" si="29"/>
        <v>40</v>
      </c>
      <c r="AB18" s="219">
        <f t="shared" ca="1" si="15"/>
        <v>9.2710034042404583</v>
      </c>
      <c r="AC18" s="220">
        <f t="shared" ca="1" si="16"/>
        <v>7.1020006399555315</v>
      </c>
      <c r="AD18" s="220">
        <f t="shared" ca="1" si="17"/>
        <v>5.9592861176074923</v>
      </c>
      <c r="AF18" s="3">
        <f t="shared" si="30"/>
        <v>40</v>
      </c>
      <c r="AG18" s="219">
        <f t="shared" ca="1" si="18"/>
        <v>18.656048882430863</v>
      </c>
      <c r="AH18" s="220">
        <f t="shared" ca="1" si="19"/>
        <v>14.291362576942182</v>
      </c>
      <c r="AI18" s="220">
        <f t="shared" ca="1" si="20"/>
        <v>11.991877067332966</v>
      </c>
      <c r="AK18" s="3">
        <f t="shared" si="31"/>
        <v>40</v>
      </c>
      <c r="AL18" s="219">
        <f t="shared" ca="1" si="21"/>
        <v>30.277030552657216</v>
      </c>
      <c r="AM18" s="220">
        <f t="shared" ca="1" si="22"/>
        <v>23.19355100900658</v>
      </c>
      <c r="AN18" s="220">
        <f t="shared" ca="1" si="23"/>
        <v>19.461700097348849</v>
      </c>
    </row>
    <row r="19" spans="2:40">
      <c r="B19" s="3">
        <f t="shared" si="24"/>
        <v>50</v>
      </c>
      <c r="C19" s="219">
        <f t="shared" ca="1" si="0"/>
        <v>1.0097896079027109</v>
      </c>
      <c r="D19" s="220">
        <f t="shared" ca="1" si="1"/>
        <v>0.64908024835009137</v>
      </c>
      <c r="E19" s="220">
        <f t="shared" ca="1" si="2"/>
        <v>0.77354371785316334</v>
      </c>
      <c r="G19" s="3">
        <f t="shared" si="25"/>
        <v>50</v>
      </c>
      <c r="H19" s="219">
        <f t="shared" ca="1" si="3"/>
        <v>0.31094866654497688</v>
      </c>
      <c r="I19" s="220">
        <f t="shared" ca="1" si="4"/>
        <v>0.19987395010366249</v>
      </c>
      <c r="J19" s="220">
        <f t="shared" ca="1" si="5"/>
        <v>0.23820049810203561</v>
      </c>
      <c r="L19" s="3">
        <f t="shared" si="26"/>
        <v>50</v>
      </c>
      <c r="M19" s="219">
        <f t="shared" ca="1" si="6"/>
        <v>0.71845727219505806</v>
      </c>
      <c r="N19" s="220">
        <f t="shared" ca="1" si="7"/>
        <v>0.46181543265617275</v>
      </c>
      <c r="O19" s="220">
        <f t="shared" ca="1" si="8"/>
        <v>0.55037020098344325</v>
      </c>
      <c r="Q19" s="3">
        <f t="shared" si="27"/>
        <v>50</v>
      </c>
      <c r="R19" s="219">
        <f t="shared" si="9"/>
        <v>1.5919766363120154</v>
      </c>
      <c r="S19" s="220">
        <f t="shared" si="10"/>
        <v>1.0233028567318176</v>
      </c>
      <c r="T19" s="220">
        <f t="shared" si="11"/>
        <v>1.2195248558220615</v>
      </c>
      <c r="V19" s="3">
        <f t="shared" si="28"/>
        <v>50</v>
      </c>
      <c r="W19" s="219">
        <f t="shared" ca="1" si="12"/>
        <v>5.3780176109790983</v>
      </c>
      <c r="X19" s="220">
        <f t="shared" ca="1" si="13"/>
        <v>3.4569230850133676</v>
      </c>
      <c r="Y19" s="220">
        <f t="shared" ca="1" si="14"/>
        <v>4.1198005058865395</v>
      </c>
      <c r="AA19" s="3">
        <f t="shared" si="29"/>
        <v>50</v>
      </c>
      <c r="AB19" s="219">
        <f t="shared" ca="1" si="15"/>
        <v>9.3509815157338654</v>
      </c>
      <c r="AC19" s="220">
        <f t="shared" ca="1" si="16"/>
        <v>6.010695056721584</v>
      </c>
      <c r="AD19" s="220">
        <f t="shared" ca="1" si="17"/>
        <v>7.1632674278362058</v>
      </c>
      <c r="AF19" s="3">
        <f t="shared" si="30"/>
        <v>50</v>
      </c>
      <c r="AG19" s="219">
        <f t="shared" ca="1" si="18"/>
        <v>18.538566256014082</v>
      </c>
      <c r="AH19" s="220">
        <f t="shared" ca="1" si="19"/>
        <v>11.916360690718829</v>
      </c>
      <c r="AI19" s="220">
        <f t="shared" ca="1" si="20"/>
        <v>14.201365663812584</v>
      </c>
      <c r="AK19" s="3">
        <f t="shared" si="31"/>
        <v>50</v>
      </c>
      <c r="AL19" s="219">
        <f t="shared" ca="1" si="21"/>
        <v>30.352801502904097</v>
      </c>
      <c r="AM19" s="220">
        <f t="shared" ca="1" si="22"/>
        <v>19.510404725341722</v>
      </c>
      <c r="AN19" s="220">
        <f t="shared" ca="1" si="23"/>
        <v>23.251594924393046</v>
      </c>
    </row>
    <row r="20" spans="2:40">
      <c r="B20" s="3">
        <f t="shared" si="24"/>
        <v>60</v>
      </c>
      <c r="C20" s="219">
        <f t="shared" ca="1" si="0"/>
        <v>1.0120125722052615</v>
      </c>
      <c r="D20" s="220">
        <f t="shared" ca="1" si="1"/>
        <v>0.50600628610263088</v>
      </c>
      <c r="E20" s="220">
        <f t="shared" ca="1" si="2"/>
        <v>0.87642859647898996</v>
      </c>
      <c r="G20" s="3">
        <f t="shared" si="25"/>
        <v>60</v>
      </c>
      <c r="H20" s="219">
        <f t="shared" ca="1" si="3"/>
        <v>0.31506999828964966</v>
      </c>
      <c r="I20" s="220">
        <f t="shared" ca="1" si="4"/>
        <v>0.15753499914482486</v>
      </c>
      <c r="J20" s="220">
        <f t="shared" ca="1" si="5"/>
        <v>0.27285862248915621</v>
      </c>
      <c r="L20" s="3">
        <f t="shared" si="26"/>
        <v>60</v>
      </c>
      <c r="M20" s="219">
        <f t="shared" ca="1" si="6"/>
        <v>0.71845715440897928</v>
      </c>
      <c r="N20" s="220">
        <f t="shared" ca="1" si="7"/>
        <v>0.3592285772044897</v>
      </c>
      <c r="O20" s="220">
        <f t="shared" ca="1" si="8"/>
        <v>0.62220214724885503</v>
      </c>
      <c r="Q20" s="3">
        <f t="shared" si="27"/>
        <v>60</v>
      </c>
      <c r="R20" s="219">
        <f t="shared" si="9"/>
        <v>1.6137172906398927</v>
      </c>
      <c r="S20" s="220">
        <f t="shared" si="10"/>
        <v>0.80685864531994655</v>
      </c>
      <c r="T20" s="220">
        <f t="shared" si="11"/>
        <v>1.3975201682203433</v>
      </c>
      <c r="V20" s="3">
        <f t="shared" si="28"/>
        <v>60</v>
      </c>
      <c r="W20" s="219">
        <f t="shared" ca="1" si="12"/>
        <v>5.4078626686484732</v>
      </c>
      <c r="X20" s="220">
        <f t="shared" ca="1" si="13"/>
        <v>2.703931334324237</v>
      </c>
      <c r="Y20" s="220">
        <f t="shared" ca="1" si="14"/>
        <v>4.6833464512270853</v>
      </c>
      <c r="AA20" s="3">
        <f t="shared" si="29"/>
        <v>60</v>
      </c>
      <c r="AB20" s="219">
        <f t="shared" ca="1" si="15"/>
        <v>9.4376466835946502</v>
      </c>
      <c r="AC20" s="220">
        <f t="shared" ca="1" si="16"/>
        <v>4.718823341797326</v>
      </c>
      <c r="AD20" s="220">
        <f t="shared" ca="1" si="17"/>
        <v>8.1732417799349246</v>
      </c>
      <c r="AF20" s="3">
        <f t="shared" si="30"/>
        <v>60</v>
      </c>
      <c r="AG20" s="219">
        <f t="shared" ca="1" si="18"/>
        <v>18.440007982606677</v>
      </c>
      <c r="AH20" s="220">
        <f t="shared" ca="1" si="19"/>
        <v>9.22000399130334</v>
      </c>
      <c r="AI20" s="220">
        <f t="shared" ca="1" si="20"/>
        <v>15.969515358925218</v>
      </c>
      <c r="AK20" s="3">
        <f t="shared" si="31"/>
        <v>60</v>
      </c>
      <c r="AL20" s="219">
        <f t="shared" ca="1" si="21"/>
        <v>30.419620564711934</v>
      </c>
      <c r="AM20" s="220">
        <f t="shared" ca="1" si="22"/>
        <v>15.209810282355971</v>
      </c>
      <c r="AN20" s="220">
        <f t="shared" ca="1" si="23"/>
        <v>26.344164182524064</v>
      </c>
    </row>
    <row r="21" spans="2:40">
      <c r="B21" s="3">
        <f t="shared" si="24"/>
        <v>70</v>
      </c>
      <c r="C21" s="219">
        <f t="shared" ca="1" si="0"/>
        <v>1.0138657566284721</v>
      </c>
      <c r="D21" s="220">
        <f t="shared" ca="1" si="1"/>
        <v>0.3467625113950577</v>
      </c>
      <c r="E21" s="220">
        <f t="shared" ca="1" si="2"/>
        <v>0.95272216997129688</v>
      </c>
      <c r="G21" s="3">
        <f t="shared" si="25"/>
        <v>70</v>
      </c>
      <c r="H21" s="219">
        <f t="shared" ca="1" si="3"/>
        <v>0.32078502999571079</v>
      </c>
      <c r="I21" s="220">
        <f t="shared" ca="1" si="4"/>
        <v>0.10971494193586198</v>
      </c>
      <c r="J21" s="220">
        <f t="shared" ca="1" si="5"/>
        <v>0.30143932554555569</v>
      </c>
      <c r="L21" s="3">
        <f t="shared" si="26"/>
        <v>70</v>
      </c>
      <c r="M21" s="219">
        <f t="shared" ca="1" si="6"/>
        <v>0.71860313631505812</v>
      </c>
      <c r="N21" s="220">
        <f t="shared" ca="1" si="7"/>
        <v>0.24577674767675131</v>
      </c>
      <c r="O21" s="220">
        <f t="shared" ca="1" si="8"/>
        <v>0.67526606446887028</v>
      </c>
      <c r="Q21" s="3">
        <f t="shared" si="27"/>
        <v>70</v>
      </c>
      <c r="R21" s="219">
        <f t="shared" si="9"/>
        <v>1.6326195234349794</v>
      </c>
      <c r="S21" s="220">
        <f t="shared" si="10"/>
        <v>0.55838876340151677</v>
      </c>
      <c r="T21" s="220">
        <f t="shared" si="11"/>
        <v>1.5341605187228564</v>
      </c>
      <c r="V21" s="3">
        <f t="shared" si="28"/>
        <v>70</v>
      </c>
      <c r="W21" s="219">
        <f t="shared" ca="1" si="12"/>
        <v>5.4310851583418129</v>
      </c>
      <c r="X21" s="220">
        <f t="shared" ca="1" si="13"/>
        <v>1.8575405242699796</v>
      </c>
      <c r="Y21" s="220">
        <f t="shared" ca="1" si="14"/>
        <v>5.1035506461536677</v>
      </c>
      <c r="AA21" s="3">
        <f t="shared" si="29"/>
        <v>70</v>
      </c>
      <c r="AB21" s="219">
        <f t="shared" ca="1" si="15"/>
        <v>9.5286241474918416</v>
      </c>
      <c r="AC21" s="220">
        <f t="shared" ca="1" si="16"/>
        <v>3.2589813966215884</v>
      </c>
      <c r="AD21" s="220">
        <f t="shared" ca="1" si="17"/>
        <v>8.9539777976404995</v>
      </c>
      <c r="AF21" s="3">
        <f t="shared" si="30"/>
        <v>70</v>
      </c>
      <c r="AG21" s="219">
        <f t="shared" ca="1" si="18"/>
        <v>18.362747975786061</v>
      </c>
      <c r="AH21" s="220">
        <f t="shared" ca="1" si="19"/>
        <v>6.2804296945314837</v>
      </c>
      <c r="AI21" s="220">
        <f t="shared" ca="1" si="20"/>
        <v>17.255338770197536</v>
      </c>
      <c r="AK21" s="3">
        <f t="shared" si="31"/>
        <v>70</v>
      </c>
      <c r="AL21" s="219">
        <f t="shared" ca="1" si="21"/>
        <v>30.47532458315872</v>
      </c>
      <c r="AM21" s="220">
        <f t="shared" ca="1" si="22"/>
        <v>10.423174881828224</v>
      </c>
      <c r="AN21" s="220">
        <f t="shared" ca="1" si="23"/>
        <v>28.637437626849636</v>
      </c>
    </row>
    <row r="22" spans="2:40">
      <c r="B22" s="3">
        <f t="shared" si="24"/>
        <v>80</v>
      </c>
      <c r="C22" s="219">
        <f t="shared" ca="1" si="0"/>
        <v>1.0152884702967833</v>
      </c>
      <c r="D22" s="220">
        <f t="shared" ca="1" si="1"/>
        <v>0.17630299267328181</v>
      </c>
      <c r="E22" s="220">
        <f t="shared" ca="1" si="2"/>
        <v>0.99986395709217701</v>
      </c>
      <c r="G22" s="3">
        <f t="shared" si="25"/>
        <v>80</v>
      </c>
      <c r="H22" s="219">
        <f t="shared" ca="1" si="3"/>
        <v>0.32807895993015812</v>
      </c>
      <c r="I22" s="220">
        <f t="shared" ca="1" si="4"/>
        <v>5.6970313522733844E-2</v>
      </c>
      <c r="J22" s="220">
        <f t="shared" ca="1" si="5"/>
        <v>0.32309470333940127</v>
      </c>
      <c r="L22" s="3">
        <f t="shared" si="26"/>
        <v>80</v>
      </c>
      <c r="M22" s="219">
        <f t="shared" ca="1" si="6"/>
        <v>0.71889095603041386</v>
      </c>
      <c r="N22" s="220">
        <f t="shared" ca="1" si="7"/>
        <v>0.12483410445591876</v>
      </c>
      <c r="O22" s="220">
        <f t="shared" ca="1" si="8"/>
        <v>0.70796938706910995</v>
      </c>
      <c r="Q22" s="3">
        <f t="shared" si="27"/>
        <v>80</v>
      </c>
      <c r="R22" s="219">
        <f t="shared" si="9"/>
        <v>1.6478700376221667</v>
      </c>
      <c r="S22" s="220">
        <f t="shared" si="10"/>
        <v>0.28614962906502528</v>
      </c>
      <c r="T22" s="220">
        <f t="shared" si="11"/>
        <v>1.6228351890068287</v>
      </c>
      <c r="V22" s="3">
        <f t="shared" si="28"/>
        <v>80</v>
      </c>
      <c r="W22" s="219">
        <f t="shared" ca="1" si="12"/>
        <v>5.4467972935745896</v>
      </c>
      <c r="X22" s="220">
        <f t="shared" ca="1" si="13"/>
        <v>0.94582642415039608</v>
      </c>
      <c r="Y22" s="220">
        <f t="shared" ca="1" si="14"/>
        <v>5.3640482037981672</v>
      </c>
      <c r="AA22" s="3">
        <f t="shared" si="29"/>
        <v>80</v>
      </c>
      <c r="AB22" s="219">
        <f t="shared" ca="1" si="15"/>
        <v>9.6212714056314912</v>
      </c>
      <c r="AC22" s="220">
        <f t="shared" ca="1" si="16"/>
        <v>1.6707162464268546</v>
      </c>
      <c r="AD22" s="220">
        <f t="shared" ca="1" si="17"/>
        <v>9.4751026741005564</v>
      </c>
      <c r="AF22" s="3">
        <f t="shared" si="30"/>
        <v>80</v>
      </c>
      <c r="AG22" s="219">
        <f t="shared" ca="1" si="18"/>
        <v>18.308587788210723</v>
      </c>
      <c r="AH22" s="220">
        <f t="shared" ca="1" si="19"/>
        <v>3.1792529050778082</v>
      </c>
      <c r="AI22" s="220">
        <f t="shared" ca="1" si="20"/>
        <v>18.030439200534552</v>
      </c>
      <c r="AK22" s="3">
        <f t="shared" si="31"/>
        <v>80</v>
      </c>
      <c r="AL22" s="219">
        <f t="shared" ca="1" si="21"/>
        <v>30.518089279122865</v>
      </c>
      <c r="AM22" s="220">
        <f t="shared" ca="1" si="22"/>
        <v>5.2994105891963716</v>
      </c>
      <c r="AN22" s="220">
        <f t="shared" ca="1" si="23"/>
        <v>30.054450929198943</v>
      </c>
    </row>
    <row r="23" spans="2:40">
      <c r="B23" s="3">
        <f t="shared" si="24"/>
        <v>90</v>
      </c>
      <c r="C23" s="219">
        <f t="shared" ca="1" si="0"/>
        <v>1.0162336884509309</v>
      </c>
      <c r="D23" s="220">
        <f t="shared" ca="1" si="1"/>
        <v>6.2251856661587289E-17</v>
      </c>
      <c r="E23" s="220">
        <f t="shared" ca="1" si="2"/>
        <v>1.0162336884509309</v>
      </c>
      <c r="G23" s="3">
        <f t="shared" si="25"/>
        <v>90</v>
      </c>
      <c r="H23" s="219">
        <f t="shared" ca="1" si="3"/>
        <v>0.3369174018262156</v>
      </c>
      <c r="I23" s="220">
        <f t="shared" ca="1" si="4"/>
        <v>2.0638691713960735E-17</v>
      </c>
      <c r="J23" s="220">
        <f t="shared" ca="1" si="5"/>
        <v>0.3369174018262156</v>
      </c>
      <c r="L23" s="3">
        <f t="shared" si="26"/>
        <v>90</v>
      </c>
      <c r="M23" s="219">
        <f t="shared" ca="1" si="6"/>
        <v>0.71931219539032343</v>
      </c>
      <c r="N23" s="220">
        <f t="shared" ca="1" si="7"/>
        <v>4.4063211238969108E-17</v>
      </c>
      <c r="O23" s="220">
        <f t="shared" ca="1" si="8"/>
        <v>0.71931219539032343</v>
      </c>
      <c r="Q23" s="3">
        <f t="shared" si="27"/>
        <v>90</v>
      </c>
      <c r="R23" s="219">
        <f t="shared" si="9"/>
        <v>1.6587774092407432</v>
      </c>
      <c r="S23" s="220">
        <f t="shared" si="10"/>
        <v>1.0161242899843102E-16</v>
      </c>
      <c r="T23" s="220">
        <f t="shared" si="11"/>
        <v>1.6587774092407432</v>
      </c>
      <c r="V23" s="3">
        <f t="shared" si="28"/>
        <v>90</v>
      </c>
      <c r="W23" s="219">
        <f t="shared" ca="1" si="12"/>
        <v>5.4543868993029543</v>
      </c>
      <c r="X23" s="220">
        <f t="shared" ca="1" si="13"/>
        <v>3.3412168410774165E-16</v>
      </c>
      <c r="Y23" s="220">
        <f t="shared" ca="1" si="14"/>
        <v>5.4543868993029543</v>
      </c>
      <c r="AA23" s="3">
        <f t="shared" si="29"/>
        <v>90</v>
      </c>
      <c r="AB23" s="219">
        <f t="shared" ca="1" si="15"/>
        <v>9.7127371119572956</v>
      </c>
      <c r="AC23" s="220">
        <f t="shared" ca="1" si="16"/>
        <v>5.9497724328240463E-16</v>
      </c>
      <c r="AD23" s="220">
        <f t="shared" ca="1" si="17"/>
        <v>9.7127371119572956</v>
      </c>
      <c r="AF23" s="3">
        <f t="shared" si="30"/>
        <v>90</v>
      </c>
      <c r="AG23" s="219">
        <f t="shared" ca="1" si="18"/>
        <v>18.278759482145695</v>
      </c>
      <c r="AH23" s="220">
        <f t="shared" ca="1" si="19"/>
        <v>1.1197096968598542E-15</v>
      </c>
      <c r="AI23" s="220">
        <f t="shared" ca="1" si="20"/>
        <v>18.278759482145695</v>
      </c>
      <c r="AK23" s="3">
        <f t="shared" si="31"/>
        <v>90</v>
      </c>
      <c r="AL23" s="219">
        <f t="shared" ca="1" si="21"/>
        <v>30.546501156988565</v>
      </c>
      <c r="AM23" s="220">
        <f t="shared" ca="1" si="22"/>
        <v>1.8711999347674459E-15</v>
      </c>
      <c r="AN23" s="220">
        <f t="shared" ca="1" si="23"/>
        <v>30.546501156988565</v>
      </c>
    </row>
    <row r="24" spans="2:40">
      <c r="B24" s="3">
        <f t="shared" si="24"/>
        <v>100</v>
      </c>
      <c r="C24" s="219">
        <f t="shared" ca="1" si="0"/>
        <v>1.0166699611243262</v>
      </c>
      <c r="D24" s="220">
        <f t="shared" ca="1" si="1"/>
        <v>-0.17654288603794813</v>
      </c>
      <c r="E24" s="220">
        <f t="shared" ca="1" si="2"/>
        <v>1.0012244599698565</v>
      </c>
      <c r="G24" s="3">
        <f t="shared" si="25"/>
        <v>100</v>
      </c>
      <c r="H24" s="219">
        <f t="shared" ca="1" si="3"/>
        <v>0.34723411095946782</v>
      </c>
      <c r="I24" s="220">
        <f t="shared" ca="1" si="4"/>
        <v>-6.0296570591908259E-2</v>
      </c>
      <c r="J24" s="220">
        <f t="shared" ca="1" si="5"/>
        <v>0.34195884458318521</v>
      </c>
      <c r="L24" s="3">
        <f t="shared" si="26"/>
        <v>100</v>
      </c>
      <c r="M24" s="219">
        <f t="shared" ca="1" si="6"/>
        <v>0.7198544971357641</v>
      </c>
      <c r="N24" s="220">
        <f t="shared" ca="1" si="7"/>
        <v>-0.12500142161296993</v>
      </c>
      <c r="O24" s="220">
        <f t="shared" ca="1" si="8"/>
        <v>0.70891828982000482</v>
      </c>
      <c r="Q24" s="3">
        <f t="shared" si="27"/>
        <v>100</v>
      </c>
      <c r="R24" s="219">
        <f t="shared" si="9"/>
        <v>1.6648275036284421</v>
      </c>
      <c r="S24" s="220">
        <f t="shared" si="10"/>
        <v>-0.28909426213486378</v>
      </c>
      <c r="T24" s="220">
        <f t="shared" si="11"/>
        <v>1.6395350330012497</v>
      </c>
      <c r="V24" s="3">
        <f t="shared" si="28"/>
        <v>100</v>
      </c>
      <c r="W24" s="219">
        <f t="shared" ca="1" si="12"/>
        <v>5.4535549263176009</v>
      </c>
      <c r="X24" s="220">
        <f t="shared" ca="1" si="13"/>
        <v>-0.94699987476156178</v>
      </c>
      <c r="Y24" s="220">
        <f t="shared" ca="1" si="14"/>
        <v>5.3707031729154942</v>
      </c>
      <c r="AA24" s="3">
        <f t="shared" si="29"/>
        <v>100</v>
      </c>
      <c r="AB24" s="219">
        <f t="shared" ca="1" si="15"/>
        <v>9.8000446600780258</v>
      </c>
      <c r="AC24" s="220">
        <f t="shared" ca="1" si="16"/>
        <v>-1.7017598962770806</v>
      </c>
      <c r="AD24" s="220">
        <f t="shared" ca="1" si="17"/>
        <v>9.6511599611107286</v>
      </c>
      <c r="AF24" s="3">
        <f t="shared" si="30"/>
        <v>100</v>
      </c>
      <c r="AG24" s="219">
        <f t="shared" ca="1" si="18"/>
        <v>18.273930812583412</v>
      </c>
      <c r="AH24" s="220">
        <f t="shared" ca="1" si="19"/>
        <v>-3.1732347844166764</v>
      </c>
      <c r="AI24" s="220">
        <f t="shared" ca="1" si="20"/>
        <v>17.996308742240824</v>
      </c>
      <c r="AK24" s="3">
        <f t="shared" si="31"/>
        <v>100</v>
      </c>
      <c r="AL24" s="219">
        <f t="shared" ca="1" si="21"/>
        <v>30.559614876671432</v>
      </c>
      <c r="AM24" s="220">
        <f t="shared" ca="1" si="22"/>
        <v>-5.3066214335372068</v>
      </c>
      <c r="AN24" s="220">
        <f t="shared" ca="1" si="23"/>
        <v>30.095345659613237</v>
      </c>
    </row>
    <row r="25" spans="2:40">
      <c r="B25" s="3">
        <f t="shared" si="24"/>
        <v>110</v>
      </c>
      <c r="C25" s="219">
        <f t="shared" ca="1" si="0"/>
        <v>1.0165827162914081</v>
      </c>
      <c r="D25" s="220">
        <f t="shared" ca="1" si="1"/>
        <v>-0.347691766328385</v>
      </c>
      <c r="E25" s="220">
        <f t="shared" ca="1" si="2"/>
        <v>0.95527527691753089</v>
      </c>
      <c r="G25" s="3">
        <f t="shared" si="25"/>
        <v>110</v>
      </c>
      <c r="H25" s="219">
        <f t="shared" ca="1" si="3"/>
        <v>0.35891554146698545</v>
      </c>
      <c r="I25" s="220">
        <f t="shared" ca="1" si="4"/>
        <v>-0.12275634493434835</v>
      </c>
      <c r="J25" s="220">
        <f t="shared" ca="1" si="5"/>
        <v>0.33727028580190493</v>
      </c>
      <c r="L25" s="3">
        <f t="shared" si="26"/>
        <v>110</v>
      </c>
      <c r="M25" s="219">
        <f t="shared" ca="1" si="6"/>
        <v>0.7205018880806362</v>
      </c>
      <c r="N25" s="220">
        <f t="shared" ca="1" si="7"/>
        <v>-0.24642615902775411</v>
      </c>
      <c r="O25" s="220">
        <f t="shared" ca="1" si="8"/>
        <v>0.67705030749168826</v>
      </c>
      <c r="Q25" s="3">
        <f t="shared" si="27"/>
        <v>110</v>
      </c>
      <c r="R25" s="219">
        <f t="shared" si="9"/>
        <v>1.6657280065642865</v>
      </c>
      <c r="S25" s="220">
        <f t="shared" si="10"/>
        <v>-0.56971253154669776</v>
      </c>
      <c r="T25" s="220">
        <f t="shared" si="11"/>
        <v>1.5652723160048814</v>
      </c>
      <c r="V25" s="3">
        <f t="shared" si="28"/>
        <v>110</v>
      </c>
      <c r="W25" s="219">
        <f t="shared" ca="1" si="12"/>
        <v>5.4443342629648805</v>
      </c>
      <c r="X25" s="220">
        <f t="shared" ca="1" si="13"/>
        <v>-1.8620719849320975</v>
      </c>
      <c r="Y25" s="220">
        <f t="shared" ca="1" si="14"/>
        <v>5.1160007319999856</v>
      </c>
      <c r="AA25" s="3">
        <f t="shared" si="29"/>
        <v>110</v>
      </c>
      <c r="AB25" s="219">
        <f t="shared" ca="1" si="15"/>
        <v>9.8802003142275598</v>
      </c>
      <c r="AC25" s="220">
        <f t="shared" ca="1" si="16"/>
        <v>-3.3792275275584269</v>
      </c>
      <c r="AD25" s="220">
        <f t="shared" ca="1" si="17"/>
        <v>9.2843513271662523</v>
      </c>
      <c r="AF25" s="3">
        <f t="shared" si="30"/>
        <v>110</v>
      </c>
      <c r="AG25" s="219">
        <f t="shared" ca="1" si="18"/>
        <v>18.294209158449153</v>
      </c>
      <c r="AH25" s="220">
        <f t="shared" ca="1" si="19"/>
        <v>-6.2569880384025405</v>
      </c>
      <c r="AI25" s="220">
        <f t="shared" ca="1" si="20"/>
        <v>17.190933349308654</v>
      </c>
      <c r="AK25" s="3">
        <f t="shared" si="31"/>
        <v>110</v>
      </c>
      <c r="AL25" s="219">
        <f t="shared" ca="1" si="21"/>
        <v>30.556992424355634</v>
      </c>
      <c r="AM25" s="220">
        <f t="shared" ca="1" si="22"/>
        <v>-10.451106928579486</v>
      </c>
      <c r="AN25" s="220">
        <f t="shared" ca="1" si="23"/>
        <v>28.714180294577897</v>
      </c>
    </row>
    <row r="26" spans="2:40">
      <c r="B26" s="3">
        <f t="shared" si="24"/>
        <v>120</v>
      </c>
      <c r="C26" s="219">
        <f t="shared" ca="1" si="0"/>
        <v>1.0159748708674627</v>
      </c>
      <c r="D26" s="220">
        <f t="shared" ca="1" si="1"/>
        <v>-0.50798743543373115</v>
      </c>
      <c r="E26" s="220">
        <f t="shared" ca="1" si="2"/>
        <v>0.87986004777783744</v>
      </c>
      <c r="G26" s="3">
        <f t="shared" si="25"/>
        <v>120</v>
      </c>
      <c r="H26" s="219">
        <f t="shared" ca="1" si="3"/>
        <v>0.37178277459084302</v>
      </c>
      <c r="I26" s="220">
        <f t="shared" ca="1" si="4"/>
        <v>-0.18589138729542143</v>
      </c>
      <c r="J26" s="220">
        <f t="shared" ca="1" si="5"/>
        <v>0.3219733274851338</v>
      </c>
      <c r="L26" s="3">
        <f t="shared" si="26"/>
        <v>120</v>
      </c>
      <c r="M26" s="219">
        <f t="shared" ca="1" si="6"/>
        <v>0.72123520448421552</v>
      </c>
      <c r="N26" s="220">
        <f t="shared" ca="1" si="7"/>
        <v>-0.36061760224210759</v>
      </c>
      <c r="O26" s="220">
        <f t="shared" ca="1" si="8"/>
        <v>0.62460800918699499</v>
      </c>
      <c r="Q26" s="3">
        <f t="shared" si="27"/>
        <v>120</v>
      </c>
      <c r="R26" s="219">
        <f t="shared" si="9"/>
        <v>1.6614349717311092</v>
      </c>
      <c r="S26" s="220">
        <f t="shared" si="10"/>
        <v>-0.83071748586555427</v>
      </c>
      <c r="T26" s="220">
        <f t="shared" si="11"/>
        <v>1.4388448922550214</v>
      </c>
      <c r="V26" s="3">
        <f t="shared" si="28"/>
        <v>120</v>
      </c>
      <c r="W26" s="219">
        <f t="shared" ca="1" si="12"/>
        <v>5.4270876508003987</v>
      </c>
      <c r="X26" s="220">
        <f t="shared" ca="1" si="13"/>
        <v>-2.713543825400198</v>
      </c>
      <c r="Y26" s="220">
        <f t="shared" ca="1" si="14"/>
        <v>4.6999957741579559</v>
      </c>
      <c r="AA26" s="3">
        <f t="shared" si="29"/>
        <v>120</v>
      </c>
      <c r="AB26" s="219">
        <f t="shared" ca="1" si="15"/>
        <v>9.9503223006506438</v>
      </c>
      <c r="AC26" s="220">
        <f t="shared" ca="1" si="16"/>
        <v>-4.9751611503253201</v>
      </c>
      <c r="AD26" s="220">
        <f t="shared" ca="1" si="17"/>
        <v>8.6172318882062786</v>
      </c>
      <c r="AF26" s="3">
        <f t="shared" si="30"/>
        <v>120</v>
      </c>
      <c r="AG26" s="219">
        <f t="shared" ca="1" si="18"/>
        <v>18.339142229477201</v>
      </c>
      <c r="AH26" s="220">
        <f t="shared" ca="1" si="19"/>
        <v>-9.1695711147385968</v>
      </c>
      <c r="AI26" s="220">
        <f t="shared" ca="1" si="20"/>
        <v>15.882163054343245</v>
      </c>
      <c r="AK26" s="3">
        <f t="shared" si="31"/>
        <v>120</v>
      </c>
      <c r="AL26" s="219">
        <f t="shared" ca="1" si="21"/>
        <v>30.538721478256495</v>
      </c>
      <c r="AM26" s="220">
        <f t="shared" ca="1" si="22"/>
        <v>-15.26936073912824</v>
      </c>
      <c r="AN26" s="220">
        <f t="shared" ca="1" si="23"/>
        <v>26.447308599267593</v>
      </c>
    </row>
    <row r="27" spans="2:40">
      <c r="B27" s="3">
        <f t="shared" si="24"/>
        <v>130</v>
      </c>
      <c r="C27" s="219">
        <f t="shared" ca="1" si="0"/>
        <v>1.0148667080393363</v>
      </c>
      <c r="D27" s="220">
        <f t="shared" ca="1" si="1"/>
        <v>-0.652343745411052</v>
      </c>
      <c r="E27" s="220">
        <f t="shared" ca="1" si="2"/>
        <v>0.77743300219998379</v>
      </c>
      <c r="G27" s="3">
        <f t="shared" si="25"/>
        <v>130</v>
      </c>
      <c r="H27" s="219">
        <f t="shared" ca="1" si="3"/>
        <v>0.38557234674500052</v>
      </c>
      <c r="I27" s="220">
        <f t="shared" ca="1" si="4"/>
        <v>-0.2478411271254484</v>
      </c>
      <c r="J27" s="220">
        <f t="shared" ca="1" si="5"/>
        <v>0.29536555364435141</v>
      </c>
      <c r="L27" s="3">
        <f t="shared" si="26"/>
        <v>130</v>
      </c>
      <c r="M27" s="219">
        <f t="shared" ca="1" si="6"/>
        <v>0.7220326137048112</v>
      </c>
      <c r="N27" s="220">
        <f t="shared" ca="1" si="7"/>
        <v>-0.46411361787904004</v>
      </c>
      <c r="O27" s="220">
        <f t="shared" ca="1" si="8"/>
        <v>0.55310907147924226</v>
      </c>
      <c r="Q27" s="3">
        <f t="shared" si="27"/>
        <v>130</v>
      </c>
      <c r="R27" s="219">
        <f t="shared" si="9"/>
        <v>1.65215688771487</v>
      </c>
      <c r="S27" s="220">
        <f t="shared" si="10"/>
        <v>-1.0619859766813935</v>
      </c>
      <c r="T27" s="220">
        <f t="shared" si="11"/>
        <v>1.2656256029947215</v>
      </c>
      <c r="V27" s="3">
        <f t="shared" si="28"/>
        <v>130</v>
      </c>
      <c r="W27" s="219">
        <f t="shared" ca="1" si="12"/>
        <v>5.4024849496492582</v>
      </c>
      <c r="X27" s="220">
        <f t="shared" ca="1" si="13"/>
        <v>-3.4726503871525507</v>
      </c>
      <c r="Y27" s="220">
        <f t="shared" ca="1" si="14"/>
        <v>4.1385435747127257</v>
      </c>
      <c r="AA27" s="3">
        <f t="shared" si="29"/>
        <v>130</v>
      </c>
      <c r="AB27" s="219">
        <f t="shared" ca="1" si="15"/>
        <v>10.007783396972432</v>
      </c>
      <c r="AC27" s="220">
        <f t="shared" ca="1" si="16"/>
        <v>-6.4328791680005448</v>
      </c>
      <c r="AD27" s="220">
        <f t="shared" ca="1" si="17"/>
        <v>7.6664068591891006</v>
      </c>
      <c r="AF27" s="3">
        <f t="shared" si="30"/>
        <v>130</v>
      </c>
      <c r="AG27" s="219">
        <f t="shared" ca="1" si="18"/>
        <v>18.407715229155706</v>
      </c>
      <c r="AH27" s="220">
        <f t="shared" ca="1" si="19"/>
        <v>-11.832251271939505</v>
      </c>
      <c r="AI27" s="220">
        <f t="shared" ca="1" si="20"/>
        <v>14.101127961811313</v>
      </c>
      <c r="AK27" s="3">
        <f t="shared" si="31"/>
        <v>130</v>
      </c>
      <c r="AL27" s="219">
        <f t="shared" ca="1" si="21"/>
        <v>30.505411721360815</v>
      </c>
      <c r="AM27" s="220">
        <f t="shared" ca="1" si="22"/>
        <v>-19.60850068287726</v>
      </c>
      <c r="AN27" s="220">
        <f t="shared" ca="1" si="23"/>
        <v>23.36850113420499</v>
      </c>
    </row>
    <row r="28" spans="2:40">
      <c r="B28" s="3">
        <f t="shared" si="24"/>
        <v>140</v>
      </c>
      <c r="C28" s="219">
        <f t="shared" ca="1" si="0"/>
        <v>1.0132950293088057</v>
      </c>
      <c r="D28" s="220">
        <f t="shared" ca="1" si="1"/>
        <v>-0.77622902644209246</v>
      </c>
      <c r="E28" s="220">
        <f t="shared" ca="1" si="2"/>
        <v>0.65133348979665917</v>
      </c>
      <c r="G28" s="3">
        <f t="shared" si="25"/>
        <v>140</v>
      </c>
      <c r="H28" s="219">
        <f t="shared" ca="1" si="3"/>
        <v>0.39991896665854559</v>
      </c>
      <c r="I28" s="220">
        <f t="shared" ca="1" si="4"/>
        <v>-0.30635570210666263</v>
      </c>
      <c r="J28" s="220">
        <f t="shared" ca="1" si="5"/>
        <v>0.25706295664675738</v>
      </c>
      <c r="L28" s="3">
        <f t="shared" si="26"/>
        <v>140</v>
      </c>
      <c r="M28" s="219">
        <f t="shared" ca="1" si="6"/>
        <v>0.72287022345813701</v>
      </c>
      <c r="N28" s="220">
        <f t="shared" ca="1" si="7"/>
        <v>-0.55375071777627971</v>
      </c>
      <c r="O28" s="220">
        <f t="shared" ca="1" si="8"/>
        <v>0.46465202305023057</v>
      </c>
      <c r="Q28" s="3">
        <f t="shared" si="27"/>
        <v>140</v>
      </c>
      <c r="R28" s="219">
        <f t="shared" si="9"/>
        <v>1.638335559225887</v>
      </c>
      <c r="S28" s="220">
        <f t="shared" si="10"/>
        <v>-1.255037851109214</v>
      </c>
      <c r="T28" s="220">
        <f t="shared" si="11"/>
        <v>1.0531017979792678</v>
      </c>
      <c r="V28" s="3">
        <f t="shared" si="28"/>
        <v>140</v>
      </c>
      <c r="W28" s="219">
        <f t="shared" ca="1" si="12"/>
        <v>5.3714623898644378</v>
      </c>
      <c r="X28" s="220">
        <f t="shared" ca="1" si="13"/>
        <v>-4.1147789151782375</v>
      </c>
      <c r="Y28" s="220">
        <f t="shared" ca="1" si="14"/>
        <v>3.4527094701021088</v>
      </c>
      <c r="AA28" s="3">
        <f t="shared" si="29"/>
        <v>140</v>
      </c>
      <c r="AB28" s="219">
        <f t="shared" ca="1" si="15"/>
        <v>10.050355925934875</v>
      </c>
      <c r="AC28" s="220">
        <f t="shared" ca="1" si="16"/>
        <v>-7.6990193084303007</v>
      </c>
      <c r="AD28" s="220">
        <f t="shared" ca="1" si="17"/>
        <v>6.460244262130626</v>
      </c>
      <c r="AF28" s="3">
        <f t="shared" si="30"/>
        <v>140</v>
      </c>
      <c r="AG28" s="219">
        <f t="shared" ca="1" si="18"/>
        <v>18.498345815458379</v>
      </c>
      <c r="AH28" s="220">
        <f t="shared" ca="1" si="19"/>
        <v>-14.170555018825089</v>
      </c>
      <c r="AI28" s="220">
        <f t="shared" ca="1" si="20"/>
        <v>11.890507489873491</v>
      </c>
      <c r="AK28" s="3">
        <f t="shared" si="31"/>
        <v>140</v>
      </c>
      <c r="AL28" s="219">
        <f t="shared" ca="1" si="21"/>
        <v>30.458169353088465</v>
      </c>
      <c r="AM28" s="220">
        <f t="shared" ca="1" si="22"/>
        <v>-23.332311380510173</v>
      </c>
      <c r="AN28" s="220">
        <f t="shared" ca="1" si="23"/>
        <v>19.578133873899546</v>
      </c>
    </row>
    <row r="29" spans="2:40">
      <c r="B29" s="3">
        <f t="shared" si="24"/>
        <v>150</v>
      </c>
      <c r="C29" s="219">
        <f t="shared" ca="1" si="0"/>
        <v>1.0113116385572822</v>
      </c>
      <c r="D29" s="220">
        <f t="shared" ca="1" si="1"/>
        <v>-0.87582157013347273</v>
      </c>
      <c r="E29" s="220">
        <f t="shared" ca="1" si="2"/>
        <v>0.50565581927864101</v>
      </c>
      <c r="G29" s="3">
        <f t="shared" si="25"/>
        <v>150</v>
      </c>
      <c r="H29" s="219">
        <f t="shared" ca="1" si="3"/>
        <v>0.41434488792032032</v>
      </c>
      <c r="I29" s="220">
        <f t="shared" ca="1" si="4"/>
        <v>-0.35883319886721338</v>
      </c>
      <c r="J29" s="220">
        <f t="shared" ca="1" si="5"/>
        <v>0.20717244396016013</v>
      </c>
      <c r="L29" s="3">
        <f t="shared" si="26"/>
        <v>150</v>
      </c>
      <c r="M29" s="219">
        <f t="shared" ca="1" si="6"/>
        <v>0.72372276668756297</v>
      </c>
      <c r="N29" s="220">
        <f t="shared" ca="1" si="7"/>
        <v>-0.62676230124858789</v>
      </c>
      <c r="O29" s="220">
        <f t="shared" ca="1" si="8"/>
        <v>0.36186138334378143</v>
      </c>
      <c r="Q29" s="3">
        <f t="shared" si="27"/>
        <v>150</v>
      </c>
      <c r="R29" s="219">
        <f t="shared" si="9"/>
        <v>1.6206070805879182</v>
      </c>
      <c r="S29" s="220">
        <f t="shared" si="10"/>
        <v>-1.4034869013420723</v>
      </c>
      <c r="T29" s="220">
        <f t="shared" si="11"/>
        <v>0.81030354029395901</v>
      </c>
      <c r="V29" s="3">
        <f t="shared" si="28"/>
        <v>150</v>
      </c>
      <c r="W29" s="219">
        <f t="shared" ca="1" si="12"/>
        <v>5.3351683501764642</v>
      </c>
      <c r="X29" s="220">
        <f t="shared" ca="1" si="13"/>
        <v>-4.6203913247195301</v>
      </c>
      <c r="Y29" s="220">
        <f t="shared" ca="1" si="14"/>
        <v>2.6675841750882316</v>
      </c>
      <c r="AA29" s="3">
        <f t="shared" si="29"/>
        <v>150</v>
      </c>
      <c r="AB29" s="219">
        <f t="shared" ca="1" si="15"/>
        <v>10.076345508834436</v>
      </c>
      <c r="AC29" s="220">
        <f t="shared" ca="1" si="16"/>
        <v>-8.7263711879598578</v>
      </c>
      <c r="AD29" s="220">
        <f t="shared" ca="1" si="17"/>
        <v>5.038172754417217</v>
      </c>
      <c r="AF29" s="3">
        <f t="shared" si="30"/>
        <v>150</v>
      </c>
      <c r="AG29" s="219">
        <f t="shared" ca="1" si="18"/>
        <v>18.608879824194219</v>
      </c>
      <c r="AH29" s="220">
        <f t="shared" ca="1" si="19"/>
        <v>-16.115762663723892</v>
      </c>
      <c r="AI29" s="220">
        <f t="shared" ca="1" si="20"/>
        <v>9.3044399120971075</v>
      </c>
      <c r="AK29" s="3">
        <f t="shared" si="31"/>
        <v>150</v>
      </c>
      <c r="AL29" s="219">
        <f t="shared" ca="1" si="21"/>
        <v>30.398551522490347</v>
      </c>
      <c r="AM29" s="220">
        <f t="shared" ca="1" si="22"/>
        <v>-26.325917856726768</v>
      </c>
      <c r="AN29" s="220">
        <f t="shared" ca="1" si="23"/>
        <v>15.199275761245172</v>
      </c>
    </row>
    <row r="30" spans="2:40">
      <c r="B30" s="3">
        <f t="shared" si="24"/>
        <v>160</v>
      </c>
      <c r="C30" s="219">
        <f t="shared" ca="1" si="0"/>
        <v>1.0089812577795811</v>
      </c>
      <c r="D30" s="220">
        <f t="shared" ca="1" si="1"/>
        <v>-0.94813224244675676</v>
      </c>
      <c r="E30" s="220">
        <f t="shared" ca="1" si="2"/>
        <v>0.34509191439868597</v>
      </c>
      <c r="G30" s="3">
        <f t="shared" si="25"/>
        <v>160</v>
      </c>
      <c r="H30" s="219">
        <f t="shared" ca="1" si="3"/>
        <v>0.4282622822734562</v>
      </c>
      <c r="I30" s="220">
        <f t="shared" ca="1" si="4"/>
        <v>-0.40243490641329849</v>
      </c>
      <c r="J30" s="220">
        <f t="shared" ca="1" si="5"/>
        <v>0.14647432716414555</v>
      </c>
      <c r="L30" s="3">
        <f t="shared" si="26"/>
        <v>160</v>
      </c>
      <c r="M30" s="219">
        <f t="shared" ca="1" si="6"/>
        <v>0.72456434631883271</v>
      </c>
      <c r="N30" s="220">
        <f t="shared" ca="1" si="7"/>
        <v>-0.68086776952037242</v>
      </c>
      <c r="O30" s="220">
        <f t="shared" ca="1" si="8"/>
        <v>0.24781560157663673</v>
      </c>
      <c r="Q30" s="3">
        <f t="shared" si="27"/>
        <v>160</v>
      </c>
      <c r="R30" s="219">
        <f t="shared" si="9"/>
        <v>1.5997492830257343</v>
      </c>
      <c r="S30" s="220">
        <f t="shared" si="10"/>
        <v>-1.5032725963668301</v>
      </c>
      <c r="T30" s="220">
        <f t="shared" si="11"/>
        <v>0.54714647906559766</v>
      </c>
      <c r="V30" s="3">
        <f t="shared" si="28"/>
        <v>160</v>
      </c>
      <c r="W30" s="219">
        <f t="shared" ca="1" si="12"/>
        <v>5.2949012936021731</v>
      </c>
      <c r="X30" s="220">
        <f t="shared" ca="1" si="13"/>
        <v>-4.9755796733877222</v>
      </c>
      <c r="Y30" s="220">
        <f t="shared" ca="1" si="14"/>
        <v>1.8109628993330849</v>
      </c>
      <c r="AA30" s="3">
        <f t="shared" si="29"/>
        <v>160</v>
      </c>
      <c r="AB30" s="219">
        <f t="shared" ca="1" si="15"/>
        <v>10.084699254693374</v>
      </c>
      <c r="AC30" s="220">
        <f t="shared" ca="1" si="16"/>
        <v>-9.4765174724805128</v>
      </c>
      <c r="AD30" s="220">
        <f t="shared" ca="1" si="17"/>
        <v>3.449170284486494</v>
      </c>
      <c r="AF30" s="3">
        <f t="shared" si="30"/>
        <v>160</v>
      </c>
      <c r="AG30" s="219">
        <f t="shared" ca="1" si="18"/>
        <v>18.736592235263437</v>
      </c>
      <c r="AH30" s="220">
        <f t="shared" ca="1" si="19"/>
        <v>-17.6066374621516</v>
      </c>
      <c r="AI30" s="220">
        <f t="shared" ca="1" si="20"/>
        <v>6.4082919617394154</v>
      </c>
      <c r="AK30" s="3">
        <f t="shared" si="31"/>
        <v>160</v>
      </c>
      <c r="AL30" s="219">
        <f t="shared" ca="1" si="21"/>
        <v>30.328503678248165</v>
      </c>
      <c r="AM30" s="220">
        <f t="shared" ca="1" si="22"/>
        <v>-28.499471105928077</v>
      </c>
      <c r="AN30" s="220">
        <f t="shared" ca="1" si="23"/>
        <v>10.372959174887512</v>
      </c>
    </row>
    <row r="31" spans="2:40">
      <c r="B31" s="3">
        <f t="shared" si="24"/>
        <v>170</v>
      </c>
      <c r="C31" s="219">
        <f t="shared" ca="1" si="0"/>
        <v>1.0063790053751669</v>
      </c>
      <c r="D31" s="220">
        <f t="shared" ca="1" si="1"/>
        <v>-0.99108984696217894</v>
      </c>
      <c r="E31" s="220">
        <f t="shared" ca="1" si="2"/>
        <v>0.17475588032565556</v>
      </c>
      <c r="G31" s="3">
        <f t="shared" si="25"/>
        <v>170</v>
      </c>
      <c r="H31" s="219">
        <f t="shared" ca="1" si="3"/>
        <v>0.44099536636710573</v>
      </c>
      <c r="I31" s="220">
        <f t="shared" ca="1" si="4"/>
        <v>-0.43429565584078483</v>
      </c>
      <c r="J31" s="220">
        <f t="shared" ca="1" si="5"/>
        <v>7.6578041729208179E-2</v>
      </c>
      <c r="L31" s="3">
        <f t="shared" si="26"/>
        <v>170</v>
      </c>
      <c r="M31" s="219">
        <f t="shared" ca="1" si="6"/>
        <v>0.72536922027001238</v>
      </c>
      <c r="N31" s="220">
        <f t="shared" ca="1" si="7"/>
        <v>-0.71434923191832822</v>
      </c>
      <c r="O31" s="220">
        <f t="shared" ca="1" si="8"/>
        <v>0.12595904323556978</v>
      </c>
      <c r="Q31" s="3">
        <f t="shared" si="27"/>
        <v>170</v>
      </c>
      <c r="R31" s="219">
        <f t="shared" si="9"/>
        <v>1.5766235234158539</v>
      </c>
      <c r="S31" s="220">
        <f t="shared" si="10"/>
        <v>-1.5526710694413575</v>
      </c>
      <c r="T31" s="220">
        <f t="shared" si="11"/>
        <v>0.27377780170797777</v>
      </c>
      <c r="V31" s="3">
        <f t="shared" si="28"/>
        <v>170</v>
      </c>
      <c r="W31" s="219">
        <f t="shared" ca="1" si="12"/>
        <v>5.2520456684200862</v>
      </c>
      <c r="X31" s="220">
        <f t="shared" ca="1" si="13"/>
        <v>-5.1722552934342856</v>
      </c>
      <c r="Y31" s="220">
        <f t="shared" ca="1" si="14"/>
        <v>0.91200815934464274</v>
      </c>
      <c r="AA31" s="3">
        <f t="shared" si="29"/>
        <v>170</v>
      </c>
      <c r="AB31" s="219">
        <f t="shared" ca="1" si="15"/>
        <v>10.075075742357029</v>
      </c>
      <c r="AC31" s="220">
        <f t="shared" ca="1" si="16"/>
        <v>-9.9220127032584298</v>
      </c>
      <c r="AD31" s="220">
        <f t="shared" ca="1" si="17"/>
        <v>1.7495185425165929</v>
      </c>
      <c r="AF31" s="3">
        <f t="shared" si="30"/>
        <v>170</v>
      </c>
      <c r="AG31" s="219">
        <f t="shared" ca="1" si="18"/>
        <v>18.87819915333856</v>
      </c>
      <c r="AH31" s="220">
        <f t="shared" ca="1" si="19"/>
        <v>-18.591396889116314</v>
      </c>
      <c r="AI31" s="220">
        <f t="shared" ca="1" si="20"/>
        <v>3.2781648806106269</v>
      </c>
      <c r="AK31" s="3">
        <f t="shared" si="31"/>
        <v>170</v>
      </c>
      <c r="AL31" s="219">
        <f t="shared" ca="1" si="21"/>
        <v>30.25028376979051</v>
      </c>
      <c r="AM31" s="220">
        <f t="shared" ca="1" si="22"/>
        <v>-29.790713987309058</v>
      </c>
      <c r="AN31" s="220">
        <f t="shared" ca="1" si="23"/>
        <v>5.2529066505316395</v>
      </c>
    </row>
    <row r="32" spans="2:40">
      <c r="B32" s="3">
        <f t="shared" si="24"/>
        <v>180</v>
      </c>
      <c r="C32" s="219">
        <f t="shared" ca="1" si="0"/>
        <v>1.0035875853088922</v>
      </c>
      <c r="D32" s="220">
        <f t="shared" ca="1" si="1"/>
        <v>-1.0035875853088922</v>
      </c>
      <c r="E32" s="220">
        <f t="shared" ca="1" si="2"/>
        <v>1.2295437795066623E-16</v>
      </c>
      <c r="G32" s="3">
        <f t="shared" si="25"/>
        <v>180</v>
      </c>
      <c r="H32" s="219">
        <f t="shared" ca="1" si="3"/>
        <v>0.45182700808395859</v>
      </c>
      <c r="I32" s="220">
        <f t="shared" ca="1" si="4"/>
        <v>-0.45182700808395859</v>
      </c>
      <c r="J32" s="220">
        <f t="shared" ca="1" si="5"/>
        <v>5.5355516084004642E-17</v>
      </c>
      <c r="L32" s="3">
        <f t="shared" si="26"/>
        <v>180</v>
      </c>
      <c r="M32" s="219">
        <f t="shared" ca="1" si="6"/>
        <v>0.72611260336010908</v>
      </c>
      <c r="N32" s="220">
        <f t="shared" ca="1" si="7"/>
        <v>-0.72611260336010908</v>
      </c>
      <c r="O32" s="220">
        <f t="shared" ca="1" si="8"/>
        <v>8.8959573409631329E-17</v>
      </c>
      <c r="Q32" s="3">
        <f t="shared" si="27"/>
        <v>180</v>
      </c>
      <c r="R32" s="219">
        <f t="shared" si="9"/>
        <v>1.5521183875213154</v>
      </c>
      <c r="S32" s="220">
        <f t="shared" si="10"/>
        <v>-1.5521183875213154</v>
      </c>
      <c r="T32" s="220">
        <f t="shared" si="11"/>
        <v>1.9015754443069983E-16</v>
      </c>
      <c r="V32" s="3">
        <f t="shared" si="28"/>
        <v>180</v>
      </c>
      <c r="W32" s="219">
        <f t="shared" ca="1" si="12"/>
        <v>5.2080109294683563</v>
      </c>
      <c r="X32" s="220">
        <f t="shared" ca="1" si="13"/>
        <v>-5.2080109294683563</v>
      </c>
      <c r="Y32" s="220">
        <f t="shared" ca="1" si="14"/>
        <v>6.3805865433853629E-16</v>
      </c>
      <c r="AA32" s="3">
        <f t="shared" si="29"/>
        <v>180</v>
      </c>
      <c r="AB32" s="219">
        <f t="shared" ca="1" si="15"/>
        <v>10.047868161174062</v>
      </c>
      <c r="AC32" s="220">
        <f t="shared" ca="1" si="16"/>
        <v>-10.047868161174062</v>
      </c>
      <c r="AD32" s="220">
        <f t="shared" ca="1" si="17"/>
        <v>1.2310130152787918E-15</v>
      </c>
      <c r="AF32" s="3">
        <f t="shared" si="30"/>
        <v>180</v>
      </c>
      <c r="AG32" s="219">
        <f t="shared" ca="1" si="18"/>
        <v>19.029887462961089</v>
      </c>
      <c r="AH32" s="220">
        <f t="shared" ca="1" si="19"/>
        <v>-19.029887462961089</v>
      </c>
      <c r="AI32" s="220">
        <f t="shared" ca="1" si="20"/>
        <v>2.3314437222331698E-15</v>
      </c>
      <c r="AK32" s="3">
        <f t="shared" si="31"/>
        <v>180</v>
      </c>
      <c r="AL32" s="219">
        <f t="shared" ca="1" si="21"/>
        <v>30.166377757567989</v>
      </c>
      <c r="AM32" s="220">
        <f t="shared" ca="1" si="22"/>
        <v>-30.166377757567989</v>
      </c>
      <c r="AN32" s="220">
        <f t="shared" ca="1" si="23"/>
        <v>3.6958291099874186E-15</v>
      </c>
    </row>
    <row r="33" spans="2:40">
      <c r="B33" s="3">
        <f t="shared" si="24"/>
        <v>190</v>
      </c>
      <c r="C33" s="219">
        <f t="shared" ca="1" si="0"/>
        <v>1.0006943384387794</v>
      </c>
      <c r="D33" s="220">
        <f t="shared" ca="1" si="1"/>
        <v>-0.98549154288993235</v>
      </c>
      <c r="E33" s="220">
        <f t="shared" ca="1" si="2"/>
        <v>-0.17376874827150862</v>
      </c>
      <c r="G33" s="3">
        <f t="shared" si="25"/>
        <v>190</v>
      </c>
      <c r="H33" s="219">
        <f t="shared" ca="1" si="3"/>
        <v>0.46006917609026976</v>
      </c>
      <c r="I33" s="220">
        <f t="shared" ca="1" si="4"/>
        <v>-0.45307969153563643</v>
      </c>
      <c r="J33" s="220">
        <f t="shared" ca="1" si="5"/>
        <v>-7.9890174028801483E-2</v>
      </c>
      <c r="L33" s="3">
        <f t="shared" si="26"/>
        <v>190</v>
      </c>
      <c r="M33" s="219">
        <f t="shared" ca="1" si="6"/>
        <v>0.72677145960974221</v>
      </c>
      <c r="N33" s="220">
        <f t="shared" ca="1" si="7"/>
        <v>-0.71573016809167289</v>
      </c>
      <c r="O33" s="220">
        <f t="shared" ca="1" si="8"/>
        <v>-0.1262025395415669</v>
      </c>
      <c r="Q33" s="3">
        <f t="shared" si="27"/>
        <v>190</v>
      </c>
      <c r="R33" s="219">
        <f t="shared" si="9"/>
        <v>1.5271011879910785</v>
      </c>
      <c r="S33" s="220">
        <f t="shared" si="10"/>
        <v>-1.5039010895677676</v>
      </c>
      <c r="T33" s="220">
        <f t="shared" si="11"/>
        <v>-0.26517833840765537</v>
      </c>
      <c r="V33" s="3">
        <f t="shared" si="28"/>
        <v>190</v>
      </c>
      <c r="W33" s="219">
        <f t="shared" ca="1" si="12"/>
        <v>5.1641776013860232</v>
      </c>
      <c r="X33" s="220">
        <f t="shared" ca="1" si="13"/>
        <v>-5.0857221397769434</v>
      </c>
      <c r="Y33" s="220">
        <f t="shared" ca="1" si="14"/>
        <v>-0.89675002962906303</v>
      </c>
      <c r="AA33" s="3">
        <f t="shared" si="29"/>
        <v>190</v>
      </c>
      <c r="AB33" s="219">
        <f t="shared" ca="1" si="15"/>
        <v>10.004177680658909</v>
      </c>
      <c r="AC33" s="220">
        <f t="shared" ca="1" si="16"/>
        <v>-9.8521917424245835</v>
      </c>
      <c r="AD33" s="220">
        <f t="shared" ca="1" si="17"/>
        <v>-1.7372072233025986</v>
      </c>
      <c r="AF33" s="3">
        <f t="shared" si="30"/>
        <v>190</v>
      </c>
      <c r="AG33" s="219">
        <f t="shared" ca="1" si="18"/>
        <v>19.187369065263166</v>
      </c>
      <c r="AH33" s="220">
        <f t="shared" ca="1" si="19"/>
        <v>-18.895869815377768</v>
      </c>
      <c r="AI33" s="220">
        <f t="shared" ca="1" si="20"/>
        <v>-3.3318516724057838</v>
      </c>
      <c r="AK33" s="3">
        <f t="shared" si="31"/>
        <v>190</v>
      </c>
      <c r="AL33" s="219">
        <f t="shared" ca="1" si="21"/>
        <v>30.079410980270858</v>
      </c>
      <c r="AM33" s="220">
        <f t="shared" ca="1" si="22"/>
        <v>-29.622437139411282</v>
      </c>
      <c r="AN33" s="220">
        <f t="shared" ca="1" si="23"/>
        <v>-5.2232349020186932</v>
      </c>
    </row>
    <row r="34" spans="2:40">
      <c r="B34" s="3">
        <f t="shared" si="24"/>
        <v>200</v>
      </c>
      <c r="C34" s="219">
        <f t="shared" ca="1" si="0"/>
        <v>0.99778829722246731</v>
      </c>
      <c r="D34" s="220">
        <f t="shared" ca="1" si="1"/>
        <v>-0.93761430000648927</v>
      </c>
      <c r="E34" s="220">
        <f t="shared" ca="1" si="2"/>
        <v>-0.34126369642470317</v>
      </c>
      <c r="G34" s="3">
        <f t="shared" si="25"/>
        <v>200</v>
      </c>
      <c r="H34" s="219">
        <f t="shared" ca="1" si="3"/>
        <v>0.46514841361046666</v>
      </c>
      <c r="I34" s="220">
        <f t="shared" ca="1" si="4"/>
        <v>-0.43709653184002711</v>
      </c>
      <c r="J34" s="220">
        <f t="shared" ca="1" si="5"/>
        <v>-0.1590901270907592</v>
      </c>
      <c r="L34" s="3">
        <f t="shared" si="26"/>
        <v>200</v>
      </c>
      <c r="M34" s="219">
        <f t="shared" ca="1" si="6"/>
        <v>0.72732525627514288</v>
      </c>
      <c r="N34" s="220">
        <f t="shared" ca="1" si="7"/>
        <v>-0.68346217623297145</v>
      </c>
      <c r="O34" s="220">
        <f t="shared" ca="1" si="8"/>
        <v>-0.24875988839560306</v>
      </c>
      <c r="Q34" s="3">
        <f t="shared" si="27"/>
        <v>200</v>
      </c>
      <c r="R34" s="219">
        <f t="shared" si="9"/>
        <v>1.5023807368026514</v>
      </c>
      <c r="S34" s="220">
        <f t="shared" si="10"/>
        <v>-1.4117760919843476</v>
      </c>
      <c r="T34" s="220">
        <f t="shared" si="11"/>
        <v>-0.51384447493096652</v>
      </c>
      <c r="V34" s="3">
        <f t="shared" si="28"/>
        <v>200</v>
      </c>
      <c r="W34" s="219">
        <f t="shared" ca="1" si="12"/>
        <v>5.1218527991838174</v>
      </c>
      <c r="X34" s="220">
        <f t="shared" ca="1" si="13"/>
        <v>-4.8129672801446821</v>
      </c>
      <c r="Y34" s="220">
        <f t="shared" ca="1" si="14"/>
        <v>-1.7517768284698265</v>
      </c>
      <c r="AA34" s="3">
        <f t="shared" si="29"/>
        <v>200</v>
      </c>
      <c r="AB34" s="219">
        <f t="shared" ca="1" si="15"/>
        <v>9.945740417369386</v>
      </c>
      <c r="AC34" s="220">
        <f t="shared" ca="1" si="16"/>
        <v>-9.3459388784541737</v>
      </c>
      <c r="AD34" s="220">
        <f t="shared" ca="1" si="17"/>
        <v>-3.4016435630285731</v>
      </c>
      <c r="AF34" s="3">
        <f t="shared" si="30"/>
        <v>200</v>
      </c>
      <c r="AG34" s="219">
        <f t="shared" ca="1" si="18"/>
        <v>19.345965937971517</v>
      </c>
      <c r="AH34" s="220">
        <f t="shared" ca="1" si="19"/>
        <v>-18.179261433887369</v>
      </c>
      <c r="AI34" s="220">
        <f t="shared" ca="1" si="20"/>
        <v>-6.6167100428785224</v>
      </c>
      <c r="AK34" s="3">
        <f t="shared" si="31"/>
        <v>200</v>
      </c>
      <c r="AL34" s="219">
        <f t="shared" ca="1" si="21"/>
        <v>29.992059623604412</v>
      </c>
      <c r="AM34" s="220">
        <f t="shared" ca="1" si="22"/>
        <v>-28.183317110472057</v>
      </c>
      <c r="AN34" s="220">
        <f t="shared" ca="1" si="23"/>
        <v>-10.257888531097182</v>
      </c>
    </row>
    <row r="35" spans="2:40">
      <c r="B35" s="3">
        <f t="shared" si="24"/>
        <v>210</v>
      </c>
      <c r="C35" s="219">
        <f t="shared" ca="1" si="0"/>
        <v>0.9949573647572556</v>
      </c>
      <c r="D35" s="220">
        <f t="shared" ca="1" si="1"/>
        <v>-0.86165835356220322</v>
      </c>
      <c r="E35" s="220">
        <f t="shared" ca="1" si="2"/>
        <v>-0.49747868237862791</v>
      </c>
      <c r="G35" s="3">
        <f t="shared" si="25"/>
        <v>210</v>
      </c>
      <c r="H35" s="219">
        <f t="shared" ca="1" si="3"/>
        <v>0.46668924015969754</v>
      </c>
      <c r="I35" s="220">
        <f t="shared" ca="1" si="4"/>
        <v>-0.4041647376511549</v>
      </c>
      <c r="J35" s="220">
        <f t="shared" ca="1" si="5"/>
        <v>-0.23334462007984882</v>
      </c>
      <c r="L35" s="3">
        <f t="shared" si="26"/>
        <v>210</v>
      </c>
      <c r="M35" s="219">
        <f t="shared" ca="1" si="6"/>
        <v>0.72775665018780844</v>
      </c>
      <c r="N35" s="220">
        <f t="shared" ca="1" si="7"/>
        <v>-0.63025574683570729</v>
      </c>
      <c r="O35" s="220">
        <f t="shared" ca="1" si="8"/>
        <v>-0.36387832509390428</v>
      </c>
      <c r="Q35" s="3">
        <f t="shared" si="27"/>
        <v>210</v>
      </c>
      <c r="R35" s="219">
        <f t="shared" si="9"/>
        <v>1.478682464108803</v>
      </c>
      <c r="S35" s="220">
        <f t="shared" si="10"/>
        <v>-1.2805765780487948</v>
      </c>
      <c r="T35" s="220">
        <f t="shared" si="11"/>
        <v>-0.73934123205440161</v>
      </c>
      <c r="V35" s="3">
        <f t="shared" si="28"/>
        <v>210</v>
      </c>
      <c r="W35" s="219">
        <f t="shared" ca="1" si="12"/>
        <v>5.0822361329281271</v>
      </c>
      <c r="X35" s="220">
        <f t="shared" ca="1" si="13"/>
        <v>-4.4013455991469455</v>
      </c>
      <c r="Y35" s="220">
        <f t="shared" ca="1" si="14"/>
        <v>-2.541118066464064</v>
      </c>
      <c r="AA35" s="3">
        <f t="shared" si="29"/>
        <v>210</v>
      </c>
      <c r="AB35" s="219">
        <f t="shared" ca="1" si="15"/>
        <v>9.8748169839130338</v>
      </c>
      <c r="AC35" s="220">
        <f t="shared" ca="1" si="16"/>
        <v>-8.5518423657907174</v>
      </c>
      <c r="AD35" s="220">
        <f t="shared" ca="1" si="17"/>
        <v>-4.9374084919565178</v>
      </c>
      <c r="AF35" s="3">
        <f t="shared" si="30"/>
        <v>210</v>
      </c>
      <c r="AG35" s="219">
        <f t="shared" ca="1" si="18"/>
        <v>19.500730435291953</v>
      </c>
      <c r="AH35" s="220">
        <f t="shared" ca="1" si="19"/>
        <v>-16.888127949315205</v>
      </c>
      <c r="AI35" s="220">
        <f t="shared" ca="1" si="20"/>
        <v>-9.7503652176459781</v>
      </c>
      <c r="AK35" s="3">
        <f t="shared" si="31"/>
        <v>210</v>
      </c>
      <c r="AL35" s="219">
        <f t="shared" ca="1" si="21"/>
        <v>29.906965926350818</v>
      </c>
      <c r="AM35" s="220">
        <f t="shared" ca="1" si="22"/>
        <v>-25.900192242335415</v>
      </c>
      <c r="AN35" s="220">
        <f t="shared" ca="1" si="23"/>
        <v>-14.953482963175412</v>
      </c>
    </row>
    <row r="36" spans="2:40">
      <c r="B36" s="3">
        <f t="shared" si="24"/>
        <v>220</v>
      </c>
      <c r="C36" s="219">
        <f t="shared" ca="1" si="0"/>
        <v>0.99228571246205388</v>
      </c>
      <c r="D36" s="220">
        <f t="shared" ca="1" si="1"/>
        <v>-0.76013495601791237</v>
      </c>
      <c r="E36" s="220">
        <f t="shared" ca="1" si="2"/>
        <v>-0.63782896123958821</v>
      </c>
      <c r="G36" s="3">
        <f t="shared" si="25"/>
        <v>220</v>
      </c>
      <c r="H36" s="219">
        <f t="shared" ca="1" si="3"/>
        <v>0.46457436516569522</v>
      </c>
      <c r="I36" s="220">
        <f t="shared" ca="1" si="4"/>
        <v>-0.35588461085070772</v>
      </c>
      <c r="J36" s="220">
        <f t="shared" ca="1" si="5"/>
        <v>-0.29862264570649866</v>
      </c>
      <c r="L36" s="3">
        <f t="shared" si="26"/>
        <v>220</v>
      </c>
      <c r="M36" s="219">
        <f t="shared" ca="1" si="6"/>
        <v>0.72805207787949022</v>
      </c>
      <c r="N36" s="220">
        <f t="shared" ca="1" si="7"/>
        <v>-0.55772024856080893</v>
      </c>
      <c r="O36" s="220">
        <f t="shared" ca="1" si="8"/>
        <v>-0.46798285486747565</v>
      </c>
      <c r="Q36" s="3">
        <f t="shared" si="27"/>
        <v>220</v>
      </c>
      <c r="R36" s="219">
        <f t="shared" si="9"/>
        <v>1.4566350365899985</v>
      </c>
      <c r="S36" s="220">
        <f t="shared" si="10"/>
        <v>-1.1158471754321775</v>
      </c>
      <c r="T36" s="220">
        <f t="shared" si="11"/>
        <v>-0.93630695335534975</v>
      </c>
      <c r="V36" s="3">
        <f t="shared" si="28"/>
        <v>220</v>
      </c>
      <c r="W36" s="219">
        <f t="shared" ca="1" si="12"/>
        <v>5.0463956663339529</v>
      </c>
      <c r="X36" s="220">
        <f t="shared" ca="1" si="13"/>
        <v>-3.8657633579748167</v>
      </c>
      <c r="Y36" s="220">
        <f t="shared" ca="1" si="14"/>
        <v>-3.2437606078953118</v>
      </c>
      <c r="AA36" s="3">
        <f t="shared" si="29"/>
        <v>220</v>
      </c>
      <c r="AB36" s="219">
        <f t="shared" ca="1" si="15"/>
        <v>9.7940574624868475</v>
      </c>
      <c r="AC36" s="220">
        <f t="shared" ca="1" si="16"/>
        <v>-7.5026832947260083</v>
      </c>
      <c r="AD36" s="220">
        <f t="shared" ca="1" si="17"/>
        <v>-6.2954987854445328</v>
      </c>
      <c r="AF36" s="3">
        <f t="shared" si="30"/>
        <v>220</v>
      </c>
      <c r="AG36" s="219">
        <f t="shared" ca="1" si="18"/>
        <v>19.646602125307204</v>
      </c>
      <c r="AH36" s="220">
        <f t="shared" ca="1" si="19"/>
        <v>-15.050170384261087</v>
      </c>
      <c r="AI36" s="220">
        <f t="shared" ca="1" si="20"/>
        <v>-12.628592418588699</v>
      </c>
      <c r="AK36" s="3">
        <f t="shared" si="31"/>
        <v>220</v>
      </c>
      <c r="AL36" s="219">
        <f t="shared" ca="1" si="21"/>
        <v>29.826659958487411</v>
      </c>
      <c r="AM36" s="220">
        <f t="shared" ca="1" si="22"/>
        <v>-22.84854711799861</v>
      </c>
      <c r="AN36" s="220">
        <f t="shared" ca="1" si="23"/>
        <v>-19.172207459649336</v>
      </c>
    </row>
    <row r="37" spans="2:40">
      <c r="B37" s="3">
        <f t="shared" si="24"/>
        <v>230</v>
      </c>
      <c r="C37" s="219">
        <f t="shared" ca="1" si="0"/>
        <v>0.98985146164377991</v>
      </c>
      <c r="D37" s="220">
        <f t="shared" ca="1" si="1"/>
        <v>-0.6362642549747326</v>
      </c>
      <c r="E37" s="220">
        <f t="shared" ca="1" si="2"/>
        <v>-0.75827021170541564</v>
      </c>
      <c r="G37" s="3">
        <f t="shared" si="25"/>
        <v>230</v>
      </c>
      <c r="H37" s="219">
        <f t="shared" ca="1" si="3"/>
        <v>0.45896437187130174</v>
      </c>
      <c r="I37" s="220">
        <f t="shared" ca="1" si="4"/>
        <v>-0.29501661152643804</v>
      </c>
      <c r="J37" s="220">
        <f t="shared" ca="1" si="5"/>
        <v>-0.35158710666160281</v>
      </c>
      <c r="L37" s="3">
        <f t="shared" si="26"/>
        <v>230</v>
      </c>
      <c r="M37" s="219">
        <f t="shared" ca="1" si="6"/>
        <v>0.72820222370554866</v>
      </c>
      <c r="N37" s="220">
        <f t="shared" ca="1" si="7"/>
        <v>-0.46807936674411232</v>
      </c>
      <c r="O37" s="220">
        <f t="shared" ca="1" si="8"/>
        <v>-0.55783526693651841</v>
      </c>
      <c r="Q37" s="3">
        <f t="shared" si="27"/>
        <v>230</v>
      </c>
      <c r="R37" s="219">
        <f t="shared" si="9"/>
        <v>1.4367664148212227</v>
      </c>
      <c r="S37" s="220">
        <f t="shared" si="10"/>
        <v>-0.92353564946083277</v>
      </c>
      <c r="T37" s="220">
        <f t="shared" si="11"/>
        <v>-1.1006269281337739</v>
      </c>
      <c r="V37" s="3">
        <f t="shared" si="28"/>
        <v>230</v>
      </c>
      <c r="W37" s="219">
        <f t="shared" ca="1" si="12"/>
        <v>5.0152526895768883</v>
      </c>
      <c r="X37" s="220">
        <f t="shared" ca="1" si="13"/>
        <v>-3.2237422883071161</v>
      </c>
      <c r="Y37" s="220">
        <f t="shared" ca="1" si="14"/>
        <v>-3.8419064536878835</v>
      </c>
      <c r="AA37" s="3">
        <f t="shared" si="29"/>
        <v>230</v>
      </c>
      <c r="AB37" s="219">
        <f t="shared" ca="1" si="15"/>
        <v>9.7063561533093878</v>
      </c>
      <c r="AC37" s="220">
        <f t="shared" ca="1" si="16"/>
        <v>-6.2391254705519756</v>
      </c>
      <c r="AD37" s="220">
        <f t="shared" ca="1" si="17"/>
        <v>-7.4355001941763543</v>
      </c>
      <c r="AF37" s="3">
        <f t="shared" si="30"/>
        <v>230</v>
      </c>
      <c r="AG37" s="219">
        <f t="shared" ca="1" si="18"/>
        <v>19.778598130902036</v>
      </c>
      <c r="AH37" s="220">
        <f t="shared" ca="1" si="19"/>
        <v>-12.713437815513178</v>
      </c>
      <c r="AI37" s="220">
        <f t="shared" ca="1" si="20"/>
        <v>-15.151285190860907</v>
      </c>
      <c r="AK37" s="3">
        <f t="shared" si="31"/>
        <v>230</v>
      </c>
      <c r="AL37" s="219">
        <f t="shared" ca="1" si="21"/>
        <v>29.753489932457128</v>
      </c>
      <c r="AM37" s="220">
        <f t="shared" ca="1" si="22"/>
        <v>-19.125174673516636</v>
      </c>
      <c r="AN37" s="220">
        <f t="shared" ca="1" si="23"/>
        <v>-22.792495626155237</v>
      </c>
    </row>
    <row r="38" spans="2:40">
      <c r="B38" s="3">
        <f t="shared" si="24"/>
        <v>240</v>
      </c>
      <c r="C38" s="219">
        <f t="shared" ca="1" si="0"/>
        <v>0.98772468627968346</v>
      </c>
      <c r="D38" s="220">
        <f t="shared" ca="1" si="1"/>
        <v>-0.49386234313984217</v>
      </c>
      <c r="E38" s="220">
        <f t="shared" ca="1" si="2"/>
        <v>-0.85539467026322058</v>
      </c>
      <c r="G38" s="3">
        <f t="shared" si="25"/>
        <v>240</v>
      </c>
      <c r="H38" s="219">
        <f t="shared" ca="1" si="3"/>
        <v>0.45027087199911331</v>
      </c>
      <c r="I38" s="220">
        <f t="shared" ca="1" si="4"/>
        <v>-0.22513543599955685</v>
      </c>
      <c r="J38" s="220">
        <f t="shared" ca="1" si="5"/>
        <v>-0.38994601373540327</v>
      </c>
      <c r="L38" s="3">
        <f t="shared" si="26"/>
        <v>240</v>
      </c>
      <c r="M38" s="219">
        <f t="shared" ca="1" si="6"/>
        <v>0.72820234470857115</v>
      </c>
      <c r="N38" s="220">
        <f t="shared" ca="1" si="7"/>
        <v>-0.36410117235428591</v>
      </c>
      <c r="O38" s="220">
        <f t="shared" ca="1" si="8"/>
        <v>-0.63064172961301512</v>
      </c>
      <c r="Q38" s="3">
        <f t="shared" si="27"/>
        <v>240</v>
      </c>
      <c r="R38" s="219">
        <f t="shared" si="9"/>
        <v>1.4195067601797589</v>
      </c>
      <c r="S38" s="220">
        <f t="shared" si="10"/>
        <v>-0.70975338008988009</v>
      </c>
      <c r="T38" s="220">
        <f t="shared" si="11"/>
        <v>-1.2293289151594156</v>
      </c>
      <c r="V38" s="3">
        <f t="shared" si="28"/>
        <v>240</v>
      </c>
      <c r="W38" s="219">
        <f t="shared" ca="1" si="12"/>
        <v>4.9895735306723159</v>
      </c>
      <c r="X38" s="220">
        <f t="shared" ca="1" si="13"/>
        <v>-2.4947867653361602</v>
      </c>
      <c r="Y38" s="220">
        <f t="shared" ca="1" si="14"/>
        <v>-4.321097431612638</v>
      </c>
      <c r="AA38" s="3">
        <f t="shared" si="29"/>
        <v>240</v>
      </c>
      <c r="AB38" s="219">
        <f t="shared" ca="1" si="15"/>
        <v>9.6147096152325187</v>
      </c>
      <c r="AC38" s="220">
        <f t="shared" ca="1" si="16"/>
        <v>-4.8073548076162638</v>
      </c>
      <c r="AD38" s="220">
        <f t="shared" ca="1" si="17"/>
        <v>-8.3265827768018639</v>
      </c>
      <c r="AF38" s="3">
        <f t="shared" si="30"/>
        <v>240</v>
      </c>
      <c r="AG38" s="219">
        <f t="shared" ca="1" si="18"/>
        <v>19.89202878171367</v>
      </c>
      <c r="AH38" s="220">
        <f t="shared" ca="1" si="19"/>
        <v>-9.9460143908568437</v>
      </c>
      <c r="AI38" s="220">
        <f t="shared" ca="1" si="20"/>
        <v>-17.227002257775251</v>
      </c>
      <c r="AK38" s="3">
        <f t="shared" si="31"/>
        <v>240</v>
      </c>
      <c r="AL38" s="219">
        <f t="shared" ca="1" si="21"/>
        <v>29.68956216972073</v>
      </c>
      <c r="AM38" s="220">
        <f t="shared" ca="1" si="22"/>
        <v>-14.844781084860378</v>
      </c>
      <c r="AN38" s="220">
        <f t="shared" ca="1" si="23"/>
        <v>-25.711915066215582</v>
      </c>
    </row>
    <row r="39" spans="2:40">
      <c r="B39" s="3">
        <f t="shared" si="24"/>
        <v>250</v>
      </c>
      <c r="C39" s="219">
        <f t="shared" ca="1" si="0"/>
        <v>0.98596575036870227</v>
      </c>
      <c r="D39" s="220">
        <f t="shared" ca="1" si="1"/>
        <v>-0.33722014725530386</v>
      </c>
      <c r="E39" s="220">
        <f t="shared" ca="1" si="2"/>
        <v>-0.92650473996911054</v>
      </c>
      <c r="G39" s="3">
        <f t="shared" si="25"/>
        <v>250</v>
      </c>
      <c r="H39" s="219">
        <f t="shared" ca="1" si="3"/>
        <v>0.43909127467284664</v>
      </c>
      <c r="I39" s="220">
        <f t="shared" ca="1" si="4"/>
        <v>-0.15017806069665751</v>
      </c>
      <c r="J39" s="220">
        <f t="shared" ca="1" si="5"/>
        <v>-0.41261083066155246</v>
      </c>
      <c r="L39" s="3">
        <f t="shared" si="26"/>
        <v>250</v>
      </c>
      <c r="M39" s="219">
        <f t="shared" ca="1" si="6"/>
        <v>0.72805243706389577</v>
      </c>
      <c r="N39" s="220">
        <f t="shared" ca="1" si="7"/>
        <v>-0.2490085988731959</v>
      </c>
      <c r="O39" s="220">
        <f t="shared" ca="1" si="8"/>
        <v>-0.68414550265413987</v>
      </c>
      <c r="Q39" s="3">
        <f t="shared" si="27"/>
        <v>250</v>
      </c>
      <c r="R39" s="219">
        <f t="shared" si="9"/>
        <v>1.405195597612134</v>
      </c>
      <c r="S39" s="220">
        <f t="shared" si="10"/>
        <v>-0.48060519969590054</v>
      </c>
      <c r="T39" s="220">
        <f t="shared" si="11"/>
        <v>-1.3204519338369669</v>
      </c>
      <c r="V39" s="3">
        <f t="shared" si="28"/>
        <v>250</v>
      </c>
      <c r="W39" s="219">
        <f t="shared" ca="1" si="12"/>
        <v>4.969966429292672</v>
      </c>
      <c r="X39" s="220">
        <f t="shared" ca="1" si="13"/>
        <v>-1.6998286304704409</v>
      </c>
      <c r="Y39" s="220">
        <f t="shared" ca="1" si="14"/>
        <v>-4.6702407791600145</v>
      </c>
      <c r="AA39" s="3">
        <f t="shared" si="29"/>
        <v>250</v>
      </c>
      <c r="AB39" s="219">
        <f t="shared" ca="1" si="15"/>
        <v>9.5220888602061287</v>
      </c>
      <c r="AC39" s="220">
        <f t="shared" ca="1" si="16"/>
        <v>-3.2567461967274518</v>
      </c>
      <c r="AD39" s="220">
        <f t="shared" ca="1" si="17"/>
        <v>-8.9478366364033999</v>
      </c>
      <c r="AF39" s="3">
        <f t="shared" si="30"/>
        <v>250</v>
      </c>
      <c r="AG39" s="219">
        <f t="shared" ca="1" si="18"/>
        <v>19.982725120736191</v>
      </c>
      <c r="AH39" s="220">
        <f t="shared" ca="1" si="19"/>
        <v>-6.8344945098316296</v>
      </c>
      <c r="AI39" s="220">
        <f t="shared" ca="1" si="20"/>
        <v>-18.777619339148998</v>
      </c>
      <c r="AK39" s="3">
        <f t="shared" si="31"/>
        <v>250</v>
      </c>
      <c r="AL39" s="219">
        <f t="shared" ca="1" si="21"/>
        <v>29.636691123965736</v>
      </c>
      <c r="AM39" s="220">
        <f t="shared" ca="1" si="22"/>
        <v>-10.136345345917331</v>
      </c>
      <c r="AN39" s="220">
        <f t="shared" ca="1" si="23"/>
        <v>-27.849379953701831</v>
      </c>
    </row>
    <row r="40" spans="2:40">
      <c r="B40" s="3">
        <f t="shared" si="24"/>
        <v>260</v>
      </c>
      <c r="C40" s="219">
        <f t="shared" ca="1" si="0"/>
        <v>0.98462397495419496</v>
      </c>
      <c r="D40" s="220">
        <f t="shared" ca="1" si="1"/>
        <v>-0.1709781589379652</v>
      </c>
      <c r="E40" s="220">
        <f t="shared" ca="1" si="2"/>
        <v>-0.96966532433658936</v>
      </c>
      <c r="G40" s="3">
        <f t="shared" si="25"/>
        <v>260</v>
      </c>
      <c r="H40" s="219">
        <f t="shared" ca="1" si="3"/>
        <v>0.42612367526281109</v>
      </c>
      <c r="I40" s="220">
        <f t="shared" ca="1" si="4"/>
        <v>-7.3995599670121939E-2</v>
      </c>
      <c r="J40" s="220">
        <f t="shared" ca="1" si="5"/>
        <v>-0.41964989914087281</v>
      </c>
      <c r="L40" s="3">
        <f t="shared" si="26"/>
        <v>260</v>
      </c>
      <c r="M40" s="219">
        <f t="shared" ca="1" si="6"/>
        <v>0.72775723621411414</v>
      </c>
      <c r="N40" s="220">
        <f t="shared" ca="1" si="7"/>
        <v>-0.12637371785250268</v>
      </c>
      <c r="O40" s="220">
        <f t="shared" ca="1" si="8"/>
        <v>-0.71670096853439647</v>
      </c>
      <c r="Q40" s="3">
        <f t="shared" si="27"/>
        <v>260</v>
      </c>
      <c r="R40" s="219">
        <f t="shared" si="9"/>
        <v>1.3940909588617783</v>
      </c>
      <c r="S40" s="220">
        <f t="shared" si="10"/>
        <v>-0.24208135450829132</v>
      </c>
      <c r="T40" s="220">
        <f t="shared" si="11"/>
        <v>-1.3729115846913025</v>
      </c>
      <c r="V40" s="3">
        <f t="shared" si="28"/>
        <v>260</v>
      </c>
      <c r="W40" s="219">
        <f t="shared" ca="1" si="12"/>
        <v>4.9568815602605358</v>
      </c>
      <c r="X40" s="220">
        <f t="shared" ca="1" si="13"/>
        <v>-0.86075344985005231</v>
      </c>
      <c r="Y40" s="220">
        <f t="shared" ca="1" si="14"/>
        <v>-4.8815753913078259</v>
      </c>
      <c r="AA40" s="3">
        <f t="shared" si="29"/>
        <v>260</v>
      </c>
      <c r="AB40" s="219">
        <f t="shared" ca="1" si="15"/>
        <v>9.4313328881936034</v>
      </c>
      <c r="AC40" s="220">
        <f t="shared" ca="1" si="16"/>
        <v>-1.637733769005006</v>
      </c>
      <c r="AD40" s="220">
        <f t="shared" ca="1" si="17"/>
        <v>-9.28804974953208</v>
      </c>
      <c r="AF40" s="3">
        <f t="shared" si="30"/>
        <v>260</v>
      </c>
      <c r="AG40" s="219">
        <f t="shared" ca="1" si="18"/>
        <v>20.047260428553447</v>
      </c>
      <c r="AH40" s="220">
        <f t="shared" ca="1" si="19"/>
        <v>-3.4811702406326708</v>
      </c>
      <c r="AI40" s="220">
        <f t="shared" ca="1" si="20"/>
        <v>-19.742697496694273</v>
      </c>
      <c r="AK40" s="3">
        <f t="shared" si="31"/>
        <v>260</v>
      </c>
      <c r="AL40" s="219">
        <f t="shared" ca="1" si="21"/>
        <v>29.596359313755681</v>
      </c>
      <c r="AM40" s="220">
        <f t="shared" ca="1" si="22"/>
        <v>-5.1393538604093543</v>
      </c>
      <c r="AN40" s="220">
        <f t="shared" ca="1" si="23"/>
        <v>-29.146724113121667</v>
      </c>
    </row>
    <row r="41" spans="2:40">
      <c r="B41" s="3">
        <f t="shared" si="24"/>
        <v>270</v>
      </c>
      <c r="C41" s="219">
        <f t="shared" ca="1" si="0"/>
        <v>0.98373661820649594</v>
      </c>
      <c r="D41" s="220">
        <f t="shared" ca="1" si="1"/>
        <v>-1.8078350967490794E-16</v>
      </c>
      <c r="E41" s="220">
        <f t="shared" ca="1" si="2"/>
        <v>-0.98373661820649594</v>
      </c>
      <c r="G41" s="3">
        <f t="shared" si="25"/>
        <v>270</v>
      </c>
      <c r="H41" s="219">
        <f t="shared" ca="1" si="3"/>
        <v>0.41208280439109757</v>
      </c>
      <c r="I41" s="220">
        <f t="shared" ca="1" si="4"/>
        <v>-7.5729391664124647E-17</v>
      </c>
      <c r="J41" s="220">
        <f t="shared" ca="1" si="5"/>
        <v>-0.41208280439109757</v>
      </c>
      <c r="L41" s="3">
        <f t="shared" si="26"/>
        <v>270</v>
      </c>
      <c r="M41" s="219">
        <f t="shared" ca="1" si="6"/>
        <v>0.72732605068614387</v>
      </c>
      <c r="N41" s="220">
        <f t="shared" ca="1" si="7"/>
        <v>-1.3366235808193767E-16</v>
      </c>
      <c r="O41" s="220">
        <f t="shared" ca="1" si="8"/>
        <v>-0.72732605068614387</v>
      </c>
      <c r="Q41" s="3">
        <f t="shared" si="27"/>
        <v>270</v>
      </c>
      <c r="R41" s="219">
        <f t="shared" si="9"/>
        <v>1.3863786923990298</v>
      </c>
      <c r="S41" s="220">
        <f t="shared" si="10"/>
        <v>-2.5477795693663567E-16</v>
      </c>
      <c r="T41" s="220">
        <f t="shared" si="11"/>
        <v>-1.3863786923990298</v>
      </c>
      <c r="V41" s="3">
        <f t="shared" si="28"/>
        <v>270</v>
      </c>
      <c r="W41" s="219">
        <f t="shared" ca="1" si="12"/>
        <v>4.9506125419065645</v>
      </c>
      <c r="X41" s="220">
        <f t="shared" ca="1" si="13"/>
        <v>-9.0978529598520957E-16</v>
      </c>
      <c r="Y41" s="220">
        <f t="shared" ca="1" si="14"/>
        <v>-4.9506125419065645</v>
      </c>
      <c r="AA41" s="3">
        <f t="shared" si="29"/>
        <v>270</v>
      </c>
      <c r="AB41" s="219">
        <f t="shared" ca="1" si="15"/>
        <v>9.3450668843164131</v>
      </c>
      <c r="AC41" s="220">
        <f t="shared" ca="1" si="16"/>
        <v>-1.7173641381506947E-15</v>
      </c>
      <c r="AD41" s="220">
        <f t="shared" ca="1" si="17"/>
        <v>-9.3450668843164131</v>
      </c>
      <c r="AF41" s="3">
        <f t="shared" si="30"/>
        <v>270</v>
      </c>
      <c r="AG41" s="219">
        <f t="shared" ca="1" si="18"/>
        <v>20.08314549811795</v>
      </c>
      <c r="AH41" s="220">
        <f t="shared" ca="1" si="19"/>
        <v>-3.6907252015086326E-15</v>
      </c>
      <c r="AI41" s="220">
        <f t="shared" ca="1" si="20"/>
        <v>-20.08314549811795</v>
      </c>
      <c r="AK41" s="3">
        <f t="shared" si="31"/>
        <v>270</v>
      </c>
      <c r="AL41" s="219">
        <f t="shared" ca="1" si="21"/>
        <v>29.569686665300608</v>
      </c>
      <c r="AM41" s="220">
        <f t="shared" ca="1" si="22"/>
        <v>-5.4340883895187596E-15</v>
      </c>
      <c r="AN41" s="220">
        <f t="shared" ca="1" si="23"/>
        <v>-29.569686665300608</v>
      </c>
    </row>
    <row r="42" spans="2:40">
      <c r="B42" s="3">
        <f t="shared" si="24"/>
        <v>280</v>
      </c>
      <c r="C42" s="219">
        <f t="shared" ca="1" si="0"/>
        <v>0.98332814672582114</v>
      </c>
      <c r="D42" s="220">
        <f t="shared" ca="1" si="1"/>
        <v>0.17075314072753836</v>
      </c>
      <c r="E42" s="220">
        <f t="shared" ca="1" si="2"/>
        <v>-0.96838918265071483</v>
      </c>
      <c r="G42" s="3">
        <f t="shared" si="25"/>
        <v>280</v>
      </c>
      <c r="H42" s="219">
        <f t="shared" ca="1" si="3"/>
        <v>0.39763299018998172</v>
      </c>
      <c r="I42" s="220">
        <f t="shared" ca="1" si="4"/>
        <v>6.904824412674257E-2</v>
      </c>
      <c r="J42" s="220">
        <f t="shared" ca="1" si="5"/>
        <v>-0.39159205159252131</v>
      </c>
      <c r="L42" s="3">
        <f t="shared" si="26"/>
        <v>280</v>
      </c>
      <c r="M42" s="219">
        <f t="shared" ca="1" si="6"/>
        <v>0.72677243747147613</v>
      </c>
      <c r="N42" s="220">
        <f t="shared" ca="1" si="7"/>
        <v>0.12620270934547465</v>
      </c>
      <c r="O42" s="220">
        <f t="shared" ca="1" si="8"/>
        <v>-0.71573113109748998</v>
      </c>
      <c r="Q42" s="3">
        <f t="shared" si="27"/>
        <v>280</v>
      </c>
      <c r="R42" s="219">
        <f t="shared" si="9"/>
        <v>1.382180605098404</v>
      </c>
      <c r="S42" s="220">
        <f t="shared" si="10"/>
        <v>0.24001314328191242</v>
      </c>
      <c r="T42" s="220">
        <f t="shared" si="11"/>
        <v>-1.3611821759640135</v>
      </c>
      <c r="V42" s="3">
        <f t="shared" si="28"/>
        <v>280</v>
      </c>
      <c r="W42" s="219">
        <f t="shared" ca="1" si="12"/>
        <v>4.9512981273800696</v>
      </c>
      <c r="X42" s="220">
        <f t="shared" ca="1" si="13"/>
        <v>0.85978389690523194</v>
      </c>
      <c r="Y42" s="220">
        <f t="shared" ca="1" si="14"/>
        <v>-4.8760767833187204</v>
      </c>
      <c r="AA42" s="3">
        <f t="shared" si="29"/>
        <v>280</v>
      </c>
      <c r="AB42" s="219">
        <f t="shared" ca="1" si="15"/>
        <v>9.2656450023181911</v>
      </c>
      <c r="AC42" s="220">
        <f t="shared" ca="1" si="16"/>
        <v>1.6089623695612509</v>
      </c>
      <c r="AD42" s="220">
        <f t="shared" ca="1" si="17"/>
        <v>-9.1248790349417739</v>
      </c>
      <c r="AF42" s="3">
        <f t="shared" si="30"/>
        <v>280</v>
      </c>
      <c r="AG42" s="219">
        <f t="shared" ca="1" si="18"/>
        <v>20.088977778108447</v>
      </c>
      <c r="AH42" s="220">
        <f t="shared" ca="1" si="19"/>
        <v>3.4884143823599838</v>
      </c>
      <c r="AI42" s="220">
        <f t="shared" ca="1" si="20"/>
        <v>-19.783781065971162</v>
      </c>
      <c r="AK42" s="3">
        <f t="shared" si="31"/>
        <v>280</v>
      </c>
      <c r="AL42" s="219">
        <f t="shared" ca="1" si="21"/>
        <v>29.557408608886195</v>
      </c>
      <c r="AM42" s="220">
        <f t="shared" ca="1" si="22"/>
        <v>5.1325901414899153</v>
      </c>
      <c r="AN42" s="220">
        <f t="shared" ca="1" si="23"/>
        <v>-29.108365156980909</v>
      </c>
    </row>
    <row r="43" spans="2:40">
      <c r="B43" s="3">
        <f t="shared" si="24"/>
        <v>290</v>
      </c>
      <c r="C43" s="219">
        <f t="shared" ca="1" si="0"/>
        <v>0.98340977676291341</v>
      </c>
      <c r="D43" s="220">
        <f t="shared" ca="1" si="1"/>
        <v>0.33634595279631579</v>
      </c>
      <c r="E43" s="220">
        <f t="shared" ca="1" si="2"/>
        <v>-0.92410291043282711</v>
      </c>
      <c r="G43" s="3">
        <f t="shared" si="25"/>
        <v>290</v>
      </c>
      <c r="H43" s="219">
        <f t="shared" ca="1" si="3"/>
        <v>0.3833455565531112</v>
      </c>
      <c r="I43" s="220">
        <f t="shared" ca="1" si="4"/>
        <v>0.13111190219555344</v>
      </c>
      <c r="J43" s="220">
        <f t="shared" ca="1" si="5"/>
        <v>-0.3602269907040257</v>
      </c>
      <c r="L43" s="3">
        <f t="shared" si="26"/>
        <v>290</v>
      </c>
      <c r="M43" s="219">
        <f t="shared" ca="1" si="6"/>
        <v>0.72611373411710245</v>
      </c>
      <c r="N43" s="220">
        <f t="shared" ca="1" si="7"/>
        <v>0.24834552341346808</v>
      </c>
      <c r="O43" s="220">
        <f t="shared" ca="1" si="8"/>
        <v>-0.6823237178011422</v>
      </c>
      <c r="Q43" s="3">
        <f t="shared" si="27"/>
        <v>290</v>
      </c>
      <c r="R43" s="219">
        <f t="shared" si="9"/>
        <v>1.3815605268255275</v>
      </c>
      <c r="S43" s="220">
        <f t="shared" si="10"/>
        <v>0.47252152939795367</v>
      </c>
      <c r="T43" s="220">
        <f t="shared" si="11"/>
        <v>-1.2982422322270402</v>
      </c>
      <c r="V43" s="3">
        <f t="shared" si="28"/>
        <v>290</v>
      </c>
      <c r="W43" s="219">
        <f t="shared" ca="1" si="12"/>
        <v>4.9589232029559014</v>
      </c>
      <c r="X43" s="220">
        <f t="shared" ca="1" si="13"/>
        <v>1.6960516246159629</v>
      </c>
      <c r="Y43" s="220">
        <f t="shared" ca="1" si="14"/>
        <v>-4.6598635408616813</v>
      </c>
      <c r="AA43" s="3">
        <f t="shared" si="29"/>
        <v>290</v>
      </c>
      <c r="AB43" s="219">
        <f t="shared" ca="1" si="15"/>
        <v>9.1951151156870825</v>
      </c>
      <c r="AC43" s="220">
        <f t="shared" ca="1" si="16"/>
        <v>3.1449145897633213</v>
      </c>
      <c r="AD43" s="220">
        <f t="shared" ca="1" si="17"/>
        <v>-8.6405818214881158</v>
      </c>
      <c r="AF43" s="3">
        <f t="shared" si="30"/>
        <v>290</v>
      </c>
      <c r="AG43" s="219">
        <f t="shared" ca="1" si="18"/>
        <v>20.06452806894902</v>
      </c>
      <c r="AH43" s="220">
        <f t="shared" ca="1" si="19"/>
        <v>6.8624727659038527</v>
      </c>
      <c r="AI43" s="220">
        <f t="shared" ca="1" si="20"/>
        <v>-18.854488965943126</v>
      </c>
      <c r="AK43" s="3">
        <f t="shared" si="31"/>
        <v>290</v>
      </c>
      <c r="AL43" s="219">
        <f t="shared" ca="1" si="21"/>
        <v>29.559862288636065</v>
      </c>
      <c r="AM43" s="220">
        <f t="shared" ca="1" si="22"/>
        <v>10.110068336646345</v>
      </c>
      <c r="AN43" s="220">
        <f t="shared" ca="1" si="23"/>
        <v>-27.77718446407896</v>
      </c>
    </row>
    <row r="44" spans="2:40">
      <c r="B44" s="3">
        <f t="shared" si="24"/>
        <v>300</v>
      </c>
      <c r="C44" s="219">
        <f t="shared" ca="1" si="0"/>
        <v>0.98397926916448886</v>
      </c>
      <c r="D44" s="220">
        <f t="shared" ca="1" si="1"/>
        <v>0.49198963458224454</v>
      </c>
      <c r="E44" s="220">
        <f t="shared" ca="1" si="2"/>
        <v>-0.85215104389369323</v>
      </c>
      <c r="G44" s="3">
        <f t="shared" si="25"/>
        <v>300</v>
      </c>
      <c r="H44" s="219">
        <f t="shared" ca="1" si="3"/>
        <v>0.36968022131935369</v>
      </c>
      <c r="I44" s="220">
        <f t="shared" ca="1" si="4"/>
        <v>0.18484011065967687</v>
      </c>
      <c r="J44" s="220">
        <f t="shared" ca="1" si="5"/>
        <v>-0.3201524629392139</v>
      </c>
      <c r="L44" s="3">
        <f t="shared" si="26"/>
        <v>300</v>
      </c>
      <c r="M44" s="219">
        <f t="shared" ca="1" si="6"/>
        <v>0.7253704687766106</v>
      </c>
      <c r="N44" s="220">
        <f t="shared" ca="1" si="7"/>
        <v>0.36268523438830536</v>
      </c>
      <c r="O44" s="220">
        <f t="shared" ca="1" si="8"/>
        <v>-0.62818925311557172</v>
      </c>
      <c r="Q44" s="3">
        <f t="shared" si="27"/>
        <v>300</v>
      </c>
      <c r="R44" s="219">
        <f t="shared" si="9"/>
        <v>1.3845277386722707</v>
      </c>
      <c r="S44" s="220">
        <f t="shared" si="10"/>
        <v>0.69226386933613548</v>
      </c>
      <c r="T44" s="220">
        <f t="shared" si="11"/>
        <v>-1.199036193934409</v>
      </c>
      <c r="V44" s="3">
        <f t="shared" si="28"/>
        <v>300</v>
      </c>
      <c r="W44" s="219">
        <f t="shared" ca="1" si="12"/>
        <v>4.9733186730206524</v>
      </c>
      <c r="X44" s="220">
        <f t="shared" ca="1" si="13"/>
        <v>2.4866593365103267</v>
      </c>
      <c r="Y44" s="220">
        <f t="shared" ca="1" si="14"/>
        <v>-4.3070203119513986</v>
      </c>
      <c r="AA44" s="3">
        <f t="shared" si="29"/>
        <v>300</v>
      </c>
      <c r="AB44" s="219">
        <f t="shared" ca="1" si="15"/>
        <v>9.1352013512915189</v>
      </c>
      <c r="AC44" s="220">
        <f t="shared" ca="1" si="16"/>
        <v>4.5676006756457603</v>
      </c>
      <c r="AD44" s="220">
        <f t="shared" ca="1" si="17"/>
        <v>-7.9113164389043868</v>
      </c>
      <c r="AF44" s="3">
        <f t="shared" si="30"/>
        <v>300</v>
      </c>
      <c r="AG44" s="219">
        <f t="shared" ca="1" si="18"/>
        <v>20.010754871064812</v>
      </c>
      <c r="AH44" s="220">
        <f t="shared" ca="1" si="19"/>
        <v>10.005377435532408</v>
      </c>
      <c r="AI44" s="220">
        <f t="shared" ca="1" si="20"/>
        <v>-17.329822067245324</v>
      </c>
      <c r="AK44" s="3">
        <f t="shared" si="31"/>
        <v>300</v>
      </c>
      <c r="AL44" s="219">
        <f t="shared" ca="1" si="21"/>
        <v>29.576980398871257</v>
      </c>
      <c r="AM44" s="220">
        <f t="shared" ca="1" si="22"/>
        <v>14.788490199435632</v>
      </c>
      <c r="AN44" s="220">
        <f t="shared" ca="1" si="23"/>
        <v>-25.614416392656906</v>
      </c>
    </row>
    <row r="45" spans="2:40">
      <c r="B45" s="3">
        <f t="shared" si="24"/>
        <v>310</v>
      </c>
      <c r="C45" s="219">
        <f t="shared" ca="1" si="0"/>
        <v>0.98502097004409328</v>
      </c>
      <c r="D45" s="220">
        <f t="shared" ca="1" si="1"/>
        <v>0.63315927482575896</v>
      </c>
      <c r="E45" s="220">
        <f t="shared" ca="1" si="2"/>
        <v>-0.75456984045794306</v>
      </c>
      <c r="G45" s="3">
        <f t="shared" si="25"/>
        <v>310</v>
      </c>
      <c r="H45" s="219">
        <f t="shared" ca="1" si="3"/>
        <v>0.35698523836031371</v>
      </c>
      <c r="I45" s="220">
        <f t="shared" ca="1" si="4"/>
        <v>0.2294656880590055</v>
      </c>
      <c r="J45" s="220">
        <f t="shared" ca="1" si="5"/>
        <v>-0.27346655812142218</v>
      </c>
      <c r="L45" s="3">
        <f t="shared" si="26"/>
        <v>310</v>
      </c>
      <c r="M45" s="219">
        <f t="shared" ca="1" si="6"/>
        <v>0.72456567400255345</v>
      </c>
      <c r="N45" s="220">
        <f t="shared" ca="1" si="7"/>
        <v>0.46574183765301758</v>
      </c>
      <c r="O45" s="220">
        <f t="shared" ca="1" si="8"/>
        <v>-0.55504950824441313</v>
      </c>
      <c r="Q45" s="3">
        <f t="shared" si="27"/>
        <v>310</v>
      </c>
      <c r="R45" s="219">
        <f t="shared" si="9"/>
        <v>1.3910374864618429</v>
      </c>
      <c r="S45" s="220">
        <f t="shared" si="10"/>
        <v>0.89414166090717973</v>
      </c>
      <c r="T45" s="220">
        <f t="shared" si="11"/>
        <v>-1.0655965366742854</v>
      </c>
      <c r="V45" s="3">
        <f t="shared" si="28"/>
        <v>310</v>
      </c>
      <c r="W45" s="219">
        <f t="shared" ca="1" si="12"/>
        <v>4.9941602777045704</v>
      </c>
      <c r="X45" s="220">
        <f t="shared" ca="1" si="13"/>
        <v>3.2101843472971838</v>
      </c>
      <c r="Y45" s="220">
        <f t="shared" ca="1" si="14"/>
        <v>-3.8257487287811189</v>
      </c>
      <c r="AA45" s="3">
        <f t="shared" si="29"/>
        <v>310</v>
      </c>
      <c r="AB45" s="219">
        <f t="shared" ca="1" si="15"/>
        <v>9.0872995515388588</v>
      </c>
      <c r="AC45" s="220">
        <f t="shared" ca="1" si="16"/>
        <v>5.8412035572392229</v>
      </c>
      <c r="AD45" s="220">
        <f t="shared" ca="1" si="17"/>
        <v>-6.9612753244139247</v>
      </c>
      <c r="AF45" s="3">
        <f t="shared" si="30"/>
        <v>310</v>
      </c>
      <c r="AG45" s="219">
        <f t="shared" ca="1" si="18"/>
        <v>19.929744718554264</v>
      </c>
      <c r="AH45" s="220">
        <f t="shared" ca="1" si="19"/>
        <v>12.810592969302425</v>
      </c>
      <c r="AI45" s="220">
        <f t="shared" ca="1" si="20"/>
        <v>-15.267070194428296</v>
      </c>
      <c r="AK45" s="3">
        <f t="shared" si="31"/>
        <v>310</v>
      </c>
      <c r="AL45" s="219">
        <f t="shared" ca="1" si="21"/>
        <v>29.608292406616815</v>
      </c>
      <c r="AM45" s="220">
        <f t="shared" ca="1" si="22"/>
        <v>19.031843502949332</v>
      </c>
      <c r="AN45" s="220">
        <f t="shared" ca="1" si="23"/>
        <v>-22.681267868330647</v>
      </c>
    </row>
    <row r="46" spans="2:40">
      <c r="B46" s="3">
        <f t="shared" si="24"/>
        <v>320</v>
      </c>
      <c r="C46" s="219">
        <f t="shared" ca="1" si="0"/>
        <v>0.98650609880406948</v>
      </c>
      <c r="D46" s="220">
        <f t="shared" ca="1" si="1"/>
        <v>0.75570751509183864</v>
      </c>
      <c r="E46" s="220">
        <f t="shared" ca="1" si="2"/>
        <v>-0.63411389719146105</v>
      </c>
      <c r="G46" s="3">
        <f t="shared" si="25"/>
        <v>320</v>
      </c>
      <c r="H46" s="219">
        <f t="shared" ca="1" si="3"/>
        <v>0.34550946610359445</v>
      </c>
      <c r="I46" s="220">
        <f t="shared" ca="1" si="4"/>
        <v>0.26467560655366335</v>
      </c>
      <c r="J46" s="220">
        <f t="shared" ca="1" si="5"/>
        <v>-0.22208920384080194</v>
      </c>
      <c r="L46" s="3">
        <f t="shared" si="26"/>
        <v>320</v>
      </c>
      <c r="M46" s="219">
        <f t="shared" ca="1" si="6"/>
        <v>0.72372413279750503</v>
      </c>
      <c r="N46" s="220">
        <f t="shared" ca="1" si="7"/>
        <v>0.55440485028062991</v>
      </c>
      <c r="O46" s="220">
        <f t="shared" ca="1" si="8"/>
        <v>-0.465200905393372</v>
      </c>
      <c r="Q46" s="3">
        <f t="shared" si="27"/>
        <v>320</v>
      </c>
      <c r="R46" s="219">
        <f t="shared" si="9"/>
        <v>1.4009885399973878</v>
      </c>
      <c r="S46" s="220">
        <f t="shared" si="10"/>
        <v>1.0732194859383688</v>
      </c>
      <c r="T46" s="220">
        <f t="shared" si="11"/>
        <v>-0.90053807482315584</v>
      </c>
      <c r="V46" s="3">
        <f t="shared" si="28"/>
        <v>320</v>
      </c>
      <c r="W46" s="219">
        <f t="shared" ca="1" si="12"/>
        <v>5.0209668543584476</v>
      </c>
      <c r="X46" s="220">
        <f t="shared" ca="1" si="13"/>
        <v>3.8462837578658626</v>
      </c>
      <c r="Y46" s="220">
        <f t="shared" ca="1" si="14"/>
        <v>-3.2274152826284102</v>
      </c>
      <c r="AA46" s="3">
        <f t="shared" si="29"/>
        <v>320</v>
      </c>
      <c r="AB46" s="219">
        <f t="shared" ca="1" si="15"/>
        <v>9.0524808501682745</v>
      </c>
      <c r="AC46" s="220">
        <f t="shared" ca="1" si="16"/>
        <v>6.9346026517123667</v>
      </c>
      <c r="AD46" s="220">
        <f t="shared" ca="1" si="17"/>
        <v>-5.8188225274128387</v>
      </c>
      <c r="AF46" s="3">
        <f t="shared" si="30"/>
        <v>320</v>
      </c>
      <c r="AG46" s="219">
        <f t="shared" ca="1" si="18"/>
        <v>19.824585377231415</v>
      </c>
      <c r="AH46" s="220">
        <f t="shared" ca="1" si="19"/>
        <v>15.18651346536587</v>
      </c>
      <c r="AI46" s="220">
        <f t="shared" ca="1" si="20"/>
        <v>-12.742997847657307</v>
      </c>
      <c r="AK46" s="3">
        <f t="shared" si="31"/>
        <v>320</v>
      </c>
      <c r="AL46" s="219">
        <f t="shared" ca="1" si="21"/>
        <v>29.652933209121642</v>
      </c>
      <c r="AM46" s="220">
        <f t="shared" ca="1" si="22"/>
        <v>22.715464707025831</v>
      </c>
      <c r="AN46" s="220">
        <f t="shared" ca="1" si="23"/>
        <v>-19.06053805768591</v>
      </c>
    </row>
    <row r="47" spans="2:40">
      <c r="B47" s="3">
        <f t="shared" si="24"/>
        <v>330</v>
      </c>
      <c r="C47" s="219">
        <f t="shared" ca="1" si="0"/>
        <v>0.98839329447282964</v>
      </c>
      <c r="D47" s="220">
        <f t="shared" ca="1" si="1"/>
        <v>0.85597370194366362</v>
      </c>
      <c r="E47" s="220">
        <f t="shared" ca="1" si="2"/>
        <v>-0.49419664723641527</v>
      </c>
      <c r="G47" s="3">
        <f t="shared" si="25"/>
        <v>330</v>
      </c>
      <c r="H47" s="219">
        <f t="shared" ca="1" si="3"/>
        <v>0.33542021898486268</v>
      </c>
      <c r="I47" s="220">
        <f t="shared" ca="1" si="4"/>
        <v>0.29048243058383044</v>
      </c>
      <c r="J47" s="220">
        <f t="shared" ca="1" si="5"/>
        <v>-0.16771010949243148</v>
      </c>
      <c r="L47" s="3">
        <f t="shared" si="26"/>
        <v>330</v>
      </c>
      <c r="M47" s="219">
        <f t="shared" ca="1" si="6"/>
        <v>0.7228715863514249</v>
      </c>
      <c r="N47" s="220">
        <f t="shared" ca="1" si="7"/>
        <v>0.62602515745429022</v>
      </c>
      <c r="O47" s="220">
        <f t="shared" ca="1" si="8"/>
        <v>-0.36143579317571278</v>
      </c>
      <c r="Q47" s="3">
        <f t="shared" si="27"/>
        <v>330</v>
      </c>
      <c r="R47" s="219">
        <f t="shared" si="9"/>
        <v>1.4142179909177559</v>
      </c>
      <c r="S47" s="220">
        <f t="shared" si="10"/>
        <v>1.2247487066237668</v>
      </c>
      <c r="T47" s="220">
        <f t="shared" si="11"/>
        <v>-0.70710899545887862</v>
      </c>
      <c r="V47" s="3">
        <f t="shared" si="28"/>
        <v>330</v>
      </c>
      <c r="W47" s="219">
        <f t="shared" ca="1" si="12"/>
        <v>5.0530990057455023</v>
      </c>
      <c r="X47" s="220">
        <f t="shared" ca="1" si="13"/>
        <v>4.3761121068134923</v>
      </c>
      <c r="Y47" s="220">
        <f t="shared" ca="1" si="14"/>
        <v>-2.5265495028727534</v>
      </c>
      <c r="AA47" s="3">
        <f t="shared" si="29"/>
        <v>330</v>
      </c>
      <c r="AB47" s="219">
        <f t="shared" ca="1" si="15"/>
        <v>9.0314990728634204</v>
      </c>
      <c r="AC47" s="220">
        <f t="shared" ca="1" si="16"/>
        <v>7.821507631355324</v>
      </c>
      <c r="AD47" s="220">
        <f t="shared" ca="1" si="17"/>
        <v>-4.5157495364317146</v>
      </c>
      <c r="AF47" s="3">
        <f t="shared" si="30"/>
        <v>330</v>
      </c>
      <c r="AG47" s="219">
        <f t="shared" ca="1" si="18"/>
        <v>19.699186054590513</v>
      </c>
      <c r="AH47" s="220">
        <f t="shared" ca="1" si="19"/>
        <v>17.059995557151527</v>
      </c>
      <c r="AI47" s="220">
        <f t="shared" ca="1" si="20"/>
        <v>-9.8495930272952652</v>
      </c>
      <c r="AK47" s="3">
        <f t="shared" si="31"/>
        <v>330</v>
      </c>
      <c r="AL47" s="219">
        <f t="shared" ca="1" si="21"/>
        <v>29.709659555959366</v>
      </c>
      <c r="AM47" s="220">
        <f t="shared" ca="1" si="22"/>
        <v>25.72931991324791</v>
      </c>
      <c r="AN47" s="220">
        <f t="shared" ca="1" si="23"/>
        <v>-14.854829777979695</v>
      </c>
    </row>
    <row r="48" spans="2:40">
      <c r="B48" s="3">
        <f t="shared" si="24"/>
        <v>340</v>
      </c>
      <c r="C48" s="219">
        <f t="shared" ca="1" si="0"/>
        <v>0.99062943866805575</v>
      </c>
      <c r="D48" s="220">
        <f t="shared" ca="1" si="1"/>
        <v>0.93088717344965866</v>
      </c>
      <c r="E48" s="220">
        <f t="shared" ca="1" si="2"/>
        <v>-0.33881522259587504</v>
      </c>
      <c r="G48" s="3">
        <f t="shared" si="25"/>
        <v>340</v>
      </c>
      <c r="H48" s="219">
        <f t="shared" ca="1" si="3"/>
        <v>0.32682242166641684</v>
      </c>
      <c r="I48" s="220">
        <f t="shared" ca="1" si="4"/>
        <v>0.30711261794731248</v>
      </c>
      <c r="J48" s="220">
        <f t="shared" ca="1" si="5"/>
        <v>-0.11177985150038999</v>
      </c>
      <c r="L48" s="3">
        <f t="shared" si="26"/>
        <v>340</v>
      </c>
      <c r="M48" s="219">
        <f t="shared" ca="1" si="6"/>
        <v>0.72203393212649547</v>
      </c>
      <c r="N48" s="220">
        <f t="shared" ca="1" si="7"/>
        <v>0.67848995797630129</v>
      </c>
      <c r="O48" s="220">
        <f t="shared" ca="1" si="8"/>
        <v>-0.24695014895190007</v>
      </c>
      <c r="Q48" s="3">
        <f t="shared" si="27"/>
        <v>340</v>
      </c>
      <c r="R48" s="219">
        <f t="shared" si="9"/>
        <v>1.4304937447522388</v>
      </c>
      <c r="S48" s="220">
        <f t="shared" si="10"/>
        <v>1.3442244160240795</v>
      </c>
      <c r="T48" s="220">
        <f t="shared" si="11"/>
        <v>-0.48925767560663308</v>
      </c>
      <c r="V48" s="3">
        <f t="shared" si="28"/>
        <v>340</v>
      </c>
      <c r="W48" s="219">
        <f t="shared" ca="1" si="12"/>
        <v>5.0897595545588272</v>
      </c>
      <c r="X48" s="220">
        <f t="shared" ca="1" si="13"/>
        <v>4.7828094949935025</v>
      </c>
      <c r="Y48" s="220">
        <f t="shared" ca="1" si="14"/>
        <v>-1.7408002923434012</v>
      </c>
      <c r="AA48" s="3">
        <f t="shared" si="29"/>
        <v>340</v>
      </c>
      <c r="AB48" s="219">
        <f t="shared" ca="1" si="15"/>
        <v>9.0247984895392523</v>
      </c>
      <c r="AC48" s="220">
        <f t="shared" ca="1" si="16"/>
        <v>8.4805365446998486</v>
      </c>
      <c r="AD48" s="220">
        <f t="shared" ca="1" si="17"/>
        <v>-3.0866628728774925</v>
      </c>
      <c r="AF48" s="3">
        <f t="shared" si="30"/>
        <v>340</v>
      </c>
      <c r="AG48" s="219">
        <f t="shared" ca="1" si="18"/>
        <v>19.558063509079794</v>
      </c>
      <c r="AH48" s="220">
        <f t="shared" ca="1" si="19"/>
        <v>18.378567956344433</v>
      </c>
      <c r="AI48" s="220">
        <f t="shared" ca="1" si="20"/>
        <v>-6.6892516845480001</v>
      </c>
      <c r="AK48" s="3">
        <f t="shared" si="31"/>
        <v>340</v>
      </c>
      <c r="AL48" s="219">
        <f t="shared" ca="1" si="21"/>
        <v>29.776874786100759</v>
      </c>
      <c r="AM48" s="220">
        <f t="shared" ca="1" si="22"/>
        <v>27.981109506564859</v>
      </c>
      <c r="AN48" s="220">
        <f t="shared" ca="1" si="23"/>
        <v>-10.184290982132669</v>
      </c>
    </row>
    <row r="49" spans="2:40">
      <c r="B49" s="3">
        <f t="shared" si="24"/>
        <v>350</v>
      </c>
      <c r="C49" s="219">
        <f t="shared" ca="1" si="0"/>
        <v>0.99315077724041989</v>
      </c>
      <c r="D49" s="220">
        <f t="shared" ca="1" si="1"/>
        <v>0.97806258533646584</v>
      </c>
      <c r="E49" s="220">
        <f t="shared" ca="1" si="2"/>
        <v>-0.17245882261629444</v>
      </c>
      <c r="G49" s="3">
        <f t="shared" si="25"/>
        <v>350</v>
      </c>
      <c r="H49" s="219">
        <f t="shared" ca="1" si="3"/>
        <v>0.31977633598954985</v>
      </c>
      <c r="I49" s="220">
        <f t="shared" ca="1" si="4"/>
        <v>0.31491821491234545</v>
      </c>
      <c r="J49" s="220">
        <f t="shared" ca="1" si="5"/>
        <v>-5.5528578005593382E-2</v>
      </c>
      <c r="L49" s="3">
        <f t="shared" si="26"/>
        <v>350</v>
      </c>
      <c r="M49" s="219">
        <f t="shared" ca="1" si="6"/>
        <v>0.72123643880040544</v>
      </c>
      <c r="N49" s="220">
        <f t="shared" ca="1" si="7"/>
        <v>0.71027923668555415</v>
      </c>
      <c r="O49" s="220">
        <f t="shared" ca="1" si="8"/>
        <v>-0.12524139326467698</v>
      </c>
      <c r="Q49" s="3">
        <f t="shared" si="27"/>
        <v>350</v>
      </c>
      <c r="R49" s="219">
        <f t="shared" si="9"/>
        <v>1.4495054865443384</v>
      </c>
      <c r="S49" s="220">
        <f t="shared" si="10"/>
        <v>1.4274842411825972</v>
      </c>
      <c r="T49" s="220">
        <f t="shared" si="11"/>
        <v>-0.25170398625664164</v>
      </c>
      <c r="V49" s="3">
        <f t="shared" si="28"/>
        <v>350</v>
      </c>
      <c r="W49" s="219">
        <f t="shared" ca="1" si="12"/>
        <v>5.1299975088785716</v>
      </c>
      <c r="X49" s="220">
        <f t="shared" ca="1" si="13"/>
        <v>5.0520613196769304</v>
      </c>
      <c r="Y49" s="220">
        <f t="shared" ca="1" si="14"/>
        <v>-0.89081471885265651</v>
      </c>
      <c r="AA49" s="3">
        <f t="shared" si="29"/>
        <v>350</v>
      </c>
      <c r="AB49" s="219">
        <f t="shared" ca="1" si="15"/>
        <v>9.0325194042158934</v>
      </c>
      <c r="AC49" s="220">
        <f t="shared" ca="1" si="16"/>
        <v>8.8952951385050216</v>
      </c>
      <c r="AD49" s="220">
        <f t="shared" ca="1" si="17"/>
        <v>-1.5684805342832777</v>
      </c>
      <c r="AF49" s="3">
        <f t="shared" si="30"/>
        <v>350</v>
      </c>
      <c r="AG49" s="219">
        <f t="shared" ca="1" si="18"/>
        <v>19.406114544583655</v>
      </c>
      <c r="AH49" s="220">
        <f t="shared" ca="1" si="19"/>
        <v>19.111292059348958</v>
      </c>
      <c r="AI49" s="220">
        <f t="shared" ca="1" si="20"/>
        <v>-3.3698364262626646</v>
      </c>
      <c r="AK49" s="3">
        <f t="shared" si="31"/>
        <v>350</v>
      </c>
      <c r="AL49" s="219">
        <f t="shared" ca="1" si="21"/>
        <v>29.852662542886584</v>
      </c>
      <c r="AM49" s="220">
        <f t="shared" ca="1" si="22"/>
        <v>29.399133520291844</v>
      </c>
      <c r="AN49" s="220">
        <f t="shared" ca="1" si="23"/>
        <v>-5.1838604490780877</v>
      </c>
    </row>
    <row r="50" spans="2:40">
      <c r="B50" s="3">
        <f t="shared" si="24"/>
        <v>360</v>
      </c>
      <c r="C50" s="219">
        <f t="shared" ca="1" si="0"/>
        <v>0.99588436138678926</v>
      </c>
      <c r="D50" s="220">
        <f t="shared" ca="1" si="1"/>
        <v>0.99588436138678926</v>
      </c>
      <c r="E50" s="220">
        <f t="shared" ca="1" si="2"/>
        <v>-2.4402123732413652E-16</v>
      </c>
      <c r="G50" s="3">
        <f t="shared" si="25"/>
        <v>360</v>
      </c>
      <c r="H50" s="219">
        <f t="shared" ca="1" si="3"/>
        <v>0.31431251987112502</v>
      </c>
      <c r="I50" s="220">
        <f t="shared" ca="1" si="4"/>
        <v>0.31431251987112502</v>
      </c>
      <c r="J50" s="220">
        <f t="shared" ca="1" si="5"/>
        <v>-7.7015899615708743E-17</v>
      </c>
      <c r="L50" s="3">
        <f t="shared" si="26"/>
        <v>360</v>
      </c>
      <c r="M50" s="219">
        <f t="shared" ca="1" si="6"/>
        <v>0.72050300143027768</v>
      </c>
      <c r="N50" s="220">
        <f t="shared" ca="1" si="7"/>
        <v>0.72050300143027768</v>
      </c>
      <c r="O50" s="220">
        <f t="shared" ca="1" si="8"/>
        <v>-1.7654462779186558E-16</v>
      </c>
      <c r="Q50" s="3">
        <f t="shared" si="27"/>
        <v>360</v>
      </c>
      <c r="R50" s="219">
        <f t="shared" si="9"/>
        <v>1.4708552998962341</v>
      </c>
      <c r="S50" s="220">
        <f t="shared" si="10"/>
        <v>1.4708552998962341</v>
      </c>
      <c r="T50" s="220">
        <f t="shared" si="11"/>
        <v>-3.6040321961240524E-16</v>
      </c>
      <c r="V50" s="3">
        <f t="shared" si="28"/>
        <v>360</v>
      </c>
      <c r="W50" s="219">
        <f t="shared" ca="1" si="12"/>
        <v>5.1727174808107694</v>
      </c>
      <c r="X50" s="220">
        <f t="shared" ca="1" si="13"/>
        <v>5.1727174808107694</v>
      </c>
      <c r="Y50" s="220">
        <f t="shared" ca="1" si="14"/>
        <v>-1.2674693658588248E-15</v>
      </c>
      <c r="AA50" s="3">
        <f t="shared" si="29"/>
        <v>360</v>
      </c>
      <c r="AB50" s="219">
        <f t="shared" ca="1" si="15"/>
        <v>9.0545000812991514</v>
      </c>
      <c r="AC50" s="220">
        <f t="shared" ca="1" si="16"/>
        <v>9.0545000812991514</v>
      </c>
      <c r="AD50" s="220">
        <f t="shared" ca="1" si="17"/>
        <v>-2.2186213569147259E-15</v>
      </c>
      <c r="AF50" s="3">
        <f t="shared" si="30"/>
        <v>360</v>
      </c>
      <c r="AG50" s="219">
        <f t="shared" ca="1" si="18"/>
        <v>19.248393945732793</v>
      </c>
      <c r="AH50" s="220">
        <f t="shared" ca="1" si="19"/>
        <v>19.248393945732793</v>
      </c>
      <c r="AI50" s="220">
        <f t="shared" ca="1" si="20"/>
        <v>-4.7164280204173938E-15</v>
      </c>
      <c r="AK50" s="3">
        <f t="shared" si="31"/>
        <v>360</v>
      </c>
      <c r="AL50" s="219">
        <f t="shared" ca="1" si="21"/>
        <v>29.934830091786761</v>
      </c>
      <c r="AM50" s="220">
        <f t="shared" ca="1" si="22"/>
        <v>29.934830091786761</v>
      </c>
      <c r="AN50" s="220">
        <f t="shared" ca="1" si="23"/>
        <v>-7.3349221669809229E-15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890E5-1364-4855-A5DB-07442F4BDCF4}">
  <dimension ref="A1:A16"/>
  <sheetViews>
    <sheetView workbookViewId="0">
      <selection activeCell="A20" sqref="A20"/>
    </sheetView>
  </sheetViews>
  <sheetFormatPr defaultColWidth="22.28515625" defaultRowHeight="15"/>
  <cols>
    <col min="1" max="1" width="81.7109375" bestFit="1" customWidth="1"/>
  </cols>
  <sheetData>
    <row r="1" spans="1:1" ht="17.25" customHeight="1">
      <c r="A1" s="225" t="s">
        <v>358</v>
      </c>
    </row>
    <row r="2" spans="1:1">
      <c r="A2" s="225" t="s">
        <v>345</v>
      </c>
    </row>
    <row r="3" spans="1:1">
      <c r="A3" s="225" t="s">
        <v>346</v>
      </c>
    </row>
    <row r="4" spans="1:1">
      <c r="A4" s="225" t="s">
        <v>347</v>
      </c>
    </row>
    <row r="5" spans="1:1">
      <c r="A5" s="225" t="s">
        <v>348</v>
      </c>
    </row>
    <row r="6" spans="1:1">
      <c r="A6" s="225" t="s">
        <v>349</v>
      </c>
    </row>
    <row r="7" spans="1:1">
      <c r="A7" s="225" t="s">
        <v>345</v>
      </c>
    </row>
    <row r="8" spans="1:1">
      <c r="A8" s="225" t="s">
        <v>350</v>
      </c>
    </row>
    <row r="9" spans="1:1">
      <c r="A9" s="225" t="s">
        <v>351</v>
      </c>
    </row>
    <row r="10" spans="1:1">
      <c r="A10" s="225" t="s">
        <v>352</v>
      </c>
    </row>
    <row r="11" spans="1:1">
      <c r="A11" s="225" t="s">
        <v>353</v>
      </c>
    </row>
    <row r="12" spans="1:1">
      <c r="A12" s="225" t="s">
        <v>345</v>
      </c>
    </row>
    <row r="13" spans="1:1">
      <c r="A13" s="225" t="s">
        <v>354</v>
      </c>
    </row>
    <row r="14" spans="1:1">
      <c r="A14" s="225" t="s">
        <v>355</v>
      </c>
    </row>
    <row r="15" spans="1:1">
      <c r="A15" s="225" t="s">
        <v>356</v>
      </c>
    </row>
    <row r="16" spans="1:1">
      <c r="A16" s="225" t="s">
        <v>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TimeScales</vt:lpstr>
      <vt:lpstr>RightAscensionDecl</vt:lpstr>
      <vt:lpstr>Nutation</vt:lpstr>
      <vt:lpstr>AzimuthAlt</vt:lpstr>
      <vt:lpstr>SunRiseSet</vt:lpstr>
      <vt:lpstr>Moon1</vt:lpstr>
      <vt:lpstr>Moon2</vt:lpstr>
      <vt:lpstr>MoonRiseSet</vt:lpstr>
      <vt:lpstr>Planets</vt:lpstr>
      <vt:lpstr>PhaseOfMoon</vt:lpstr>
      <vt:lpstr>Summary</vt:lpstr>
      <vt:lpstr>Chart</vt:lpstr>
      <vt:lpstr>Orbits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</dc:creator>
  <cp:lastModifiedBy>Paul</cp:lastModifiedBy>
  <dcterms:created xsi:type="dcterms:W3CDTF">2020-10-03T14:57:30Z</dcterms:created>
  <dcterms:modified xsi:type="dcterms:W3CDTF">2023-02-25T19:12:18Z</dcterms:modified>
</cp:coreProperties>
</file>