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C98FE926-54E5-490A-9FFC-6CF333A5F628}" xr6:coauthVersionLast="47" xr6:coauthVersionMax="47" xr10:uidLastSave="{00000000-0000-0000-0000-000000000000}"/>
  <bookViews>
    <workbookView xWindow="-108" yWindow="-108" windowWidth="23256" windowHeight="12576" activeTab="1" xr2:uid="{6082697E-4C28-401D-8DB0-60DD22A0610C}"/>
  </bookViews>
  <sheets>
    <sheet name="Results" sheetId="1" r:id="rId1"/>
    <sheet name="Calculate_cap_emi" sheetId="2" r:id="rId2"/>
    <sheet name="embodied_original" sheetId="3" r:id="rId3"/>
  </sheets>
  <definedNames>
    <definedName name="_xlnm._FilterDatabase" localSheetId="0" hidden="1">Results!$A$1:$F$81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3" l="1"/>
  <c r="C22" i="3"/>
  <c r="D19" i="3"/>
  <c r="E19" i="3"/>
  <c r="F19" i="3"/>
  <c r="G19" i="3"/>
  <c r="C19" i="3"/>
  <c r="D16" i="3"/>
  <c r="E16" i="3"/>
  <c r="F16" i="3"/>
  <c r="G16" i="3"/>
  <c r="H16" i="3"/>
  <c r="I16" i="3"/>
  <c r="J16" i="3"/>
  <c r="M110" i="1" s="1"/>
  <c r="K16" i="3"/>
  <c r="L16" i="3"/>
  <c r="M16" i="3"/>
  <c r="N16" i="3"/>
  <c r="C16" i="3"/>
  <c r="D13" i="3"/>
  <c r="E13" i="3"/>
  <c r="F13" i="3"/>
  <c r="G13" i="3"/>
  <c r="H13" i="3"/>
  <c r="C13" i="3"/>
  <c r="D10" i="3"/>
  <c r="E10" i="3"/>
  <c r="F10" i="3"/>
  <c r="G10" i="3"/>
  <c r="H10" i="3"/>
  <c r="C10" i="3"/>
  <c r="D7" i="3"/>
  <c r="E7" i="3"/>
  <c r="F7" i="3"/>
  <c r="G7" i="3"/>
  <c r="H7" i="3"/>
  <c r="I7" i="3"/>
  <c r="J7" i="3"/>
  <c r="K7" i="3"/>
  <c r="AF20" i="2" s="1"/>
  <c r="L7" i="3"/>
  <c r="M7" i="3"/>
  <c r="N7" i="3"/>
  <c r="O7" i="3"/>
  <c r="P7" i="3"/>
  <c r="Q7" i="3"/>
  <c r="R7" i="3"/>
  <c r="S7" i="3"/>
  <c r="T7" i="3"/>
  <c r="U7" i="3"/>
  <c r="V7" i="3"/>
  <c r="W7" i="3"/>
  <c r="X7" i="3"/>
  <c r="C7" i="3"/>
  <c r="D4" i="3"/>
  <c r="E4" i="3"/>
  <c r="F4" i="3"/>
  <c r="G4" i="3"/>
  <c r="H4" i="3"/>
  <c r="I4" i="3"/>
  <c r="J4" i="3"/>
  <c r="AE20" i="2" s="1"/>
  <c r="K4" i="3"/>
  <c r="AB18" i="2" s="1"/>
  <c r="C4" i="3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00" i="1" a="1"/>
  <c r="N100" i="1" s="1"/>
  <c r="M102" i="1"/>
  <c r="M103" i="1"/>
  <c r="M104" i="1"/>
  <c r="M105" i="1"/>
  <c r="M106" i="1"/>
  <c r="M107" i="1"/>
  <c r="M108" i="1"/>
  <c r="M109" i="1"/>
  <c r="M111" i="1"/>
  <c r="M112" i="1"/>
  <c r="M114" i="1"/>
  <c r="M115" i="1"/>
  <c r="M116" i="1"/>
  <c r="M117" i="1"/>
  <c r="M118" i="1"/>
  <c r="M119" i="1"/>
  <c r="M120" i="1"/>
  <c r="M121" i="1"/>
  <c r="M123" i="1"/>
  <c r="M124" i="1"/>
  <c r="M126" i="1"/>
  <c r="M127" i="1"/>
  <c r="M128" i="1"/>
  <c r="M129" i="1"/>
  <c r="M130" i="1"/>
  <c r="M131" i="1"/>
  <c r="M132" i="1"/>
  <c r="M133" i="1"/>
  <c r="M135" i="1"/>
  <c r="M136" i="1"/>
  <c r="M138" i="1"/>
  <c r="M139" i="1"/>
  <c r="M140" i="1"/>
  <c r="M141" i="1"/>
  <c r="M142" i="1"/>
  <c r="M143" i="1"/>
  <c r="M144" i="1"/>
  <c r="M145" i="1"/>
  <c r="M147" i="1"/>
  <c r="M148" i="1"/>
  <c r="M150" i="1"/>
  <c r="M151" i="1"/>
  <c r="M152" i="1"/>
  <c r="M153" i="1"/>
  <c r="M154" i="1"/>
  <c r="M155" i="1"/>
  <c r="M156" i="1"/>
  <c r="M157" i="1"/>
  <c r="M159" i="1"/>
  <c r="M160" i="1"/>
  <c r="M162" i="1"/>
  <c r="M163" i="1"/>
  <c r="M164" i="1"/>
  <c r="M165" i="1"/>
  <c r="M166" i="1"/>
  <c r="M167" i="1"/>
  <c r="M168" i="1"/>
  <c r="M169" i="1"/>
  <c r="M171" i="1"/>
  <c r="M172" i="1"/>
  <c r="M174" i="1"/>
  <c r="M175" i="1"/>
  <c r="M176" i="1"/>
  <c r="M177" i="1"/>
  <c r="M178" i="1"/>
  <c r="M179" i="1"/>
  <c r="M180" i="1"/>
  <c r="M181" i="1"/>
  <c r="M183" i="1"/>
  <c r="M184" i="1"/>
  <c r="M186" i="1"/>
  <c r="M187" i="1"/>
  <c r="M188" i="1"/>
  <c r="M189" i="1"/>
  <c r="M190" i="1"/>
  <c r="M191" i="1"/>
  <c r="M192" i="1"/>
  <c r="M193" i="1"/>
  <c r="M195" i="1"/>
  <c r="M100" i="1"/>
  <c r="L92" i="1"/>
  <c r="L93" i="1"/>
  <c r="L94" i="1"/>
  <c r="L95" i="1"/>
  <c r="L96" i="1"/>
  <c r="L97" i="1"/>
  <c r="L98" i="1"/>
  <c r="L99" i="1"/>
  <c r="L91" i="1"/>
  <c r="L83" i="1"/>
  <c r="L84" i="1"/>
  <c r="L85" i="1"/>
  <c r="L86" i="1"/>
  <c r="L87" i="1"/>
  <c r="L88" i="1"/>
  <c r="L89" i="1"/>
  <c r="L90" i="1"/>
  <c r="L82" i="1"/>
  <c r="AF21" i="2"/>
  <c r="AE15" i="2"/>
  <c r="AE17" i="2"/>
  <c r="AE18" i="2"/>
  <c r="AE19" i="2"/>
  <c r="AE14" i="2"/>
  <c r="AD15" i="2"/>
  <c r="AD16" i="2"/>
  <c r="AD17" i="2"/>
  <c r="AD18" i="2"/>
  <c r="AD19" i="2"/>
  <c r="AD20" i="2"/>
  <c r="AD21" i="2"/>
  <c r="AD14" i="2"/>
  <c r="AC20" i="2"/>
  <c r="AB15" i="2"/>
  <c r="AB16" i="2"/>
  <c r="AB17" i="2"/>
  <c r="AB19" i="2"/>
  <c r="AB20" i="2"/>
  <c r="AB14" i="2"/>
  <c r="AG20" i="2"/>
  <c r="L141" i="1" s="1" a="1"/>
  <c r="L141" i="1" s="1"/>
  <c r="AC15" i="2"/>
  <c r="AC19" i="2"/>
  <c r="AF18" i="2"/>
  <c r="AF16" i="2"/>
  <c r="AC14" i="2"/>
  <c r="AC21" i="2"/>
  <c r="AC16" i="2"/>
  <c r="AF15" i="2"/>
  <c r="U15" i="2"/>
  <c r="U16" i="2"/>
  <c r="U17" i="2"/>
  <c r="U18" i="2"/>
  <c r="U19" i="2"/>
  <c r="U20" i="2"/>
  <c r="U21" i="2"/>
  <c r="W21" i="2" s="1"/>
  <c r="U14" i="2"/>
  <c r="D192" i="1"/>
  <c r="D193" i="1"/>
  <c r="D194" i="1"/>
  <c r="D195" i="1"/>
  <c r="B192" i="1"/>
  <c r="B193" i="1"/>
  <c r="B194" i="1"/>
  <c r="B195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D170" i="1" s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D181" i="1"/>
  <c r="D173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B143" i="1"/>
  <c r="D143" i="1" s="1"/>
  <c r="B139" i="1"/>
  <c r="D139" i="1" s="1"/>
  <c r="B131" i="1"/>
  <c r="D131" i="1" s="1"/>
  <c r="B127" i="1"/>
  <c r="D127" i="1" s="1"/>
  <c r="J143" i="1"/>
  <c r="J139" i="1"/>
  <c r="J131" i="1"/>
  <c r="J127" i="1"/>
  <c r="D188" i="1"/>
  <c r="D189" i="1"/>
  <c r="D190" i="1"/>
  <c r="D176" i="1"/>
  <c r="J103" i="1"/>
  <c r="D174" i="1"/>
  <c r="D175" i="1"/>
  <c r="D183" i="1"/>
  <c r="B119" i="1"/>
  <c r="B115" i="1"/>
  <c r="D115" i="1" s="1"/>
  <c r="B107" i="1"/>
  <c r="D107" i="1" s="1"/>
  <c r="B103" i="1"/>
  <c r="D103" i="1" s="1"/>
  <c r="J119" i="1"/>
  <c r="J115" i="1"/>
  <c r="J107" i="1"/>
  <c r="J101" i="1"/>
  <c r="J102" i="1"/>
  <c r="J104" i="1"/>
  <c r="J105" i="1"/>
  <c r="J106" i="1"/>
  <c r="J108" i="1"/>
  <c r="J109" i="1"/>
  <c r="J110" i="1"/>
  <c r="J111" i="1"/>
  <c r="J112" i="1"/>
  <c r="J113" i="1"/>
  <c r="J114" i="1"/>
  <c r="J116" i="1"/>
  <c r="J117" i="1"/>
  <c r="J118" i="1"/>
  <c r="J120" i="1"/>
  <c r="J121" i="1"/>
  <c r="J122" i="1"/>
  <c r="J123" i="1"/>
  <c r="J124" i="1"/>
  <c r="J125" i="1"/>
  <c r="J126" i="1"/>
  <c r="J128" i="1"/>
  <c r="J129" i="1"/>
  <c r="J130" i="1"/>
  <c r="J132" i="1"/>
  <c r="J133" i="1"/>
  <c r="J134" i="1"/>
  <c r="J135" i="1"/>
  <c r="J136" i="1"/>
  <c r="J137" i="1"/>
  <c r="J138" i="1"/>
  <c r="J140" i="1"/>
  <c r="J141" i="1"/>
  <c r="J142" i="1"/>
  <c r="J144" i="1"/>
  <c r="J145" i="1"/>
  <c r="J146" i="1"/>
  <c r="J147" i="1"/>
  <c r="J100" i="1"/>
  <c r="X14" i="2"/>
  <c r="Y14" i="2"/>
  <c r="Z14" i="2"/>
  <c r="AA14" i="2"/>
  <c r="Y15" i="2"/>
  <c r="Y16" i="2"/>
  <c r="Y17" i="2"/>
  <c r="Y18" i="2"/>
  <c r="Y19" i="2"/>
  <c r="Y20" i="2"/>
  <c r="Y21" i="2"/>
  <c r="B101" i="1"/>
  <c r="B102" i="1"/>
  <c r="B104" i="1"/>
  <c r="B105" i="1"/>
  <c r="B106" i="1"/>
  <c r="B108" i="1"/>
  <c r="B109" i="1"/>
  <c r="B110" i="1"/>
  <c r="B111" i="1"/>
  <c r="B112" i="1"/>
  <c r="B113" i="1"/>
  <c r="B114" i="1"/>
  <c r="B116" i="1"/>
  <c r="B117" i="1"/>
  <c r="B118" i="1"/>
  <c r="B120" i="1"/>
  <c r="B121" i="1"/>
  <c r="B122" i="1"/>
  <c r="B123" i="1"/>
  <c r="B124" i="1"/>
  <c r="B125" i="1"/>
  <c r="B126" i="1"/>
  <c r="B128" i="1"/>
  <c r="B129" i="1"/>
  <c r="B130" i="1"/>
  <c r="B132" i="1"/>
  <c r="B133" i="1"/>
  <c r="B134" i="1"/>
  <c r="B135" i="1"/>
  <c r="B136" i="1"/>
  <c r="B137" i="1"/>
  <c r="B138" i="1"/>
  <c r="B140" i="1"/>
  <c r="B141" i="1"/>
  <c r="B142" i="1"/>
  <c r="B144" i="1"/>
  <c r="B145" i="1"/>
  <c r="B146" i="1"/>
  <c r="B147" i="1"/>
  <c r="B100" i="1"/>
  <c r="K91" i="1" a="1"/>
  <c r="K91" i="1" s="1"/>
  <c r="K82" i="1" a="1"/>
  <c r="K82" i="1" s="1"/>
  <c r="AA15" i="2"/>
  <c r="AA16" i="2"/>
  <c r="AA17" i="2"/>
  <c r="AA18" i="2"/>
  <c r="AA19" i="2"/>
  <c r="AA20" i="2"/>
  <c r="AA21" i="2"/>
  <c r="Z18" i="2"/>
  <c r="Z19" i="2"/>
  <c r="Z20" i="2"/>
  <c r="Z21" i="2"/>
  <c r="X15" i="2"/>
  <c r="X16" i="2"/>
  <c r="X17" i="2"/>
  <c r="X18" i="2"/>
  <c r="X19" i="2"/>
  <c r="X20" i="2"/>
  <c r="X21" i="2"/>
  <c r="W19" i="2"/>
  <c r="W20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  <c r="M19" i="2"/>
  <c r="M20" i="2"/>
  <c r="M21" i="2"/>
  <c r="M18" i="2"/>
  <c r="M15" i="2"/>
  <c r="M16" i="2"/>
  <c r="M17" i="2"/>
  <c r="M14" i="2"/>
  <c r="L21" i="2"/>
  <c r="L20" i="2"/>
  <c r="L19" i="2"/>
  <c r="L18" i="2"/>
  <c r="L17" i="2"/>
  <c r="L16" i="2"/>
  <c r="L15" i="2"/>
  <c r="L14" i="2"/>
  <c r="D3" i="2"/>
  <c r="D4" i="2"/>
  <c r="D5" i="2"/>
  <c r="D8" i="2"/>
  <c r="D9" i="2"/>
  <c r="D10" i="2"/>
  <c r="D11" i="2"/>
  <c r="D2" i="2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I14" i="1" s="1" a="1"/>
  <c r="I14" i="1" s="1"/>
  <c r="B15" i="1"/>
  <c r="I15" i="1" s="1" a="1"/>
  <c r="I15" i="1" s="1"/>
  <c r="B16" i="1"/>
  <c r="B17" i="1"/>
  <c r="D17" i="1" s="1"/>
  <c r="B18" i="1"/>
  <c r="D18" i="1" s="1"/>
  <c r="B19" i="1"/>
  <c r="D19" i="1" s="1"/>
  <c r="B20" i="1"/>
  <c r="I20" i="1" s="1" a="1"/>
  <c r="I20" i="1" s="1"/>
  <c r="B21" i="1"/>
  <c r="I21" i="1" s="1" a="1"/>
  <c r="I21" i="1" s="1"/>
  <c r="B22" i="1"/>
  <c r="L22" i="1" s="1" a="1"/>
  <c r="L22" i="1" s="1"/>
  <c r="B23" i="1"/>
  <c r="L23" i="1" s="1" a="1"/>
  <c r="L23" i="1" s="1"/>
  <c r="B24" i="1"/>
  <c r="L24" i="1" s="1" a="1"/>
  <c r="L24" i="1" s="1"/>
  <c r="B25" i="1"/>
  <c r="L25" i="1" s="1" a="1"/>
  <c r="L25" i="1" s="1"/>
  <c r="B26" i="1"/>
  <c r="B27" i="1"/>
  <c r="I27" i="1" s="1" a="1"/>
  <c r="I27" i="1" s="1"/>
  <c r="B28" i="1"/>
  <c r="I28" i="1" s="1" a="1"/>
  <c r="I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I38" i="1" s="1" a="1"/>
  <c r="I38" i="1" s="1"/>
  <c r="B39" i="1"/>
  <c r="I39" i="1" s="1" a="1"/>
  <c r="I39" i="1" s="1"/>
  <c r="B40" i="1"/>
  <c r="I40" i="1" s="1" a="1"/>
  <c r="I40" i="1" s="1"/>
  <c r="B41" i="1"/>
  <c r="I41" i="1" s="1" a="1"/>
  <c r="I41" i="1" s="1"/>
  <c r="B42" i="1"/>
  <c r="D42" i="1" s="1"/>
  <c r="B43" i="1"/>
  <c r="D43" i="1" s="1"/>
  <c r="B44" i="1"/>
  <c r="D44" i="1" s="1"/>
  <c r="B45" i="1"/>
  <c r="D45" i="1" s="1"/>
  <c r="B46" i="1"/>
  <c r="I46" i="1" s="1" a="1"/>
  <c r="I46" i="1" s="1"/>
  <c r="B47" i="1"/>
  <c r="I47" i="1" s="1" a="1"/>
  <c r="I47" i="1" s="1"/>
  <c r="B48" i="1"/>
  <c r="B49" i="1"/>
  <c r="D49" i="1" s="1"/>
  <c r="B50" i="1"/>
  <c r="D50" i="1" s="1"/>
  <c r="B51" i="1"/>
  <c r="D51" i="1" s="1"/>
  <c r="B52" i="1"/>
  <c r="H52" i="1" s="1" a="1"/>
  <c r="H52" i="1" s="1"/>
  <c r="B53" i="1"/>
  <c r="H53" i="1" s="1" a="1"/>
  <c r="H53" i="1" s="1"/>
  <c r="B54" i="1"/>
  <c r="B55" i="1"/>
  <c r="B56" i="1"/>
  <c r="B57" i="1"/>
  <c r="B58" i="1"/>
  <c r="B59" i="1"/>
  <c r="H59" i="1" s="1" a="1"/>
  <c r="H59" i="1" s="1"/>
  <c r="B60" i="1"/>
  <c r="H60" i="1" s="1" a="1"/>
  <c r="H60" i="1" s="1"/>
  <c r="B61" i="1"/>
  <c r="D61" i="1" s="1"/>
  <c r="B62" i="1"/>
  <c r="B63" i="1"/>
  <c r="B64" i="1"/>
  <c r="B65" i="1"/>
  <c r="H65" i="1" s="1" a="1"/>
  <c r="H65" i="1" s="1"/>
  <c r="B66" i="1"/>
  <c r="H66" i="1" s="1" a="1"/>
  <c r="H66" i="1" s="1"/>
  <c r="B67" i="1"/>
  <c r="B68" i="1"/>
  <c r="D68" i="1" s="1"/>
  <c r="B69" i="1"/>
  <c r="D69" i="1" s="1"/>
  <c r="B70" i="1"/>
  <c r="B71" i="1"/>
  <c r="B72" i="1"/>
  <c r="B73" i="1"/>
  <c r="H73" i="1" s="1" a="1"/>
  <c r="H73" i="1" s="1"/>
  <c r="B74" i="1"/>
  <c r="B75" i="1"/>
  <c r="B76" i="1"/>
  <c r="B77" i="1"/>
  <c r="B78" i="1"/>
  <c r="B79" i="1"/>
  <c r="B80" i="1"/>
  <c r="B81" i="1"/>
  <c r="H81" i="1" s="1" a="1"/>
  <c r="H81" i="1" s="1"/>
  <c r="B2" i="1"/>
  <c r="D2" i="1" s="1"/>
  <c r="O15" i="2"/>
  <c r="O16" i="2"/>
  <c r="O17" i="2"/>
  <c r="P17" i="2" s="1"/>
  <c r="O14" i="2"/>
  <c r="W18" i="2"/>
  <c r="M173" i="1" l="1"/>
  <c r="M149" i="1"/>
  <c r="M125" i="1"/>
  <c r="M101" i="1"/>
  <c r="M194" i="1"/>
  <c r="M170" i="1"/>
  <c r="M146" i="1"/>
  <c r="M122" i="1"/>
  <c r="M185" i="1"/>
  <c r="M161" i="1"/>
  <c r="M137" i="1"/>
  <c r="M113" i="1"/>
  <c r="M182" i="1"/>
  <c r="M158" i="1"/>
  <c r="M134" i="1"/>
  <c r="AE16" i="2"/>
  <c r="AB21" i="2"/>
  <c r="AE21" i="2"/>
  <c r="AG21" i="2"/>
  <c r="AG16" i="2"/>
  <c r="L125" i="1" s="1" a="1"/>
  <c r="L125" i="1" s="1"/>
  <c r="AG18" i="2"/>
  <c r="O121" i="1" s="1" a="1"/>
  <c r="O121" i="1" s="1"/>
  <c r="P121" i="1" s="1"/>
  <c r="L116" i="1" a="1"/>
  <c r="L116" i="1" s="1"/>
  <c r="O120" i="1" a="1"/>
  <c r="O120" i="1" s="1"/>
  <c r="P120" i="1" s="1"/>
  <c r="AG17" i="2"/>
  <c r="L182" i="1" s="1" a="1"/>
  <c r="L182" i="1" s="1"/>
  <c r="O138" i="1" a="1"/>
  <c r="O138" i="1" s="1"/>
  <c r="L124" i="1" a="1"/>
  <c r="L124" i="1" s="1"/>
  <c r="AG14" i="2"/>
  <c r="O100" i="1" s="1" a="1"/>
  <c r="O100" i="1" s="1"/>
  <c r="P100" i="1" s="1"/>
  <c r="L147" i="1" a="1"/>
  <c r="L147" i="1" s="1"/>
  <c r="L146" i="1" a="1"/>
  <c r="L146" i="1" s="1"/>
  <c r="AG19" i="2"/>
  <c r="L164" i="1" s="1" a="1"/>
  <c r="L164" i="1" s="1"/>
  <c r="L140" i="1" a="1"/>
  <c r="L140" i="1" s="1"/>
  <c r="L139" i="1" a="1"/>
  <c r="L139" i="1" s="1"/>
  <c r="O140" i="1" a="1"/>
  <c r="O140" i="1" s="1"/>
  <c r="P140" i="1" s="1"/>
  <c r="L132" i="1" a="1"/>
  <c r="L132" i="1" s="1"/>
  <c r="L131" i="1" a="1"/>
  <c r="L131" i="1" s="1"/>
  <c r="L189" i="1" a="1"/>
  <c r="L189" i="1" s="1"/>
  <c r="L195" i="1" a="1"/>
  <c r="L195" i="1" s="1"/>
  <c r="L184" i="1" a="1"/>
  <c r="L184" i="1" s="1"/>
  <c r="L190" i="1" a="1"/>
  <c r="L190" i="1" s="1"/>
  <c r="L191" i="1" a="1"/>
  <c r="L191" i="1" s="1"/>
  <c r="L185" i="1" a="1"/>
  <c r="L185" i="1" s="1"/>
  <c r="L192" i="1" a="1"/>
  <c r="L192" i="1" s="1"/>
  <c r="L188" i="1" a="1"/>
  <c r="L188" i="1" s="1"/>
  <c r="L186" i="1" a="1"/>
  <c r="L186" i="1" s="1"/>
  <c r="L194" i="1" a="1"/>
  <c r="L194" i="1" s="1"/>
  <c r="L187" i="1" a="1"/>
  <c r="L187" i="1" s="1"/>
  <c r="L193" i="1" a="1"/>
  <c r="L193" i="1" s="1"/>
  <c r="O118" i="1" a="1"/>
  <c r="O118" i="1" s="1"/>
  <c r="P118" i="1" s="1"/>
  <c r="L138" i="1" a="1"/>
  <c r="L138" i="1" s="1"/>
  <c r="L130" i="1" a="1"/>
  <c r="L130" i="1" s="1"/>
  <c r="L122" i="1" a="1"/>
  <c r="L122" i="1" s="1"/>
  <c r="L114" i="1" a="1"/>
  <c r="L114" i="1" s="1"/>
  <c r="L123" i="1" a="1"/>
  <c r="L123" i="1" s="1"/>
  <c r="O117" i="1" a="1"/>
  <c r="O117" i="1" s="1"/>
  <c r="L145" i="1" a="1"/>
  <c r="L145" i="1" s="1"/>
  <c r="L137" i="1" a="1"/>
  <c r="L137" i="1" s="1"/>
  <c r="L129" i="1" a="1"/>
  <c r="L129" i="1" s="1"/>
  <c r="L121" i="1" a="1"/>
  <c r="L121" i="1" s="1"/>
  <c r="L113" i="1" a="1"/>
  <c r="L113" i="1" s="1"/>
  <c r="L115" i="1" a="1"/>
  <c r="L115" i="1" s="1"/>
  <c r="O116" i="1" a="1"/>
  <c r="O116" i="1" s="1"/>
  <c r="P116" i="1" s="1"/>
  <c r="AG15" i="2"/>
  <c r="O151" i="1" s="1" a="1"/>
  <c r="O151" i="1" s="1"/>
  <c r="P151" i="1" s="1"/>
  <c r="L144" i="1" a="1"/>
  <c r="L144" i="1" s="1"/>
  <c r="L136" i="1" a="1"/>
  <c r="L136" i="1" s="1"/>
  <c r="L128" i="1" a="1"/>
  <c r="L128" i="1" s="1"/>
  <c r="L120" i="1" a="1"/>
  <c r="L120" i="1" s="1"/>
  <c r="L112" i="1" a="1"/>
  <c r="L112" i="1" s="1"/>
  <c r="L143" i="1" a="1"/>
  <c r="L143" i="1" s="1"/>
  <c r="L135" i="1" a="1"/>
  <c r="L135" i="1" s="1"/>
  <c r="L127" i="1" a="1"/>
  <c r="L127" i="1" s="1"/>
  <c r="L119" i="1" a="1"/>
  <c r="L119" i="1" s="1"/>
  <c r="O123" i="1" a="1"/>
  <c r="O123" i="1" s="1"/>
  <c r="P123" i="1" s="1"/>
  <c r="O113" i="1" a="1"/>
  <c r="O113" i="1" s="1"/>
  <c r="P113" i="1" s="1"/>
  <c r="L142" i="1" a="1"/>
  <c r="L142" i="1" s="1"/>
  <c r="L134" i="1" a="1"/>
  <c r="L134" i="1" s="1"/>
  <c r="L126" i="1" a="1"/>
  <c r="L126" i="1" s="1"/>
  <c r="L118" i="1" a="1"/>
  <c r="L118" i="1" s="1"/>
  <c r="O114" i="1" a="1"/>
  <c r="O114" i="1" s="1"/>
  <c r="O122" i="1" a="1"/>
  <c r="O122" i="1" s="1"/>
  <c r="P122" i="1" s="1"/>
  <c r="O112" i="1" a="1"/>
  <c r="O112" i="1" s="1"/>
  <c r="P112" i="1" s="1"/>
  <c r="L133" i="1" a="1"/>
  <c r="L133" i="1" s="1"/>
  <c r="O195" i="1" a="1"/>
  <c r="O195" i="1" s="1"/>
  <c r="P195" i="1" s="1"/>
  <c r="L62" i="1" a="1"/>
  <c r="L62" i="1" s="1"/>
  <c r="L75" i="1" a="1"/>
  <c r="L75" i="1" s="1"/>
  <c r="AF14" i="2"/>
  <c r="L74" i="1" a="1"/>
  <c r="L74" i="1" s="1"/>
  <c r="L57" i="1" a="1"/>
  <c r="L57" i="1" s="1"/>
  <c r="L56" i="1" a="1"/>
  <c r="L56" i="1" s="1"/>
  <c r="AC18" i="2"/>
  <c r="L55" i="1" s="1" a="1"/>
  <c r="L55" i="1" s="1"/>
  <c r="AF19" i="2"/>
  <c r="L72" i="1" s="1" a="1"/>
  <c r="L72" i="1" s="1"/>
  <c r="L63" i="1" a="1"/>
  <c r="L63" i="1" s="1"/>
  <c r="AC17" i="2"/>
  <c r="AF17" i="2"/>
  <c r="L77" i="1" s="1" a="1"/>
  <c r="L77" i="1" s="1"/>
  <c r="L71" i="1" a="1"/>
  <c r="L71" i="1" s="1"/>
  <c r="L64" i="1" a="1"/>
  <c r="L64" i="1" s="1"/>
  <c r="L70" i="1" a="1"/>
  <c r="L70" i="1" s="1"/>
  <c r="L80" i="1" a="1"/>
  <c r="L80" i="1" s="1"/>
  <c r="L48" i="1" a="1"/>
  <c r="L48" i="1" s="1"/>
  <c r="L16" i="1" a="1"/>
  <c r="L16" i="1" s="1"/>
  <c r="L78" i="1" a="1"/>
  <c r="L78" i="1" s="1"/>
  <c r="L58" i="1" a="1"/>
  <c r="L58" i="1" s="1"/>
  <c r="O147" i="1" a="1"/>
  <c r="O147" i="1" s="1"/>
  <c r="P147" i="1" s="1"/>
  <c r="O146" i="1" a="1"/>
  <c r="O146" i="1" s="1"/>
  <c r="O136" i="1" a="1"/>
  <c r="O136" i="1" s="1"/>
  <c r="O145" i="1" a="1"/>
  <c r="O145" i="1" s="1"/>
  <c r="P145" i="1" s="1"/>
  <c r="L79" i="1" a="1"/>
  <c r="L79" i="1" s="1"/>
  <c r="O144" i="1" a="1"/>
  <c r="O144" i="1" s="1"/>
  <c r="O137" i="1" a="1"/>
  <c r="O137" i="1" s="1"/>
  <c r="L67" i="1" a="1"/>
  <c r="L67" i="1" s="1"/>
  <c r="O139" i="1" a="1"/>
  <c r="O139" i="1" s="1"/>
  <c r="P139" i="1" s="1"/>
  <c r="O149" i="1" a="1"/>
  <c r="O149" i="1" s="1"/>
  <c r="P149" i="1" s="1"/>
  <c r="O134" i="1" a="1"/>
  <c r="O134" i="1" s="1"/>
  <c r="O124" i="1" a="1"/>
  <c r="O124" i="1" s="1"/>
  <c r="O133" i="1" a="1"/>
  <c r="O133" i="1" s="1"/>
  <c r="P133" i="1" s="1"/>
  <c r="O129" i="1" a="1"/>
  <c r="O129" i="1" s="1"/>
  <c r="P129" i="1" s="1"/>
  <c r="O187" i="1" a="1"/>
  <c r="O187" i="1" s="1"/>
  <c r="P187" i="1" s="1"/>
  <c r="O157" i="1" a="1"/>
  <c r="O157" i="1" s="1"/>
  <c r="P157" i="1" s="1"/>
  <c r="O186" i="1" a="1"/>
  <c r="O186" i="1" s="1"/>
  <c r="P186" i="1" s="1"/>
  <c r="O132" i="1" a="1"/>
  <c r="O132" i="1" s="1"/>
  <c r="O128" i="1" a="1"/>
  <c r="O128" i="1" s="1"/>
  <c r="P128" i="1" s="1"/>
  <c r="O190" i="1" a="1"/>
  <c r="O190" i="1" s="1"/>
  <c r="P190" i="1" s="1"/>
  <c r="O185" i="1" a="1"/>
  <c r="O185" i="1" s="1"/>
  <c r="P185" i="1" s="1"/>
  <c r="L26" i="1" a="1"/>
  <c r="L26" i="1" s="1"/>
  <c r="O143" i="1" a="1"/>
  <c r="O143" i="1" s="1"/>
  <c r="P143" i="1" s="1"/>
  <c r="O127" i="1" a="1"/>
  <c r="O127" i="1" s="1"/>
  <c r="P127" i="1" s="1"/>
  <c r="O181" i="1" a="1"/>
  <c r="O181" i="1" s="1"/>
  <c r="P181" i="1" s="1"/>
  <c r="O192" i="1" a="1"/>
  <c r="O192" i="1" s="1"/>
  <c r="P192" i="1" s="1"/>
  <c r="O194" i="1" a="1"/>
  <c r="O194" i="1" s="1"/>
  <c r="P194" i="1" s="1"/>
  <c r="O152" i="1" a="1"/>
  <c r="O152" i="1" s="1"/>
  <c r="P152" i="1" s="1"/>
  <c r="O142" i="1" a="1"/>
  <c r="O142" i="1" s="1"/>
  <c r="P142" i="1" s="1"/>
  <c r="O188" i="1" a="1"/>
  <c r="O188" i="1" s="1"/>
  <c r="P188" i="1" s="1"/>
  <c r="O126" i="1" a="1"/>
  <c r="O126" i="1" s="1"/>
  <c r="O119" i="1" a="1"/>
  <c r="O119" i="1" s="1"/>
  <c r="P119" i="1" s="1"/>
  <c r="O141" i="1" a="1"/>
  <c r="O141" i="1" s="1"/>
  <c r="P141" i="1" s="1"/>
  <c r="O131" i="1" a="1"/>
  <c r="O131" i="1" s="1"/>
  <c r="P131" i="1" s="1"/>
  <c r="O193" i="1" a="1"/>
  <c r="O193" i="1" s="1"/>
  <c r="O189" i="1" a="1"/>
  <c r="O189" i="1" s="1"/>
  <c r="P189" i="1" s="1"/>
  <c r="O135" i="1" a="1"/>
  <c r="O135" i="1" s="1"/>
  <c r="O125" i="1" a="1"/>
  <c r="O125" i="1" s="1"/>
  <c r="O184" i="1" a="1"/>
  <c r="O184" i="1" s="1"/>
  <c r="P184" i="1" s="1"/>
  <c r="O191" i="1" a="1"/>
  <c r="O191" i="1" s="1"/>
  <c r="P191" i="1" s="1"/>
  <c r="D185" i="1"/>
  <c r="O153" i="1" a="1"/>
  <c r="O153" i="1" s="1"/>
  <c r="P153" i="1" s="1"/>
  <c r="D178" i="1"/>
  <c r="D171" i="1"/>
  <c r="D187" i="1"/>
  <c r="D179" i="1"/>
  <c r="D191" i="1"/>
  <c r="O115" i="1" a="1"/>
  <c r="O115" i="1" s="1"/>
  <c r="D119" i="1"/>
  <c r="D182" i="1"/>
  <c r="D186" i="1"/>
  <c r="D169" i="1"/>
  <c r="D177" i="1"/>
  <c r="D168" i="1"/>
  <c r="D184" i="1"/>
  <c r="D180" i="1"/>
  <c r="D172" i="1"/>
  <c r="I49" i="1" a="1"/>
  <c r="I49" i="1" s="1"/>
  <c r="I36" i="1" a="1"/>
  <c r="I36" i="1" s="1"/>
  <c r="I30" i="1" a="1"/>
  <c r="I30" i="1" s="1"/>
  <c r="I25" i="1" a="1"/>
  <c r="I25" i="1" s="1"/>
  <c r="I19" i="1" a="1"/>
  <c r="I19" i="1" s="1"/>
  <c r="I9" i="1" a="1"/>
  <c r="I9" i="1" s="1"/>
  <c r="H75" i="1" a="1"/>
  <c r="H75" i="1" s="1"/>
  <c r="H69" i="1" a="1"/>
  <c r="H69" i="1" s="1"/>
  <c r="H62" i="1" a="1"/>
  <c r="H62" i="1" s="1"/>
  <c r="H56" i="1" a="1"/>
  <c r="H56" i="1" s="1"/>
  <c r="I48" i="1" a="1"/>
  <c r="I48" i="1" s="1"/>
  <c r="I42" i="1" a="1"/>
  <c r="I42" i="1" s="1"/>
  <c r="I35" i="1" a="1"/>
  <c r="I35" i="1" s="1"/>
  <c r="I24" i="1" a="1"/>
  <c r="I24" i="1" s="1"/>
  <c r="I8" i="1" a="1"/>
  <c r="I8" i="1" s="1"/>
  <c r="H74" i="1" a="1"/>
  <c r="H74" i="1" s="1"/>
  <c r="H68" i="1" a="1"/>
  <c r="H68" i="1" s="1"/>
  <c r="H55" i="1" a="1"/>
  <c r="H55" i="1" s="1"/>
  <c r="I29" i="1" a="1"/>
  <c r="I29" i="1" s="1"/>
  <c r="I23" i="1" a="1"/>
  <c r="I23" i="1" s="1"/>
  <c r="I18" i="1" a="1"/>
  <c r="I18" i="1" s="1"/>
  <c r="I7" i="1" a="1"/>
  <c r="I7" i="1" s="1"/>
  <c r="H80" i="1" a="1"/>
  <c r="H80" i="1" s="1"/>
  <c r="H67" i="1" a="1"/>
  <c r="H67" i="1" s="1"/>
  <c r="H61" i="1" a="1"/>
  <c r="H61" i="1" s="1"/>
  <c r="H54" i="1" a="1"/>
  <c r="H54" i="1" s="1"/>
  <c r="I34" i="1" a="1"/>
  <c r="I34" i="1" s="1"/>
  <c r="I6" i="1" a="1"/>
  <c r="I6" i="1" s="1"/>
  <c r="H79" i="1" a="1"/>
  <c r="H79" i="1" s="1"/>
  <c r="I33" i="1" a="1"/>
  <c r="I33" i="1" s="1"/>
  <c r="I22" i="1" a="1"/>
  <c r="I22" i="1" s="1"/>
  <c r="I17" i="1" a="1"/>
  <c r="I17" i="1" s="1"/>
  <c r="H78" i="1" a="1"/>
  <c r="H78" i="1" s="1"/>
  <c r="H72" i="1" a="1"/>
  <c r="H72" i="1" s="1"/>
  <c r="I45" i="1" a="1"/>
  <c r="I45" i="1" s="1"/>
  <c r="I32" i="1" a="1"/>
  <c r="I32" i="1" s="1"/>
  <c r="I16" i="1" a="1"/>
  <c r="I16" i="1" s="1"/>
  <c r="H71" i="1" a="1"/>
  <c r="H71" i="1" s="1"/>
  <c r="H58" i="1" a="1"/>
  <c r="H58" i="1" s="1"/>
  <c r="I44" i="1" a="1"/>
  <c r="I44" i="1" s="1"/>
  <c r="I31" i="1" a="1"/>
  <c r="I31" i="1" s="1"/>
  <c r="I26" i="1" a="1"/>
  <c r="I26" i="1" s="1"/>
  <c r="I4" i="1" a="1"/>
  <c r="I4" i="1" s="1"/>
  <c r="H77" i="1" a="1"/>
  <c r="H77" i="1" s="1"/>
  <c r="H70" i="1" a="1"/>
  <c r="H70" i="1" s="1"/>
  <c r="H64" i="1" a="1"/>
  <c r="H64" i="1" s="1"/>
  <c r="H51" i="1" a="1"/>
  <c r="H51" i="1" s="1"/>
  <c r="I2" i="1" a="1"/>
  <c r="I2" i="1" s="1"/>
  <c r="I43" i="1" a="1"/>
  <c r="I43" i="1" s="1"/>
  <c r="I37" i="1" a="1"/>
  <c r="I37" i="1" s="1"/>
  <c r="I3" i="1" a="1"/>
  <c r="I3" i="1" s="1"/>
  <c r="H76" i="1" a="1"/>
  <c r="H76" i="1" s="1"/>
  <c r="H63" i="1" a="1"/>
  <c r="H63" i="1" s="1"/>
  <c r="H57" i="1" a="1"/>
  <c r="H57" i="1" s="1"/>
  <c r="H50" i="1" a="1"/>
  <c r="H50" i="1" s="1"/>
  <c r="D161" i="1"/>
  <c r="D40" i="1"/>
  <c r="D153" i="1"/>
  <c r="D24" i="1"/>
  <c r="D145" i="1"/>
  <c r="D16" i="1"/>
  <c r="D135" i="1"/>
  <c r="D48" i="1"/>
  <c r="D125" i="1"/>
  <c r="D116" i="1"/>
  <c r="D74" i="1"/>
  <c r="D66" i="1"/>
  <c r="D58" i="1"/>
  <c r="D26" i="1"/>
  <c r="D163" i="1"/>
  <c r="D155" i="1"/>
  <c r="D147" i="1"/>
  <c r="D137" i="1"/>
  <c r="D128" i="1"/>
  <c r="D118" i="1"/>
  <c r="D109" i="1"/>
  <c r="D81" i="1"/>
  <c r="D73" i="1"/>
  <c r="D65" i="1"/>
  <c r="D57" i="1"/>
  <c r="D41" i="1"/>
  <c r="D25" i="1"/>
  <c r="D162" i="1"/>
  <c r="D154" i="1"/>
  <c r="D146" i="1"/>
  <c r="D136" i="1"/>
  <c r="D126" i="1"/>
  <c r="D117" i="1"/>
  <c r="D108" i="1"/>
  <c r="D106" i="1"/>
  <c r="D80" i="1"/>
  <c r="D72" i="1"/>
  <c r="D64" i="1"/>
  <c r="D79" i="1"/>
  <c r="D71" i="1"/>
  <c r="D63" i="1"/>
  <c r="D55" i="1"/>
  <c r="D47" i="1"/>
  <c r="D39" i="1"/>
  <c r="D23" i="1"/>
  <c r="D15" i="1"/>
  <c r="D160" i="1"/>
  <c r="D152" i="1"/>
  <c r="D144" i="1"/>
  <c r="D134" i="1"/>
  <c r="D124" i="1"/>
  <c r="D114" i="1"/>
  <c r="D105" i="1"/>
  <c r="D56" i="1"/>
  <c r="D78" i="1"/>
  <c r="D70" i="1"/>
  <c r="D62" i="1"/>
  <c r="D54" i="1"/>
  <c r="D46" i="1"/>
  <c r="D38" i="1"/>
  <c r="D22" i="1"/>
  <c r="D14" i="1"/>
  <c r="D167" i="1"/>
  <c r="D159" i="1"/>
  <c r="D151" i="1"/>
  <c r="D142" i="1"/>
  <c r="D133" i="1"/>
  <c r="D123" i="1"/>
  <c r="D113" i="1"/>
  <c r="D104" i="1"/>
  <c r="D77" i="1"/>
  <c r="D53" i="1"/>
  <c r="D21" i="1"/>
  <c r="D166" i="1"/>
  <c r="D158" i="1"/>
  <c r="D150" i="1"/>
  <c r="D141" i="1"/>
  <c r="D132" i="1"/>
  <c r="D122" i="1"/>
  <c r="D112" i="1"/>
  <c r="D102" i="1"/>
  <c r="D76" i="1"/>
  <c r="D60" i="1"/>
  <c r="D52" i="1"/>
  <c r="D28" i="1"/>
  <c r="D20" i="1"/>
  <c r="D165" i="1"/>
  <c r="D157" i="1"/>
  <c r="D149" i="1"/>
  <c r="D140" i="1"/>
  <c r="D130" i="1"/>
  <c r="D121" i="1"/>
  <c r="D111" i="1"/>
  <c r="D101" i="1"/>
  <c r="D75" i="1"/>
  <c r="D67" i="1"/>
  <c r="D59" i="1"/>
  <c r="D27" i="1"/>
  <c r="D164" i="1"/>
  <c r="D156" i="1"/>
  <c r="D148" i="1"/>
  <c r="D138" i="1"/>
  <c r="D129" i="1"/>
  <c r="D120" i="1"/>
  <c r="D110" i="1"/>
  <c r="D100" i="1"/>
  <c r="P138" i="1"/>
  <c r="P117" i="1"/>
  <c r="P114" i="1"/>
  <c r="L17" i="1" a="1"/>
  <c r="L17" i="1" s="1"/>
  <c r="L32" i="1" a="1"/>
  <c r="L32" i="1" s="1"/>
  <c r="L31" i="1" a="1"/>
  <c r="L31" i="1" s="1"/>
  <c r="L30" i="1" a="1"/>
  <c r="L30" i="1" s="1"/>
  <c r="L49" i="1" a="1"/>
  <c r="L49" i="1" s="1"/>
  <c r="Z17" i="2"/>
  <c r="L44" i="1" a="1"/>
  <c r="L44" i="1" s="1"/>
  <c r="L68" i="1" a="1"/>
  <c r="L68" i="1" s="1"/>
  <c r="L51" i="1" a="1"/>
  <c r="L51" i="1" s="1"/>
  <c r="L50" i="1" a="1"/>
  <c r="L50" i="1" s="1"/>
  <c r="L6" i="1" a="1"/>
  <c r="L6" i="1" s="1"/>
  <c r="L19" i="1" a="1"/>
  <c r="L19" i="1" s="1"/>
  <c r="L18" i="1" a="1"/>
  <c r="L18" i="1" s="1"/>
  <c r="L69" i="1" a="1"/>
  <c r="L69" i="1" s="1"/>
  <c r="L61" i="1" a="1"/>
  <c r="L61" i="1" s="1"/>
  <c r="L29" i="1" a="1"/>
  <c r="L29" i="1" s="1"/>
  <c r="L59" i="1" a="1"/>
  <c r="L59" i="1" s="1"/>
  <c r="L53" i="1" a="1"/>
  <c r="L53" i="1" s="1"/>
  <c r="L27" i="1" a="1"/>
  <c r="L27" i="1" s="1"/>
  <c r="L21" i="1" a="1"/>
  <c r="L21" i="1" s="1"/>
  <c r="L73" i="1" a="1"/>
  <c r="L73" i="1" s="1"/>
  <c r="L66" i="1" a="1"/>
  <c r="L66" i="1" s="1"/>
  <c r="L60" i="1" a="1"/>
  <c r="L60" i="1" s="1"/>
  <c r="L47" i="1" a="1"/>
  <c r="L47" i="1" s="1"/>
  <c r="L41" i="1" a="1"/>
  <c r="L41" i="1" s="1"/>
  <c r="L28" i="1" a="1"/>
  <c r="L28" i="1" s="1"/>
  <c r="L15" i="1" a="1"/>
  <c r="L15" i="1" s="1"/>
  <c r="L9" i="1" a="1"/>
  <c r="L9" i="1" s="1"/>
  <c r="L46" i="1" a="1"/>
  <c r="L46" i="1" s="1"/>
  <c r="L8" i="1" a="1"/>
  <c r="L8" i="1" s="1"/>
  <c r="L65" i="1" a="1"/>
  <c r="L65" i="1" s="1"/>
  <c r="L52" i="1" a="1"/>
  <c r="L52" i="1" s="1"/>
  <c r="L39" i="1" a="1"/>
  <c r="L39" i="1" s="1"/>
  <c r="L33" i="1" a="1"/>
  <c r="L33" i="1" s="1"/>
  <c r="L20" i="1" a="1"/>
  <c r="L20" i="1" s="1"/>
  <c r="L7" i="1" a="1"/>
  <c r="L7" i="1" s="1"/>
  <c r="L14" i="1" a="1"/>
  <c r="L14" i="1" s="1"/>
  <c r="L38" i="1" a="1"/>
  <c r="L38" i="1" s="1"/>
  <c r="L40" i="1" a="1"/>
  <c r="L40" i="1" s="1"/>
  <c r="L81" i="1" a="1"/>
  <c r="L81" i="1" s="1"/>
  <c r="P14" i="2"/>
  <c r="W14" i="2" s="1"/>
  <c r="W17" i="2"/>
  <c r="I12" i="1" s="1" a="1"/>
  <c r="I12" i="1" s="1"/>
  <c r="L12" i="1" a="1"/>
  <c r="L12" i="1" s="1"/>
  <c r="P16" i="2"/>
  <c r="Z16" i="2" s="1"/>
  <c r="P15" i="2"/>
  <c r="W15" i="2" s="1"/>
  <c r="I5" i="1" s="1" a="1"/>
  <c r="I5" i="1" s="1"/>
  <c r="L168" i="1" l="1" a="1"/>
  <c r="L168" i="1" s="1"/>
  <c r="O163" i="1" a="1"/>
  <c r="O163" i="1" s="1"/>
  <c r="P163" i="1" s="1"/>
  <c r="L166" i="1" a="1"/>
  <c r="L166" i="1" s="1"/>
  <c r="O168" i="1" a="1"/>
  <c r="O168" i="1" s="1"/>
  <c r="P168" i="1" s="1"/>
  <c r="O164" i="1" a="1"/>
  <c r="O164" i="1" s="1"/>
  <c r="P164" i="1" s="1"/>
  <c r="L165" i="1" a="1"/>
  <c r="L165" i="1" s="1"/>
  <c r="O130" i="1" a="1"/>
  <c r="O130" i="1" s="1"/>
  <c r="P130" i="1" s="1"/>
  <c r="O171" i="1" a="1"/>
  <c r="O171" i="1" s="1"/>
  <c r="P171" i="1" s="1"/>
  <c r="L117" i="1" a="1"/>
  <c r="L117" i="1" s="1"/>
  <c r="L54" i="1" a="1"/>
  <c r="L54" i="1" s="1"/>
  <c r="L76" i="1" a="1"/>
  <c r="L76" i="1" s="1"/>
  <c r="O174" i="1" a="1"/>
  <c r="O174" i="1" s="1"/>
  <c r="P174" i="1" s="1"/>
  <c r="O183" i="1" a="1"/>
  <c r="O183" i="1" s="1"/>
  <c r="P183" i="1" s="1"/>
  <c r="O179" i="1" a="1"/>
  <c r="O179" i="1" s="1"/>
  <c r="P179" i="1" s="1"/>
  <c r="O172" i="1" a="1"/>
  <c r="O172" i="1" s="1"/>
  <c r="P172" i="1" s="1"/>
  <c r="O177" i="1" a="1"/>
  <c r="O177" i="1" s="1"/>
  <c r="P177" i="1" s="1"/>
  <c r="O175" i="1" a="1"/>
  <c r="O175" i="1" s="1"/>
  <c r="P175" i="1" s="1"/>
  <c r="O182" i="1" a="1"/>
  <c r="O182" i="1" s="1"/>
  <c r="P182" i="1" s="1"/>
  <c r="O178" i="1" a="1"/>
  <c r="O178" i="1" s="1"/>
  <c r="P178" i="1" s="1"/>
  <c r="L177" i="1" a="1"/>
  <c r="L177" i="1" s="1"/>
  <c r="L179" i="1" a="1"/>
  <c r="L179" i="1" s="1"/>
  <c r="L102" i="1" a="1"/>
  <c r="L102" i="1" s="1"/>
  <c r="L172" i="1" a="1"/>
  <c r="L172" i="1" s="1"/>
  <c r="L173" i="1" a="1"/>
  <c r="L173" i="1" s="1"/>
  <c r="L181" i="1" a="1"/>
  <c r="L181" i="1" s="1"/>
  <c r="O176" i="1" a="1"/>
  <c r="O176" i="1" s="1"/>
  <c r="P176" i="1" s="1"/>
  <c r="L178" i="1" a="1"/>
  <c r="L178" i="1" s="1"/>
  <c r="L180" i="1" a="1"/>
  <c r="L180" i="1" s="1"/>
  <c r="L176" i="1" a="1"/>
  <c r="L176" i="1" s="1"/>
  <c r="O173" i="1" a="1"/>
  <c r="O173" i="1" s="1"/>
  <c r="P173" i="1" s="1"/>
  <c r="L174" i="1" a="1"/>
  <c r="L174" i="1" s="1"/>
  <c r="L175" i="1" a="1"/>
  <c r="L175" i="1" s="1"/>
  <c r="L169" i="1" a="1"/>
  <c r="L169" i="1" s="1"/>
  <c r="O160" i="1" a="1"/>
  <c r="O160" i="1" s="1"/>
  <c r="P160" i="1" s="1"/>
  <c r="O166" i="1" a="1"/>
  <c r="O166" i="1" s="1"/>
  <c r="P166" i="1" s="1"/>
  <c r="L170" i="1" a="1"/>
  <c r="L170" i="1" s="1"/>
  <c r="O170" i="1" a="1"/>
  <c r="O170" i="1" s="1"/>
  <c r="P170" i="1" s="1"/>
  <c r="L167" i="1" a="1"/>
  <c r="L167" i="1" s="1"/>
  <c r="L162" i="1" a="1"/>
  <c r="L162" i="1" s="1"/>
  <c r="O161" i="1" a="1"/>
  <c r="O161" i="1" s="1"/>
  <c r="P161" i="1" s="1"/>
  <c r="O162" i="1" a="1"/>
  <c r="O162" i="1" s="1"/>
  <c r="P162" i="1" s="1"/>
  <c r="O165" i="1" a="1"/>
  <c r="O165" i="1" s="1"/>
  <c r="P165" i="1" s="1"/>
  <c r="O169" i="1" a="1"/>
  <c r="O169" i="1" s="1"/>
  <c r="P169" i="1" s="1"/>
  <c r="L163" i="1" a="1"/>
  <c r="L163" i="1" s="1"/>
  <c r="L171" i="1" a="1"/>
  <c r="L171" i="1" s="1"/>
  <c r="L160" i="1" a="1"/>
  <c r="L160" i="1" s="1"/>
  <c r="L161" i="1" a="1"/>
  <c r="L161" i="1" s="1"/>
  <c r="O167" i="1" a="1"/>
  <c r="O167" i="1" s="1"/>
  <c r="P167" i="1" s="1"/>
  <c r="L110" i="1" a="1"/>
  <c r="L110" i="1" s="1"/>
  <c r="O102" i="1" a="1"/>
  <c r="O102" i="1" s="1"/>
  <c r="P102" i="1" s="1"/>
  <c r="O101" i="1" a="1"/>
  <c r="O101" i="1" s="1"/>
  <c r="P101" i="1" s="1"/>
  <c r="L183" i="1" a="1"/>
  <c r="L183" i="1" s="1"/>
  <c r="O108" i="1" a="1"/>
  <c r="O108" i="1" s="1"/>
  <c r="P108" i="1" s="1"/>
  <c r="L106" i="1" a="1"/>
  <c r="L106" i="1" s="1"/>
  <c r="O110" i="1" a="1"/>
  <c r="O110" i="1" s="1"/>
  <c r="P110" i="1" s="1"/>
  <c r="L100" i="1" a="1"/>
  <c r="L100" i="1" s="1"/>
  <c r="O105" i="1" a="1"/>
  <c r="O105" i="1" s="1"/>
  <c r="P105" i="1" s="1"/>
  <c r="O103" i="1" a="1"/>
  <c r="O103" i="1" s="1"/>
  <c r="P103" i="1" s="1"/>
  <c r="L103" i="1" a="1"/>
  <c r="L103" i="1" s="1"/>
  <c r="O106" i="1" a="1"/>
  <c r="O106" i="1" s="1"/>
  <c r="P106" i="1" s="1"/>
  <c r="L105" i="1" a="1"/>
  <c r="L105" i="1" s="1"/>
  <c r="O180" i="1" a="1"/>
  <c r="O180" i="1" s="1"/>
  <c r="P180" i="1" s="1"/>
  <c r="O104" i="1" a="1"/>
  <c r="O104" i="1" s="1"/>
  <c r="P104" i="1" s="1"/>
  <c r="L111" i="1" a="1"/>
  <c r="L111" i="1" s="1"/>
  <c r="L104" i="1" a="1"/>
  <c r="L104" i="1" s="1"/>
  <c r="O107" i="1" a="1"/>
  <c r="O107" i="1" s="1"/>
  <c r="P107" i="1" s="1"/>
  <c r="L109" i="1" a="1"/>
  <c r="L109" i="1" s="1"/>
  <c r="O109" i="1" a="1"/>
  <c r="O109" i="1" s="1"/>
  <c r="P109" i="1" s="1"/>
  <c r="O158" i="1" a="1"/>
  <c r="O158" i="1" s="1"/>
  <c r="P158" i="1" s="1"/>
  <c r="O148" i="1" a="1"/>
  <c r="O148" i="1" s="1"/>
  <c r="P148" i="1" s="1"/>
  <c r="O150" i="1" a="1"/>
  <c r="O150" i="1" s="1"/>
  <c r="P150" i="1" s="1"/>
  <c r="O159" i="1" a="1"/>
  <c r="O159" i="1" s="1"/>
  <c r="P159" i="1" s="1"/>
  <c r="L101" i="1" a="1"/>
  <c r="L101" i="1" s="1"/>
  <c r="L107" i="1" a="1"/>
  <c r="L107" i="1" s="1"/>
  <c r="L108" i="1" a="1"/>
  <c r="L108" i="1" s="1"/>
  <c r="O155" i="1" a="1"/>
  <c r="O155" i="1" s="1"/>
  <c r="P155" i="1" s="1"/>
  <c r="O156" i="1" a="1"/>
  <c r="O156" i="1" s="1"/>
  <c r="P156" i="1" s="1"/>
  <c r="O154" i="1" a="1"/>
  <c r="O154" i="1" s="1"/>
  <c r="P154" i="1" s="1"/>
  <c r="O111" i="1" a="1"/>
  <c r="O111" i="1" s="1"/>
  <c r="P111" i="1" s="1"/>
  <c r="L149" i="1" a="1"/>
  <c r="L149" i="1" s="1"/>
  <c r="L150" i="1" a="1"/>
  <c r="L150" i="1" s="1"/>
  <c r="L151" i="1" a="1"/>
  <c r="L151" i="1" s="1"/>
  <c r="L157" i="1" a="1"/>
  <c r="L157" i="1" s="1"/>
  <c r="L152" i="1" a="1"/>
  <c r="L152" i="1" s="1"/>
  <c r="L158" i="1" a="1"/>
  <c r="L158" i="1" s="1"/>
  <c r="L159" i="1" a="1"/>
  <c r="L159" i="1" s="1"/>
  <c r="L153" i="1" a="1"/>
  <c r="L153" i="1" s="1"/>
  <c r="L156" i="1" a="1"/>
  <c r="L156" i="1" s="1"/>
  <c r="L154" i="1" a="1"/>
  <c r="L154" i="1" s="1"/>
  <c r="L155" i="1" a="1"/>
  <c r="L155" i="1" s="1"/>
  <c r="L148" i="1" a="1"/>
  <c r="L148" i="1" s="1"/>
  <c r="P146" i="1"/>
  <c r="P137" i="1"/>
  <c r="P193" i="1"/>
  <c r="P136" i="1"/>
  <c r="P134" i="1"/>
  <c r="P144" i="1"/>
  <c r="P126" i="1"/>
  <c r="P124" i="1"/>
  <c r="P125" i="1"/>
  <c r="P132" i="1"/>
  <c r="P135" i="1"/>
  <c r="I13" i="1" a="1"/>
  <c r="I13" i="1" s="1"/>
  <c r="P115" i="1"/>
  <c r="L45" i="1" a="1"/>
  <c r="L45" i="1" s="1"/>
  <c r="L13" i="1" a="1"/>
  <c r="L13" i="1" s="1"/>
  <c r="W16" i="2"/>
  <c r="Z15" i="2"/>
  <c r="I10" i="1" l="1" a="1"/>
  <c r="I10" i="1" s="1"/>
  <c r="I11" i="1" a="1"/>
  <c r="I11" i="1" s="1"/>
  <c r="L42" i="1" a="1"/>
  <c r="L42" i="1" s="1"/>
  <c r="L43" i="1" a="1"/>
  <c r="L43" i="1" s="1"/>
  <c r="L4" i="1" a="1"/>
  <c r="L4" i="1" s="1"/>
  <c r="L5" i="1" a="1"/>
  <c r="L5" i="1" s="1"/>
  <c r="L36" i="1" a="1"/>
  <c r="L36" i="1" s="1"/>
  <c r="L37" i="1" a="1"/>
  <c r="L37" i="1" s="1"/>
  <c r="L11" i="1" a="1"/>
  <c r="L11" i="1" s="1"/>
  <c r="L10" i="1" a="1"/>
  <c r="L10" i="1" s="1"/>
  <c r="L2" i="1" a="1"/>
  <c r="L2" i="1" s="1"/>
  <c r="L3" i="1" a="1"/>
  <c r="L3" i="1" s="1"/>
  <c r="L34" i="1" a="1"/>
  <c r="L34" i="1" s="1"/>
  <c r="L35" i="1" a="1"/>
  <c r="L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4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5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6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7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8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9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0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Q18" authorId="4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5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<sst xmlns="http://schemas.openxmlformats.org/spreadsheetml/2006/main" count="765" uniqueCount="74">
  <si>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</si>
  <si>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</si>
  <si>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</si>
  <si>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</si>
  <si>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</si>
  <si>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</si>
  <si>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</si>
  <si>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</si>
  <si>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</si>
  <si>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</si>
  <si>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</si>
  <si>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</si>
  <si>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</si>
  <si>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</si>
  <si>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</si>
  <si>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</si>
  <si>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</si>
  <si>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</si>
  <si>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</si>
  <si>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</si>
  <si>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</si>
  <si>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</si>
  <si>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</si>
  <si>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</si>
  <si>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</si>
  <si>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</si>
  <si>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</si>
  <si>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</si>
  <si>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</si>
  <si>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SH-HP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</si>
  <si>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</si>
  <si>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</si>
  <si>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</si>
  <si>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</si>
  <si>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</si>
  <si>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</si>
  <si>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</si>
  <si>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</si>
  <si>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</si>
  <si>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</si>
  <si>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</si>
  <si>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</si>
  <si>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</si>
  <si>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</si>
  <si>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</si>
  <si>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</si>
  <si>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</si>
  <si>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</si>
  <si>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</si>
  <si>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</si>
  <si>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</si>
  <si>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</si>
  <si>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</si>
  <si>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Embodied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</si>
  <si>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</si>
  <si>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</si>
  <si>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</si>
  <si>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</si>
  <si>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</si>
  <si>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</si>
  <si>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</si>
  <si>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</si>
  <si>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Hyd_Embodied_HP</t>
  </si>
  <si>
    <t>Hyd_Embodied_Tank</t>
  </si>
  <si>
    <t>Hyd_Embodied_FC</t>
  </si>
  <si>
    <t>Hyd_Embodied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</si>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</sst>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R195"/>
  <sheetViews>
    <sheetView topLeftCell="A125" workbookViewId="0">
      <selection activeCell="G136" sqref="G136"/>
    </sheetView>
  </sheetViews>
  <sheetFormatPr defaultRowHeight="14.4" x14ac:dyDescent="0.3"/>
  <cols>
    <col min="1" max="1" width="16" bestFit="1" customWidth="1"/>
    <col min="2" max="4" width="16" customWidth="1"/>
    <col min="8" max="8" width="11.6640625" bestFit="1" customWidth="1"/>
    <col min="9" max="9" width="11.6640625" customWidth="1"/>
    <col min="10" max="10" width="16" bestFit="1" customWidth="1"/>
    <col min="12" max="13" width="9.5546875" bestFit="1" customWidth="1"/>
    <col min="14" max="14" width="9.6640625" bestFit="1" customWidth="1"/>
    <col min="16" max="16" width="9.5546875" bestFit="1" customWidth="1"/>
    <col min="18" max="18" width="52" customWidth="1"/>
  </cols>
  <sheetData>
    <row r="1" spans="1:18" ht="86.4" x14ac:dyDescent="0.3">
      <c r="A1" s="5" t="s">
        <v>0</v>
      </c>
      <c r="B1" s="5" t="s">
        <v>45</v>
      </c>
      <c r="C1" s="5" t="s">
        <v>67</v>
      </c>
      <c r="D1" s="5" t="s">
        <v>68</v>
      </c>
      <c r="E1" s="5" t="s">
        <v>1</v>
      </c>
      <c r="F1" s="5" t="s">
        <v>12</v>
      </c>
      <c r="G1" s="5" t="s">
        <v>54</v>
      </c>
      <c r="H1" s="5" t="s">
        <v>69</v>
      </c>
      <c r="I1" s="5" t="s">
        <v>72</v>
      </c>
      <c r="J1" s="5" t="s">
        <v>58</v>
      </c>
      <c r="K1" s="5" t="s">
        <v>55</v>
      </c>
      <c r="L1" s="5" t="s">
        <v>53</v>
      </c>
      <c r="M1" s="5" t="s">
        <v>62</v>
      </c>
      <c r="N1" s="5" t="s">
        <v>63</v>
      </c>
      <c r="O1" s="5" t="s">
        <v>64</v>
      </c>
      <c r="P1" s="5" t="s">
        <v>65</v>
      </c>
      <c r="R1" s="6" t="s">
        <v>66</v>
      </c>
    </row>
    <row r="2" spans="1:18" x14ac:dyDescent="0.3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Calculate_cap_emi!$AB$14:$AB$21, "Not found", 0),"Rb",_xlfn.XLOOKUP(E2&amp;"|"&amp;B2,
        Calculate_cap_emi!$I$14:$I$21&amp;"|"&amp;Calculate_cap_emi!$L$14:$L$21,
        Calculate_cap_emi!$AD$14:$AD$21, "Not found", 0),"Rl",_xlfn.XLOOKUP(E2&amp;"|"&amp;B2,
        Calculate_cap_emi!$I$14:$I$21&amp;"|"&amp;Calculate_cap_emi!$L$14:$L$21,
        Calculate_cap_emi!$AE$14:$AE$21, "Not found", 0),"HP",_xlfn.XLOOKUP(E2&amp;"|"&amp;B2,
        Calculate_cap_emi!$I$14:$I$21&amp;"|"&amp;Calculate_cap_emi!$L$14:$L$21,
        Calculate_cap_emi!$AC$14:$AC$21, "Not found", 0),"HPl",_xlfn.XLOOKUP(E2&amp;"|"&amp;B2,
        Calculate_cap_emi!$I$14:$I$21&amp;"|"&amp;Calculate_cap_emi!$L$14:$L$21,
        Calculate_cap_emi!$AF$14:$AF$21, "Not found", 0),"Missing")</f>
        <v>1057.4117647058824</v>
      </c>
      <c r="M2" s="5"/>
      <c r="N2" s="5"/>
      <c r="O2" s="5"/>
      <c r="P2" s="5"/>
    </row>
    <row r="3" spans="1:18" x14ac:dyDescent="0.3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Calculate_cap_emi!$AB$14:$AB$21, "Not found", 0),"Rb",_xlfn.XLOOKUP(E3&amp;"|"&amp;B3,
        Calculate_cap_emi!$I$14:$I$21&amp;"|"&amp;Calculate_cap_emi!$L$14:$L$21,
        Calculate_cap_emi!$AD$14:$AD$21, "Not found", 0),"Rl",_xlfn.XLOOKUP(E3&amp;"|"&amp;B3,
        Calculate_cap_emi!$I$14:$I$21&amp;"|"&amp;Calculate_cap_emi!$L$14:$L$21,
        Calculate_cap_emi!$AE$14:$AE$21, "Not found", 0),"HP",_xlfn.XLOOKUP(E3&amp;"|"&amp;B3,
        Calculate_cap_emi!$I$14:$I$21&amp;"|"&amp;Calculate_cap_emi!$L$14:$L$21,
        Calculate_cap_emi!$AC$14:$AC$21, "Not found", 0),"HPl",_xlfn.XLOOKUP(E3&amp;"|"&amp;B3,
        Calculate_cap_emi!$I$14:$I$21&amp;"|"&amp;Calculate_cap_emi!$L$14:$L$21,
        Calculate_cap_emi!$AF$14:$AF$21, "Not found", 0),"Missing")</f>
        <v>1057.4117647058824</v>
      </c>
      <c r="M3" s="5"/>
      <c r="N3" s="5"/>
      <c r="O3" s="5"/>
      <c r="P3" s="5"/>
    </row>
    <row r="4" spans="1:18" x14ac:dyDescent="0.3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Calculate_cap_emi!$AB$14:$AB$21, "Not found", 0),"Rb",_xlfn.XLOOKUP(E4&amp;"|"&amp;B4,
        Calculate_cap_emi!$I$14:$I$21&amp;"|"&amp;Calculate_cap_emi!$L$14:$L$21,
        Calculate_cap_emi!$AD$14:$AD$21, "Not found", 0),"Rl",_xlfn.XLOOKUP(E4&amp;"|"&amp;B4,
        Calculate_cap_emi!$I$14:$I$21&amp;"|"&amp;Calculate_cap_emi!$L$14:$L$21,
        Calculate_cap_emi!$AE$14:$AE$21, "Not found", 0),"HP",_xlfn.XLOOKUP(E4&amp;"|"&amp;B4,
        Calculate_cap_emi!$I$14:$I$21&amp;"|"&amp;Calculate_cap_emi!$L$14:$L$21,
        Calculate_cap_emi!$AC$14:$AC$21, "Not found", 0),"HPl",_xlfn.XLOOKUP(E4&amp;"|"&amp;B4,
        Calculate_cap_emi!$I$14:$I$21&amp;"|"&amp;Calculate_cap_emi!$L$14:$L$21,
        Calculate_cap_emi!$AF$14:$AF$21, "Not found", 0),"Missing")</f>
        <v>1057.4117647058824</v>
      </c>
      <c r="M4" s="5"/>
      <c r="N4" s="5"/>
      <c r="O4" s="5"/>
      <c r="P4" s="5"/>
    </row>
    <row r="5" spans="1:18" x14ac:dyDescent="0.3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Calculate_cap_emi!$AB$14:$AB$21, "Not found", 0),"Rb",_xlfn.XLOOKUP(E5&amp;"|"&amp;B5,
        Calculate_cap_emi!$I$14:$I$21&amp;"|"&amp;Calculate_cap_emi!$L$14:$L$21,
        Calculate_cap_emi!$AD$14:$AD$21, "Not found", 0),"Rl",_xlfn.XLOOKUP(E5&amp;"|"&amp;B5,
        Calculate_cap_emi!$I$14:$I$21&amp;"|"&amp;Calculate_cap_emi!$L$14:$L$21,
        Calculate_cap_emi!$AE$14:$AE$21, "Not found", 0),"HP",_xlfn.XLOOKUP(E5&amp;"|"&amp;B5,
        Calculate_cap_emi!$I$14:$I$21&amp;"|"&amp;Calculate_cap_emi!$L$14:$L$21,
        Calculate_cap_emi!$AC$14:$AC$21, "Not found", 0),"HPl",_xlfn.XLOOKUP(E5&amp;"|"&amp;B5,
        Calculate_cap_emi!$I$14:$I$21&amp;"|"&amp;Calculate_cap_emi!$L$14:$L$21,
        Calculate_cap_emi!$AF$14:$AF$21, "Not found", 0),"Missing")</f>
        <v>1057.4117647058824</v>
      </c>
      <c r="M5" s="5"/>
      <c r="N5" s="5"/>
      <c r="O5" s="5"/>
      <c r="P5" s="5"/>
    </row>
    <row r="6" spans="1:18" x14ac:dyDescent="0.3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Calculate_cap_emi!$AB$14:$AB$21, "Not found", 0),"Rb",_xlfn.XLOOKUP(E6&amp;"|"&amp;B6,
        Calculate_cap_emi!$I$14:$I$21&amp;"|"&amp;Calculate_cap_emi!$L$14:$L$21,
        Calculate_cap_emi!$AD$14:$AD$21, "Not found", 0),"Rl",_xlfn.XLOOKUP(E6&amp;"|"&amp;B6,
        Calculate_cap_emi!$I$14:$I$21&amp;"|"&amp;Calculate_cap_emi!$L$14:$L$21,
        Calculate_cap_emi!$AE$14:$AE$21, "Not found", 0),"HP",_xlfn.XLOOKUP(E6&amp;"|"&amp;B6,
        Calculate_cap_emi!$I$14:$I$21&amp;"|"&amp;Calculate_cap_emi!$L$14:$L$21,
        Calculate_cap_emi!$AC$14:$AC$21, "Not found", 0),"HPl",_xlfn.XLOOKUP(E6&amp;"|"&amp;B6,
        Calculate_cap_emi!$I$14:$I$21&amp;"|"&amp;Calculate_cap_emi!$L$14:$L$21,
        Calculate_cap_emi!$AF$14:$AF$21, "Not found", 0),"Missing")</f>
        <v>1586.1176470588239</v>
      </c>
      <c r="M6" s="5"/>
      <c r="N6" s="5"/>
      <c r="O6" s="5"/>
      <c r="P6" s="5"/>
    </row>
    <row r="7" spans="1:18" x14ac:dyDescent="0.3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Calculate_cap_emi!$AB$14:$AB$21, "Not found", 0),"Rb",_xlfn.XLOOKUP(E7&amp;"|"&amp;B7,
        Calculate_cap_emi!$I$14:$I$21&amp;"|"&amp;Calculate_cap_emi!$L$14:$L$21,
        Calculate_cap_emi!$AD$14:$AD$21, "Not found", 0),"Rl",_xlfn.XLOOKUP(E7&amp;"|"&amp;B7,
        Calculate_cap_emi!$I$14:$I$21&amp;"|"&amp;Calculate_cap_emi!$L$14:$L$21,
        Calculate_cap_emi!$AE$14:$AE$21, "Not found", 0),"HP",_xlfn.XLOOKUP(E7&amp;"|"&amp;B7,
        Calculate_cap_emi!$I$14:$I$21&amp;"|"&amp;Calculate_cap_emi!$L$14:$L$21,
        Calculate_cap_emi!$AC$14:$AC$21, "Not found", 0),"HPl",_xlfn.XLOOKUP(E7&amp;"|"&amp;B7,
        Calculate_cap_emi!$I$14:$I$21&amp;"|"&amp;Calculate_cap_emi!$L$14:$L$21,
        Calculate_cap_emi!$AF$14:$AF$21, "Not found", 0),"Missing")</f>
        <v>1586.1176470588239</v>
      </c>
      <c r="M7" s="5"/>
      <c r="N7" s="5"/>
      <c r="O7" s="5"/>
      <c r="P7" s="5"/>
    </row>
    <row r="8" spans="1:18" x14ac:dyDescent="0.3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Calculate_cap_emi!$AB$14:$AB$21, "Not found", 0),"Rb",_xlfn.XLOOKUP(E8&amp;"|"&amp;B8,
        Calculate_cap_emi!$I$14:$I$21&amp;"|"&amp;Calculate_cap_emi!$L$14:$L$21,
        Calculate_cap_emi!$AD$14:$AD$21, "Not found", 0),"Rl",_xlfn.XLOOKUP(E8&amp;"|"&amp;B8,
        Calculate_cap_emi!$I$14:$I$21&amp;"|"&amp;Calculate_cap_emi!$L$14:$L$21,
        Calculate_cap_emi!$AE$14:$AE$21, "Not found", 0),"HP",_xlfn.XLOOKUP(E8&amp;"|"&amp;B8,
        Calculate_cap_emi!$I$14:$I$21&amp;"|"&amp;Calculate_cap_emi!$L$14:$L$21,
        Calculate_cap_emi!$AC$14:$AC$21, "Not found", 0),"HPl",_xlfn.XLOOKUP(E8&amp;"|"&amp;B8,
        Calculate_cap_emi!$I$14:$I$21&amp;"|"&amp;Calculate_cap_emi!$L$14:$L$21,
        Calculate_cap_emi!$AF$14:$AF$21, "Not found", 0),"Missing")</f>
        <v>1586.1176470588239</v>
      </c>
      <c r="M8" s="5"/>
      <c r="N8" s="5"/>
      <c r="O8" s="5"/>
      <c r="P8" s="5"/>
    </row>
    <row r="9" spans="1:18" x14ac:dyDescent="0.3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Calculate_cap_emi!$AB$14:$AB$21, "Not found", 0),"Rb",_xlfn.XLOOKUP(E9&amp;"|"&amp;B9,
        Calculate_cap_emi!$I$14:$I$21&amp;"|"&amp;Calculate_cap_emi!$L$14:$L$21,
        Calculate_cap_emi!$AD$14:$AD$21, "Not found", 0),"Rl",_xlfn.XLOOKUP(E9&amp;"|"&amp;B9,
        Calculate_cap_emi!$I$14:$I$21&amp;"|"&amp;Calculate_cap_emi!$L$14:$L$21,
        Calculate_cap_emi!$AE$14:$AE$21, "Not found", 0),"HP",_xlfn.XLOOKUP(E9&amp;"|"&amp;B9,
        Calculate_cap_emi!$I$14:$I$21&amp;"|"&amp;Calculate_cap_emi!$L$14:$L$21,
        Calculate_cap_emi!$AC$14:$AC$21, "Not found", 0),"HPl",_xlfn.XLOOKUP(E9&amp;"|"&amp;B9,
        Calculate_cap_emi!$I$14:$I$21&amp;"|"&amp;Calculate_cap_emi!$L$14:$L$21,
        Calculate_cap_emi!$AF$14:$AF$21, "Not found", 0),"Missing")</f>
        <v>1586.1176470588239</v>
      </c>
      <c r="M9" s="5"/>
      <c r="N9" s="5"/>
      <c r="O9" s="5"/>
      <c r="P9" s="5"/>
    </row>
    <row r="10" spans="1:18" x14ac:dyDescent="0.3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Calculate_cap_emi!$AB$14:$AB$21, "Not found", 0),"Rb",_xlfn.XLOOKUP(E10&amp;"|"&amp;B10,
        Calculate_cap_emi!$I$14:$I$21&amp;"|"&amp;Calculate_cap_emi!$L$14:$L$21,
        Calculate_cap_emi!$AD$14:$AD$21, "Not found", 0),"Rl",_xlfn.XLOOKUP(E10&amp;"|"&amp;B10,
        Calculate_cap_emi!$I$14:$I$21&amp;"|"&amp;Calculate_cap_emi!$L$14:$L$21,
        Calculate_cap_emi!$AE$14:$AE$21, "Not found", 0),"HP",_xlfn.XLOOKUP(E10&amp;"|"&amp;B10,
        Calculate_cap_emi!$I$14:$I$21&amp;"|"&amp;Calculate_cap_emi!$L$14:$L$21,
        Calculate_cap_emi!$AC$14:$AC$21, "Not found", 0),"HPl",_xlfn.XLOOKUP(E10&amp;"|"&amp;B10,
        Calculate_cap_emi!$I$14:$I$21&amp;"|"&amp;Calculate_cap_emi!$L$14:$L$21,
        Calculate_cap_emi!$AF$14:$AF$21, "Not found", 0),"Missing")</f>
        <v>1057.4117647058824</v>
      </c>
      <c r="M10" s="5"/>
      <c r="N10" s="5"/>
      <c r="O10" s="5"/>
      <c r="P10" s="5"/>
    </row>
    <row r="11" spans="1:18" x14ac:dyDescent="0.3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Calculate_cap_emi!$AB$14:$AB$21, "Not found", 0),"Rb",_xlfn.XLOOKUP(E11&amp;"|"&amp;B11,
        Calculate_cap_emi!$I$14:$I$21&amp;"|"&amp;Calculate_cap_emi!$L$14:$L$21,
        Calculate_cap_emi!$AD$14:$AD$21, "Not found", 0),"Rl",_xlfn.XLOOKUP(E11&amp;"|"&amp;B11,
        Calculate_cap_emi!$I$14:$I$21&amp;"|"&amp;Calculate_cap_emi!$L$14:$L$21,
        Calculate_cap_emi!$AE$14:$AE$21, "Not found", 0),"HP",_xlfn.XLOOKUP(E11&amp;"|"&amp;B11,
        Calculate_cap_emi!$I$14:$I$21&amp;"|"&amp;Calculate_cap_emi!$L$14:$L$21,
        Calculate_cap_emi!$AC$14:$AC$21, "Not found", 0),"HPl",_xlfn.XLOOKUP(E11&amp;"|"&amp;B11,
        Calculate_cap_emi!$I$14:$I$21&amp;"|"&amp;Calculate_cap_emi!$L$14:$L$21,
        Calculate_cap_emi!$AF$14:$AF$21, "Not found", 0),"Missing")</f>
        <v>1057.4117647058824</v>
      </c>
      <c r="M11" s="5"/>
      <c r="N11" s="5"/>
      <c r="O11" s="5"/>
      <c r="P11" s="5"/>
    </row>
    <row r="12" spans="1:18" x14ac:dyDescent="0.3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Calculate_cap_emi!$AB$14:$AB$21, "Not found", 0),"Rb",_xlfn.XLOOKUP(E12&amp;"|"&amp;B12,
        Calculate_cap_emi!$I$14:$I$21&amp;"|"&amp;Calculate_cap_emi!$L$14:$L$21,
        Calculate_cap_emi!$AD$14:$AD$21, "Not found", 0),"Rl",_xlfn.XLOOKUP(E12&amp;"|"&amp;B12,
        Calculate_cap_emi!$I$14:$I$21&amp;"|"&amp;Calculate_cap_emi!$L$14:$L$21,
        Calculate_cap_emi!$AE$14:$AE$21, "Not found", 0),"HP",_xlfn.XLOOKUP(E12&amp;"|"&amp;B12,
        Calculate_cap_emi!$I$14:$I$21&amp;"|"&amp;Calculate_cap_emi!$L$14:$L$21,
        Calculate_cap_emi!$AC$14:$AC$21, "Not found", 0),"HPl",_xlfn.XLOOKUP(E12&amp;"|"&amp;B12,
        Calculate_cap_emi!$I$14:$I$21&amp;"|"&amp;Calculate_cap_emi!$L$14:$L$21,
        Calculate_cap_emi!$AF$14:$AF$21, "Not found", 0),"Missing")</f>
        <v>1057.4117647058824</v>
      </c>
      <c r="M12" s="5"/>
      <c r="N12" s="5"/>
      <c r="O12" s="5"/>
      <c r="P12" s="5"/>
    </row>
    <row r="13" spans="1:18" x14ac:dyDescent="0.3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Calculate_cap_emi!$AB$14:$AB$21, "Not found", 0),"Rb",_xlfn.XLOOKUP(E13&amp;"|"&amp;B13,
        Calculate_cap_emi!$I$14:$I$21&amp;"|"&amp;Calculate_cap_emi!$L$14:$L$21,
        Calculate_cap_emi!$AD$14:$AD$21, "Not found", 0),"Rl",_xlfn.XLOOKUP(E13&amp;"|"&amp;B13,
        Calculate_cap_emi!$I$14:$I$21&amp;"|"&amp;Calculate_cap_emi!$L$14:$L$21,
        Calculate_cap_emi!$AE$14:$AE$21, "Not found", 0),"HP",_xlfn.XLOOKUP(E13&amp;"|"&amp;B13,
        Calculate_cap_emi!$I$14:$I$21&amp;"|"&amp;Calculate_cap_emi!$L$14:$L$21,
        Calculate_cap_emi!$AC$14:$AC$21, "Not found", 0),"HPl",_xlfn.XLOOKUP(E13&amp;"|"&amp;B13,
        Calculate_cap_emi!$I$14:$I$21&amp;"|"&amp;Calculate_cap_emi!$L$14:$L$21,
        Calculate_cap_emi!$AF$14:$AF$21, "Not found", 0),"Missing")</f>
        <v>1057.4117647058824</v>
      </c>
      <c r="M13" s="5"/>
      <c r="N13" s="5"/>
      <c r="O13" s="5"/>
      <c r="P13" s="5"/>
    </row>
    <row r="14" spans="1:18" x14ac:dyDescent="0.3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Calculate_cap_emi!$AB$14:$AB$21, "Not found", 0),"Rb",_xlfn.XLOOKUP(E14&amp;"|"&amp;B14,
        Calculate_cap_emi!$I$14:$I$21&amp;"|"&amp;Calculate_cap_emi!$L$14:$L$21,
        Calculate_cap_emi!$AD$14:$AD$21, "Not found", 0),"Rl",_xlfn.XLOOKUP(E14&amp;"|"&amp;B14,
        Calculate_cap_emi!$I$14:$I$21&amp;"|"&amp;Calculate_cap_emi!$L$14:$L$21,
        Calculate_cap_emi!$AE$14:$AE$21, "Not found", 0),"HP",_xlfn.XLOOKUP(E14&amp;"|"&amp;B14,
        Calculate_cap_emi!$I$14:$I$21&amp;"|"&amp;Calculate_cap_emi!$L$14:$L$21,
        Calculate_cap_emi!$AC$14:$AC$21, "Not found", 0),"HPl",_xlfn.XLOOKUP(E14&amp;"|"&amp;B14,
        Calculate_cap_emi!$I$14:$I$21&amp;"|"&amp;Calculate_cap_emi!$L$14:$L$21,
        Calculate_cap_emi!$AF$14:$AF$21, "Not found", 0),"Missing")</f>
        <v>1586.1176470588239</v>
      </c>
      <c r="M14" s="5"/>
      <c r="N14" s="5"/>
      <c r="O14" s="5"/>
      <c r="P14" s="5"/>
    </row>
    <row r="15" spans="1:18" x14ac:dyDescent="0.3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Calculate_cap_emi!$AB$14:$AB$21, "Not found", 0),"Rb",_xlfn.XLOOKUP(E15&amp;"|"&amp;B15,
        Calculate_cap_emi!$I$14:$I$21&amp;"|"&amp;Calculate_cap_emi!$L$14:$L$21,
        Calculate_cap_emi!$AD$14:$AD$21, "Not found", 0),"Rl",_xlfn.XLOOKUP(E15&amp;"|"&amp;B15,
        Calculate_cap_emi!$I$14:$I$21&amp;"|"&amp;Calculate_cap_emi!$L$14:$L$21,
        Calculate_cap_emi!$AE$14:$AE$21, "Not found", 0),"HP",_xlfn.XLOOKUP(E15&amp;"|"&amp;B15,
        Calculate_cap_emi!$I$14:$I$21&amp;"|"&amp;Calculate_cap_emi!$L$14:$L$21,
        Calculate_cap_emi!$AC$14:$AC$21, "Not found", 0),"HPl",_xlfn.XLOOKUP(E15&amp;"|"&amp;B15,
        Calculate_cap_emi!$I$14:$I$21&amp;"|"&amp;Calculate_cap_emi!$L$14:$L$21,
        Calculate_cap_emi!$AF$14:$AF$21, "Not found", 0),"Missing")</f>
        <v>1586.1176470588239</v>
      </c>
      <c r="M15" s="5"/>
      <c r="N15" s="5"/>
      <c r="O15" s="5"/>
      <c r="P15" s="5"/>
    </row>
    <row r="16" spans="1:18" x14ac:dyDescent="0.3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Calculate_cap_emi!$AB$14:$AB$21, "Not found", 0),"Rb",_xlfn.XLOOKUP(E16&amp;"|"&amp;B16,
        Calculate_cap_emi!$I$14:$I$21&amp;"|"&amp;Calculate_cap_emi!$L$14:$L$21,
        Calculate_cap_emi!$AD$14:$AD$21, "Not found", 0),"Rl",_xlfn.XLOOKUP(E16&amp;"|"&amp;B16,
        Calculate_cap_emi!$I$14:$I$21&amp;"|"&amp;Calculate_cap_emi!$L$14:$L$21,
        Calculate_cap_emi!$AE$14:$AE$21, "Not found", 0),"HP",_xlfn.XLOOKUP(E16&amp;"|"&amp;B16,
        Calculate_cap_emi!$I$14:$I$21&amp;"|"&amp;Calculate_cap_emi!$L$14:$L$21,
        Calculate_cap_emi!$AC$14:$AC$21, "Not found", 0),"HPl",_xlfn.XLOOKUP(E16&amp;"|"&amp;B16,
        Calculate_cap_emi!$I$14:$I$21&amp;"|"&amp;Calculate_cap_emi!$L$14:$L$21,
        Calculate_cap_emi!$AF$14:$AF$21, "Not found", 0),"Missing")</f>
        <v>1586.1176470588239</v>
      </c>
      <c r="M16" s="5"/>
      <c r="N16" s="5"/>
      <c r="O16" s="5"/>
      <c r="P16" s="5"/>
    </row>
    <row r="17" spans="1:16" x14ac:dyDescent="0.3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Calculate_cap_emi!$AB$14:$AB$21, "Not found", 0),"Rb",_xlfn.XLOOKUP(E17&amp;"|"&amp;B17,
        Calculate_cap_emi!$I$14:$I$21&amp;"|"&amp;Calculate_cap_emi!$L$14:$L$21,
        Calculate_cap_emi!$AD$14:$AD$21, "Not found", 0),"Rl",_xlfn.XLOOKUP(E17&amp;"|"&amp;B17,
        Calculate_cap_emi!$I$14:$I$21&amp;"|"&amp;Calculate_cap_emi!$L$14:$L$21,
        Calculate_cap_emi!$AE$14:$AE$21, "Not found", 0),"HP",_xlfn.XLOOKUP(E17&amp;"|"&amp;B17,
        Calculate_cap_emi!$I$14:$I$21&amp;"|"&amp;Calculate_cap_emi!$L$14:$L$21,
        Calculate_cap_emi!$AC$14:$AC$21, "Not found", 0),"HPl",_xlfn.XLOOKUP(E17&amp;"|"&amp;B17,
        Calculate_cap_emi!$I$14:$I$21&amp;"|"&amp;Calculate_cap_emi!$L$14:$L$21,
        Calculate_cap_emi!$AF$14:$AF$21, "Not found", 0),"Missing")</f>
        <v>1586.1176470588239</v>
      </c>
      <c r="M17" s="5"/>
      <c r="N17" s="5"/>
      <c r="O17" s="5"/>
      <c r="P17" s="5"/>
    </row>
    <row r="18" spans="1:16" x14ac:dyDescent="0.3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Calculate_cap_emi!$AB$14:$AB$21, "Not found", 0),"Rb",_xlfn.XLOOKUP(E18&amp;"|"&amp;B18,
        Calculate_cap_emi!$I$14:$I$21&amp;"|"&amp;Calculate_cap_emi!$L$14:$L$21,
        Calculate_cap_emi!$AD$14:$AD$21, "Not found", 0),"Rl",_xlfn.XLOOKUP(E18&amp;"|"&amp;B18,
        Calculate_cap_emi!$I$14:$I$21&amp;"|"&amp;Calculate_cap_emi!$L$14:$L$21,
        Calculate_cap_emi!$AE$14:$AE$21, "Not found", 0),"HP",_xlfn.XLOOKUP(E18&amp;"|"&amp;B18,
        Calculate_cap_emi!$I$14:$I$21&amp;"|"&amp;Calculate_cap_emi!$L$14:$L$21,
        Calculate_cap_emi!$AC$14:$AC$21, "Not found", 0),"HPl",_xlfn.XLOOKUP(E18&amp;"|"&amp;B18,
        Calculate_cap_emi!$I$14:$I$21&amp;"|"&amp;Calculate_cap_emi!$L$14:$L$21,
        Calculate_cap_emi!$AF$14:$AF$21, "Not found", 0),"Missing")</f>
        <v>528.70588235294122</v>
      </c>
      <c r="M18" s="5"/>
      <c r="N18" s="5"/>
      <c r="O18" s="5"/>
      <c r="P18" s="5"/>
    </row>
    <row r="19" spans="1:16" x14ac:dyDescent="0.3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Calculate_cap_emi!$AB$14:$AB$21, "Not found", 0),"Rb",_xlfn.XLOOKUP(E19&amp;"|"&amp;B19,
        Calculate_cap_emi!$I$14:$I$21&amp;"|"&amp;Calculate_cap_emi!$L$14:$L$21,
        Calculate_cap_emi!$AD$14:$AD$21, "Not found", 0),"Rl",_xlfn.XLOOKUP(E19&amp;"|"&amp;B19,
        Calculate_cap_emi!$I$14:$I$21&amp;"|"&amp;Calculate_cap_emi!$L$14:$L$21,
        Calculate_cap_emi!$AE$14:$AE$21, "Not found", 0),"HP",_xlfn.XLOOKUP(E19&amp;"|"&amp;B19,
        Calculate_cap_emi!$I$14:$I$21&amp;"|"&amp;Calculate_cap_emi!$L$14:$L$21,
        Calculate_cap_emi!$AC$14:$AC$21, "Not found", 0),"HPl",_xlfn.XLOOKUP(E19&amp;"|"&amp;B19,
        Calculate_cap_emi!$I$14:$I$21&amp;"|"&amp;Calculate_cap_emi!$L$14:$L$21,
        Calculate_cap_emi!$AF$14:$AF$21, "Not found", 0),"Missing")</f>
        <v>528.70588235294122</v>
      </c>
      <c r="M19" s="5"/>
      <c r="N19" s="5"/>
      <c r="O19" s="5"/>
      <c r="P19" s="5"/>
    </row>
    <row r="20" spans="1:16" x14ac:dyDescent="0.3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Calculate_cap_emi!$AB$14:$AB$21, "Not found", 0),"Rb",_xlfn.XLOOKUP(E20&amp;"|"&amp;B20,
        Calculate_cap_emi!$I$14:$I$21&amp;"|"&amp;Calculate_cap_emi!$L$14:$L$21,
        Calculate_cap_emi!$AD$14:$AD$21, "Not found", 0),"Rl",_xlfn.XLOOKUP(E20&amp;"|"&amp;B20,
        Calculate_cap_emi!$I$14:$I$21&amp;"|"&amp;Calculate_cap_emi!$L$14:$L$21,
        Calculate_cap_emi!$AE$14:$AE$21, "Not found", 0),"HP",_xlfn.XLOOKUP(E20&amp;"|"&amp;B20,
        Calculate_cap_emi!$I$14:$I$21&amp;"|"&amp;Calculate_cap_emi!$L$14:$L$21,
        Calculate_cap_emi!$AC$14:$AC$21, "Not found", 0),"HPl",_xlfn.XLOOKUP(E20&amp;"|"&amp;B20,
        Calculate_cap_emi!$I$14:$I$21&amp;"|"&amp;Calculate_cap_emi!$L$14:$L$21,
        Calculate_cap_emi!$AF$14:$AF$21, "Not found", 0),"Missing")</f>
        <v>528.70588235294122</v>
      </c>
      <c r="M20" s="5"/>
      <c r="N20" s="5"/>
      <c r="O20" s="5"/>
      <c r="P20" s="5"/>
    </row>
    <row r="21" spans="1:16" x14ac:dyDescent="0.3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Calculate_cap_emi!$AB$14:$AB$21, "Not found", 0),"Rb",_xlfn.XLOOKUP(E21&amp;"|"&amp;B21,
        Calculate_cap_emi!$I$14:$I$21&amp;"|"&amp;Calculate_cap_emi!$L$14:$L$21,
        Calculate_cap_emi!$AD$14:$AD$21, "Not found", 0),"Rl",_xlfn.XLOOKUP(E21&amp;"|"&amp;B21,
        Calculate_cap_emi!$I$14:$I$21&amp;"|"&amp;Calculate_cap_emi!$L$14:$L$21,
        Calculate_cap_emi!$AE$14:$AE$21, "Not found", 0),"HP",_xlfn.XLOOKUP(E21&amp;"|"&amp;B21,
        Calculate_cap_emi!$I$14:$I$21&amp;"|"&amp;Calculate_cap_emi!$L$14:$L$21,
        Calculate_cap_emi!$AC$14:$AC$21, "Not found", 0),"HPl",_xlfn.XLOOKUP(E21&amp;"|"&amp;B21,
        Calculate_cap_emi!$I$14:$I$21&amp;"|"&amp;Calculate_cap_emi!$L$14:$L$21,
        Calculate_cap_emi!$AF$14:$AF$21, "Not found", 0),"Missing")</f>
        <v>528.70588235294122</v>
      </c>
      <c r="M21" s="5"/>
      <c r="N21" s="5"/>
      <c r="O21" s="5"/>
      <c r="P21" s="5"/>
    </row>
    <row r="22" spans="1:16" x14ac:dyDescent="0.3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Calculate_cap_emi!$AB$14:$AB$21, "Not found", 0),"Rb",_xlfn.XLOOKUP(E22&amp;"|"&amp;B22,
        Calculate_cap_emi!$I$14:$I$21&amp;"|"&amp;Calculate_cap_emi!$L$14:$L$21,
        Calculate_cap_emi!$AD$14:$AD$21, "Not found", 0),"Rl",_xlfn.XLOOKUP(E22&amp;"|"&amp;B22,
        Calculate_cap_emi!$I$14:$I$21&amp;"|"&amp;Calculate_cap_emi!$L$14:$L$21,
        Calculate_cap_emi!$AE$14:$AE$21, "Not found", 0),"HP",_xlfn.XLOOKUP(E22&amp;"|"&amp;B22,
        Calculate_cap_emi!$I$14:$I$21&amp;"|"&amp;Calculate_cap_emi!$L$14:$L$21,
        Calculate_cap_emi!$AC$14:$AC$21, "Not found", 0),"HPl",_xlfn.XLOOKUP(E22&amp;"|"&amp;B22,
        Calculate_cap_emi!$I$14:$I$21&amp;"|"&amp;Calculate_cap_emi!$L$14:$L$21,
        Calculate_cap_emi!$AF$14:$AF$21, "Not found", 0),"Missing")</f>
        <v>1057.4117647058824</v>
      </c>
      <c r="M22" s="5"/>
      <c r="N22" s="5"/>
      <c r="O22" s="5"/>
      <c r="P22" s="5"/>
    </row>
    <row r="23" spans="1:16" x14ac:dyDescent="0.3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Calculate_cap_emi!$AB$14:$AB$21, "Not found", 0),"Rb",_xlfn.XLOOKUP(E23&amp;"|"&amp;B23,
        Calculate_cap_emi!$I$14:$I$21&amp;"|"&amp;Calculate_cap_emi!$L$14:$L$21,
        Calculate_cap_emi!$AD$14:$AD$21, "Not found", 0),"Rl",_xlfn.XLOOKUP(E23&amp;"|"&amp;B23,
        Calculate_cap_emi!$I$14:$I$21&amp;"|"&amp;Calculate_cap_emi!$L$14:$L$21,
        Calculate_cap_emi!$AE$14:$AE$21, "Not found", 0),"HP",_xlfn.XLOOKUP(E23&amp;"|"&amp;B23,
        Calculate_cap_emi!$I$14:$I$21&amp;"|"&amp;Calculate_cap_emi!$L$14:$L$21,
        Calculate_cap_emi!$AC$14:$AC$21, "Not found", 0),"HPl",_xlfn.XLOOKUP(E23&amp;"|"&amp;B23,
        Calculate_cap_emi!$I$14:$I$21&amp;"|"&amp;Calculate_cap_emi!$L$14:$L$21,
        Calculate_cap_emi!$AF$14:$AF$21, "Not found", 0),"Missing")</f>
        <v>1057.4117647058824</v>
      </c>
      <c r="M23" s="5"/>
      <c r="N23" s="5"/>
      <c r="O23" s="5"/>
      <c r="P23" s="5"/>
    </row>
    <row r="24" spans="1:16" x14ac:dyDescent="0.3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Calculate_cap_emi!$AB$14:$AB$21, "Not found", 0),"Rb",_xlfn.XLOOKUP(E24&amp;"|"&amp;B24,
        Calculate_cap_emi!$I$14:$I$21&amp;"|"&amp;Calculate_cap_emi!$L$14:$L$21,
        Calculate_cap_emi!$AD$14:$AD$21, "Not found", 0),"Rl",_xlfn.XLOOKUP(E24&amp;"|"&amp;B24,
        Calculate_cap_emi!$I$14:$I$21&amp;"|"&amp;Calculate_cap_emi!$L$14:$L$21,
        Calculate_cap_emi!$AE$14:$AE$21, "Not found", 0),"HP",_xlfn.XLOOKUP(E24&amp;"|"&amp;B24,
        Calculate_cap_emi!$I$14:$I$21&amp;"|"&amp;Calculate_cap_emi!$L$14:$L$21,
        Calculate_cap_emi!$AC$14:$AC$21, "Not found", 0),"HPl",_xlfn.XLOOKUP(E24&amp;"|"&amp;B24,
        Calculate_cap_emi!$I$14:$I$21&amp;"|"&amp;Calculate_cap_emi!$L$14:$L$21,
        Calculate_cap_emi!$AF$14:$AF$21, "Not found", 0),"Missing")</f>
        <v>1057.4117647058824</v>
      </c>
      <c r="M24" s="5"/>
      <c r="N24" s="5"/>
      <c r="O24" s="5"/>
      <c r="P24" s="5"/>
    </row>
    <row r="25" spans="1:16" x14ac:dyDescent="0.3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Calculate_cap_emi!$AB$14:$AB$21, "Not found", 0),"Rb",_xlfn.XLOOKUP(E25&amp;"|"&amp;B25,
        Calculate_cap_emi!$I$14:$I$21&amp;"|"&amp;Calculate_cap_emi!$L$14:$L$21,
        Calculate_cap_emi!$AD$14:$AD$21, "Not found", 0),"Rl",_xlfn.XLOOKUP(E25&amp;"|"&amp;B25,
        Calculate_cap_emi!$I$14:$I$21&amp;"|"&amp;Calculate_cap_emi!$L$14:$L$21,
        Calculate_cap_emi!$AE$14:$AE$21, "Not found", 0),"HP",_xlfn.XLOOKUP(E25&amp;"|"&amp;B25,
        Calculate_cap_emi!$I$14:$I$21&amp;"|"&amp;Calculate_cap_emi!$L$14:$L$21,
        Calculate_cap_emi!$AC$14:$AC$21, "Not found", 0),"HPl",_xlfn.XLOOKUP(E25&amp;"|"&amp;B25,
        Calculate_cap_emi!$I$14:$I$21&amp;"|"&amp;Calculate_cap_emi!$L$14:$L$21,
        Calculate_cap_emi!$AF$14:$AF$21, "Not found", 0),"Missing")</f>
        <v>1057.4117647058824</v>
      </c>
      <c r="M25" s="5"/>
      <c r="N25" s="5"/>
      <c r="O25" s="5"/>
      <c r="P25" s="5"/>
    </row>
    <row r="26" spans="1:16" x14ac:dyDescent="0.3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Calculate_cap_emi!$AB$14:$AB$21, "Not found", 0),"Rb",_xlfn.XLOOKUP(E26&amp;"|"&amp;B26,
        Calculate_cap_emi!$I$14:$I$21&amp;"|"&amp;Calculate_cap_emi!$L$14:$L$21,
        Calculate_cap_emi!$AD$14:$AD$21, "Not found", 0),"Rl",_xlfn.XLOOKUP(E26&amp;"|"&amp;B26,
        Calculate_cap_emi!$I$14:$I$21&amp;"|"&amp;Calculate_cap_emi!$L$14:$L$21,
        Calculate_cap_emi!$AE$14:$AE$21, "Not found", 0),"HP",_xlfn.XLOOKUP(E26&amp;"|"&amp;B26,
        Calculate_cap_emi!$I$14:$I$21&amp;"|"&amp;Calculate_cap_emi!$L$14:$L$21,
        Calculate_cap_emi!$AC$14:$AC$21, "Not found", 0),"HPl",_xlfn.XLOOKUP(E26&amp;"|"&amp;B26,
        Calculate_cap_emi!$I$14:$I$21&amp;"|"&amp;Calculate_cap_emi!$L$14:$L$21,
        Calculate_cap_emi!$AF$14:$AF$21, "Not found", 0),"Missing")</f>
        <v>528.70588235294122</v>
      </c>
      <c r="M26" s="5"/>
      <c r="N26" s="5"/>
      <c r="O26" s="5"/>
      <c r="P26" s="5"/>
    </row>
    <row r="27" spans="1:16" x14ac:dyDescent="0.3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Calculate_cap_emi!$AB$14:$AB$21, "Not found", 0),"Rb",_xlfn.XLOOKUP(E27&amp;"|"&amp;B27,
        Calculate_cap_emi!$I$14:$I$21&amp;"|"&amp;Calculate_cap_emi!$L$14:$L$21,
        Calculate_cap_emi!$AD$14:$AD$21, "Not found", 0),"Rl",_xlfn.XLOOKUP(E27&amp;"|"&amp;B27,
        Calculate_cap_emi!$I$14:$I$21&amp;"|"&amp;Calculate_cap_emi!$L$14:$L$21,
        Calculate_cap_emi!$AE$14:$AE$21, "Not found", 0),"HP",_xlfn.XLOOKUP(E27&amp;"|"&amp;B27,
        Calculate_cap_emi!$I$14:$I$21&amp;"|"&amp;Calculate_cap_emi!$L$14:$L$21,
        Calculate_cap_emi!$AC$14:$AC$21, "Not found", 0),"HPl",_xlfn.XLOOKUP(E27&amp;"|"&amp;B27,
        Calculate_cap_emi!$I$14:$I$21&amp;"|"&amp;Calculate_cap_emi!$L$14:$L$21,
        Calculate_cap_emi!$AF$14:$AF$21, "Not found", 0),"Missing")</f>
        <v>528.70588235294122</v>
      </c>
      <c r="M27" s="5"/>
      <c r="N27" s="5"/>
      <c r="O27" s="5"/>
      <c r="P27" s="5"/>
    </row>
    <row r="28" spans="1:16" x14ac:dyDescent="0.3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Calculate_cap_emi!$AB$14:$AB$21, "Not found", 0),"Rb",_xlfn.XLOOKUP(E28&amp;"|"&amp;B28,
        Calculate_cap_emi!$I$14:$I$21&amp;"|"&amp;Calculate_cap_emi!$L$14:$L$21,
        Calculate_cap_emi!$AD$14:$AD$21, "Not found", 0),"Rl",_xlfn.XLOOKUP(E28&amp;"|"&amp;B28,
        Calculate_cap_emi!$I$14:$I$21&amp;"|"&amp;Calculate_cap_emi!$L$14:$L$21,
        Calculate_cap_emi!$AE$14:$AE$21, "Not found", 0),"HP",_xlfn.XLOOKUP(E28&amp;"|"&amp;B28,
        Calculate_cap_emi!$I$14:$I$21&amp;"|"&amp;Calculate_cap_emi!$L$14:$L$21,
        Calculate_cap_emi!$AC$14:$AC$21, "Not found", 0),"HPl",_xlfn.XLOOKUP(E28&amp;"|"&amp;B28,
        Calculate_cap_emi!$I$14:$I$21&amp;"|"&amp;Calculate_cap_emi!$L$14:$L$21,
        Calculate_cap_emi!$AF$14:$AF$21, "Not found", 0),"Missing")</f>
        <v>528.70588235294122</v>
      </c>
      <c r="M28" s="5"/>
      <c r="N28" s="5"/>
      <c r="O28" s="5"/>
      <c r="P28" s="5"/>
    </row>
    <row r="29" spans="1:16" x14ac:dyDescent="0.3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Calculate_cap_emi!$AB$14:$AB$21, "Not found", 0),"Rb",_xlfn.XLOOKUP(E29&amp;"|"&amp;B29,
        Calculate_cap_emi!$I$14:$I$21&amp;"|"&amp;Calculate_cap_emi!$L$14:$L$21,
        Calculate_cap_emi!$AD$14:$AD$21, "Not found", 0),"Rl",_xlfn.XLOOKUP(E29&amp;"|"&amp;B29,
        Calculate_cap_emi!$I$14:$I$21&amp;"|"&amp;Calculate_cap_emi!$L$14:$L$21,
        Calculate_cap_emi!$AE$14:$AE$21, "Not found", 0),"HP",_xlfn.XLOOKUP(E29&amp;"|"&amp;B29,
        Calculate_cap_emi!$I$14:$I$21&amp;"|"&amp;Calculate_cap_emi!$L$14:$L$21,
        Calculate_cap_emi!$AC$14:$AC$21, "Not found", 0),"HPl",_xlfn.XLOOKUP(E29&amp;"|"&amp;B29,
        Calculate_cap_emi!$I$14:$I$21&amp;"|"&amp;Calculate_cap_emi!$L$14:$L$21,
        Calculate_cap_emi!$AF$14:$AF$21, "Not found", 0),"Missing")</f>
        <v>528.70588235294122</v>
      </c>
      <c r="M29" s="5"/>
      <c r="N29" s="5"/>
      <c r="O29" s="5"/>
      <c r="P29" s="5"/>
    </row>
    <row r="30" spans="1:16" x14ac:dyDescent="0.3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Calculate_cap_emi!$AB$14:$AB$21, "Not found", 0),"Rb",_xlfn.XLOOKUP(E30&amp;"|"&amp;B30,
        Calculate_cap_emi!$I$14:$I$21&amp;"|"&amp;Calculate_cap_emi!$L$14:$L$21,
        Calculate_cap_emi!$AD$14:$AD$21, "Not found", 0),"Rl",_xlfn.XLOOKUP(E30&amp;"|"&amp;B30,
        Calculate_cap_emi!$I$14:$I$21&amp;"|"&amp;Calculate_cap_emi!$L$14:$L$21,
        Calculate_cap_emi!$AE$14:$AE$21, "Not found", 0),"HP",_xlfn.XLOOKUP(E30&amp;"|"&amp;B30,
        Calculate_cap_emi!$I$14:$I$21&amp;"|"&amp;Calculate_cap_emi!$L$14:$L$21,
        Calculate_cap_emi!$AC$14:$AC$21, "Not found", 0),"HPl",_xlfn.XLOOKUP(E30&amp;"|"&amp;B30,
        Calculate_cap_emi!$I$14:$I$21&amp;"|"&amp;Calculate_cap_emi!$L$14:$L$21,
        Calculate_cap_emi!$AF$14:$AF$21, "Not found", 0),"Missing")</f>
        <v>1057.4117647058824</v>
      </c>
      <c r="M30" s="5"/>
      <c r="N30" s="5"/>
      <c r="O30" s="5"/>
      <c r="P30" s="5"/>
    </row>
    <row r="31" spans="1:16" x14ac:dyDescent="0.3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Calculate_cap_emi!$AB$14:$AB$21, "Not found", 0),"Rb",_xlfn.XLOOKUP(E31&amp;"|"&amp;B31,
        Calculate_cap_emi!$I$14:$I$21&amp;"|"&amp;Calculate_cap_emi!$L$14:$L$21,
        Calculate_cap_emi!$AD$14:$AD$21, "Not found", 0),"Rl",_xlfn.XLOOKUP(E31&amp;"|"&amp;B31,
        Calculate_cap_emi!$I$14:$I$21&amp;"|"&amp;Calculate_cap_emi!$L$14:$L$21,
        Calculate_cap_emi!$AE$14:$AE$21, "Not found", 0),"HP",_xlfn.XLOOKUP(E31&amp;"|"&amp;B31,
        Calculate_cap_emi!$I$14:$I$21&amp;"|"&amp;Calculate_cap_emi!$L$14:$L$21,
        Calculate_cap_emi!$AC$14:$AC$21, "Not found", 0),"HPl",_xlfn.XLOOKUP(E31&amp;"|"&amp;B31,
        Calculate_cap_emi!$I$14:$I$21&amp;"|"&amp;Calculate_cap_emi!$L$14:$L$21,
        Calculate_cap_emi!$AF$14:$AF$21, "Not found", 0),"Missing")</f>
        <v>1057.4117647058824</v>
      </c>
      <c r="M31" s="5"/>
      <c r="N31" s="5"/>
      <c r="O31" s="5"/>
      <c r="P31" s="5"/>
    </row>
    <row r="32" spans="1:16" x14ac:dyDescent="0.3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Calculate_cap_emi!$AB$14:$AB$21, "Not found", 0),"Rb",_xlfn.XLOOKUP(E32&amp;"|"&amp;B32,
        Calculate_cap_emi!$I$14:$I$21&amp;"|"&amp;Calculate_cap_emi!$L$14:$L$21,
        Calculate_cap_emi!$AD$14:$AD$21, "Not found", 0),"Rl",_xlfn.XLOOKUP(E32&amp;"|"&amp;B32,
        Calculate_cap_emi!$I$14:$I$21&amp;"|"&amp;Calculate_cap_emi!$L$14:$L$21,
        Calculate_cap_emi!$AE$14:$AE$21, "Not found", 0),"HP",_xlfn.XLOOKUP(E32&amp;"|"&amp;B32,
        Calculate_cap_emi!$I$14:$I$21&amp;"|"&amp;Calculate_cap_emi!$L$14:$L$21,
        Calculate_cap_emi!$AC$14:$AC$21, "Not found", 0),"HPl",_xlfn.XLOOKUP(E32&amp;"|"&amp;B32,
        Calculate_cap_emi!$I$14:$I$21&amp;"|"&amp;Calculate_cap_emi!$L$14:$L$21,
        Calculate_cap_emi!$AF$14:$AF$21, "Not found", 0),"Missing")</f>
        <v>1057.4117647058824</v>
      </c>
      <c r="M32" s="5"/>
      <c r="N32" s="5"/>
      <c r="O32" s="5"/>
      <c r="P32" s="5"/>
    </row>
    <row r="33" spans="1:16" x14ac:dyDescent="0.3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Calculate_cap_emi!$AB$14:$AB$21, "Not found", 0),"Rb",_xlfn.XLOOKUP(E33&amp;"|"&amp;B33,
        Calculate_cap_emi!$I$14:$I$21&amp;"|"&amp;Calculate_cap_emi!$L$14:$L$21,
        Calculate_cap_emi!$AD$14:$AD$21, "Not found", 0),"Rl",_xlfn.XLOOKUP(E33&amp;"|"&amp;B33,
        Calculate_cap_emi!$I$14:$I$21&amp;"|"&amp;Calculate_cap_emi!$L$14:$L$21,
        Calculate_cap_emi!$AE$14:$AE$21, "Not found", 0),"HP",_xlfn.XLOOKUP(E33&amp;"|"&amp;B33,
        Calculate_cap_emi!$I$14:$I$21&amp;"|"&amp;Calculate_cap_emi!$L$14:$L$21,
        Calculate_cap_emi!$AC$14:$AC$21, "Not found", 0),"HPl",_xlfn.XLOOKUP(E33&amp;"|"&amp;B33,
        Calculate_cap_emi!$I$14:$I$21&amp;"|"&amp;Calculate_cap_emi!$L$14:$L$21,
        Calculate_cap_emi!$AF$14:$AF$21, "Not found", 0),"Missing")</f>
        <v>1057.4117647058824</v>
      </c>
      <c r="M33" s="5"/>
      <c r="N33" s="5"/>
      <c r="O33" s="5"/>
      <c r="P33" s="5"/>
    </row>
    <row r="34" spans="1:16" x14ac:dyDescent="0.3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Calculate_cap_emi!$AB$14:$AB$21, "Not found", 0),"Rb",_xlfn.XLOOKUP(E34&amp;"|"&amp;B34,
        Calculate_cap_emi!$I$14:$I$21&amp;"|"&amp;Calculate_cap_emi!$L$14:$L$21,
        Calculate_cap_emi!$AD$14:$AD$21, "Not found", 0),"Rl",_xlfn.XLOOKUP(E34&amp;"|"&amp;B34,
        Calculate_cap_emi!$I$14:$I$21&amp;"|"&amp;Calculate_cap_emi!$L$14:$L$21,
        Calculate_cap_emi!$AE$14:$AE$21, "Not found", 0),"HP",_xlfn.XLOOKUP(E34&amp;"|"&amp;B34,
        Calculate_cap_emi!$I$14:$I$21&amp;"|"&amp;Calculate_cap_emi!$L$14:$L$21,
        Calculate_cap_emi!$AC$14:$AC$21, "Not found", 0),"HPl",_xlfn.XLOOKUP(E34&amp;"|"&amp;B34,
        Calculate_cap_emi!$I$14:$I$21&amp;"|"&amp;Calculate_cap_emi!$L$14:$L$21,
        Calculate_cap_emi!$AF$14:$AF$21, "Not found", 0),"Missing")</f>
        <v>528.70588235294122</v>
      </c>
      <c r="M34" s="5"/>
      <c r="N34" s="5"/>
      <c r="O34" s="5"/>
      <c r="P34" s="5"/>
    </row>
    <row r="35" spans="1:16" x14ac:dyDescent="0.3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Calculate_cap_emi!$AB$14:$AB$21, "Not found", 0),"Rb",_xlfn.XLOOKUP(E35&amp;"|"&amp;B35,
        Calculate_cap_emi!$I$14:$I$21&amp;"|"&amp;Calculate_cap_emi!$L$14:$L$21,
        Calculate_cap_emi!$AD$14:$AD$21, "Not found", 0),"Rl",_xlfn.XLOOKUP(E35&amp;"|"&amp;B35,
        Calculate_cap_emi!$I$14:$I$21&amp;"|"&amp;Calculate_cap_emi!$L$14:$L$21,
        Calculate_cap_emi!$AE$14:$AE$21, "Not found", 0),"HP",_xlfn.XLOOKUP(E35&amp;"|"&amp;B35,
        Calculate_cap_emi!$I$14:$I$21&amp;"|"&amp;Calculate_cap_emi!$L$14:$L$21,
        Calculate_cap_emi!$AC$14:$AC$21, "Not found", 0),"HPl",_xlfn.XLOOKUP(E35&amp;"|"&amp;B35,
        Calculate_cap_emi!$I$14:$I$21&amp;"|"&amp;Calculate_cap_emi!$L$14:$L$21,
        Calculate_cap_emi!$AF$14:$AF$21, "Not found", 0),"Missing")</f>
        <v>528.70588235294122</v>
      </c>
      <c r="M35" s="5"/>
      <c r="N35" s="5"/>
      <c r="O35" s="5"/>
      <c r="P35" s="5"/>
    </row>
    <row r="36" spans="1:16" x14ac:dyDescent="0.3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Calculate_cap_emi!$AB$14:$AB$21, "Not found", 0),"Rb",_xlfn.XLOOKUP(E36&amp;"|"&amp;B36,
        Calculate_cap_emi!$I$14:$I$21&amp;"|"&amp;Calculate_cap_emi!$L$14:$L$21,
        Calculate_cap_emi!$AD$14:$AD$21, "Not found", 0),"Rl",_xlfn.XLOOKUP(E36&amp;"|"&amp;B36,
        Calculate_cap_emi!$I$14:$I$21&amp;"|"&amp;Calculate_cap_emi!$L$14:$L$21,
        Calculate_cap_emi!$AE$14:$AE$21, "Not found", 0),"HP",_xlfn.XLOOKUP(E36&amp;"|"&amp;B36,
        Calculate_cap_emi!$I$14:$I$21&amp;"|"&amp;Calculate_cap_emi!$L$14:$L$21,
        Calculate_cap_emi!$AC$14:$AC$21, "Not found", 0),"HPl",_xlfn.XLOOKUP(E36&amp;"|"&amp;B36,
        Calculate_cap_emi!$I$14:$I$21&amp;"|"&amp;Calculate_cap_emi!$L$14:$L$21,
        Calculate_cap_emi!$AF$14:$AF$21, "Not found", 0),"Missing")</f>
        <v>528.70588235294122</v>
      </c>
      <c r="M36" s="5"/>
      <c r="N36" s="5"/>
      <c r="O36" s="5"/>
      <c r="P36" s="5"/>
    </row>
    <row r="37" spans="1:16" x14ac:dyDescent="0.3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Calculate_cap_emi!$AB$14:$AB$21, "Not found", 0),"Rb",_xlfn.XLOOKUP(E37&amp;"|"&amp;B37,
        Calculate_cap_emi!$I$14:$I$21&amp;"|"&amp;Calculate_cap_emi!$L$14:$L$21,
        Calculate_cap_emi!$AD$14:$AD$21, "Not found", 0),"Rl",_xlfn.XLOOKUP(E37&amp;"|"&amp;B37,
        Calculate_cap_emi!$I$14:$I$21&amp;"|"&amp;Calculate_cap_emi!$L$14:$L$21,
        Calculate_cap_emi!$AE$14:$AE$21, "Not found", 0),"HP",_xlfn.XLOOKUP(E37&amp;"|"&amp;B37,
        Calculate_cap_emi!$I$14:$I$21&amp;"|"&amp;Calculate_cap_emi!$L$14:$L$21,
        Calculate_cap_emi!$AC$14:$AC$21, "Not found", 0),"HPl",_xlfn.XLOOKUP(E37&amp;"|"&amp;B37,
        Calculate_cap_emi!$I$14:$I$21&amp;"|"&amp;Calculate_cap_emi!$L$14:$L$21,
        Calculate_cap_emi!$AF$14:$AF$21, "Not found", 0),"Missing")</f>
        <v>528.70588235294122</v>
      </c>
      <c r="M37" s="5"/>
      <c r="N37" s="5"/>
      <c r="O37" s="5"/>
      <c r="P37" s="5"/>
    </row>
    <row r="38" spans="1:16" x14ac:dyDescent="0.3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Calculate_cap_emi!$AB$14:$AB$21, "Not found", 0),"Rb",_xlfn.XLOOKUP(E38&amp;"|"&amp;B38,
        Calculate_cap_emi!$I$14:$I$21&amp;"|"&amp;Calculate_cap_emi!$L$14:$L$21,
        Calculate_cap_emi!$AD$14:$AD$21, "Not found", 0),"Rl",_xlfn.XLOOKUP(E38&amp;"|"&amp;B38,
        Calculate_cap_emi!$I$14:$I$21&amp;"|"&amp;Calculate_cap_emi!$L$14:$L$21,
        Calculate_cap_emi!$AE$14:$AE$21, "Not found", 0),"HP",_xlfn.XLOOKUP(E38&amp;"|"&amp;B38,
        Calculate_cap_emi!$I$14:$I$21&amp;"|"&amp;Calculate_cap_emi!$L$14:$L$21,
        Calculate_cap_emi!$AC$14:$AC$21, "Not found", 0),"HPl",_xlfn.XLOOKUP(E38&amp;"|"&amp;B38,
        Calculate_cap_emi!$I$14:$I$21&amp;"|"&amp;Calculate_cap_emi!$L$14:$L$21,
        Calculate_cap_emi!$AF$14:$AF$21, "Not found", 0),"Missing")</f>
        <v>528.70588235294122</v>
      </c>
      <c r="M38" s="5"/>
      <c r="N38" s="5"/>
      <c r="O38" s="5"/>
      <c r="P38" s="5"/>
    </row>
    <row r="39" spans="1:16" x14ac:dyDescent="0.3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Calculate_cap_emi!$AB$14:$AB$21, "Not found", 0),"Rb",_xlfn.XLOOKUP(E39&amp;"|"&amp;B39,
        Calculate_cap_emi!$I$14:$I$21&amp;"|"&amp;Calculate_cap_emi!$L$14:$L$21,
        Calculate_cap_emi!$AD$14:$AD$21, "Not found", 0),"Rl",_xlfn.XLOOKUP(E39&amp;"|"&amp;B39,
        Calculate_cap_emi!$I$14:$I$21&amp;"|"&amp;Calculate_cap_emi!$L$14:$L$21,
        Calculate_cap_emi!$AE$14:$AE$21, "Not found", 0),"HP",_xlfn.XLOOKUP(E39&amp;"|"&amp;B39,
        Calculate_cap_emi!$I$14:$I$21&amp;"|"&amp;Calculate_cap_emi!$L$14:$L$21,
        Calculate_cap_emi!$AC$14:$AC$21, "Not found", 0),"HPl",_xlfn.XLOOKUP(E39&amp;"|"&amp;B39,
        Calculate_cap_emi!$I$14:$I$21&amp;"|"&amp;Calculate_cap_emi!$L$14:$L$21,
        Calculate_cap_emi!$AF$14:$AF$21, "Not found", 0),"Missing")</f>
        <v>528.70588235294122</v>
      </c>
      <c r="M39" s="5"/>
      <c r="N39" s="5"/>
      <c r="O39" s="5"/>
      <c r="P39" s="5"/>
    </row>
    <row r="40" spans="1:16" x14ac:dyDescent="0.3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Calculate_cap_emi!$AB$14:$AB$21, "Not found", 0),"Rb",_xlfn.XLOOKUP(E40&amp;"|"&amp;B40,
        Calculate_cap_emi!$I$14:$I$21&amp;"|"&amp;Calculate_cap_emi!$L$14:$L$21,
        Calculate_cap_emi!$AD$14:$AD$21, "Not found", 0),"Rl",_xlfn.XLOOKUP(E40&amp;"|"&amp;B40,
        Calculate_cap_emi!$I$14:$I$21&amp;"|"&amp;Calculate_cap_emi!$L$14:$L$21,
        Calculate_cap_emi!$AE$14:$AE$21, "Not found", 0),"HP",_xlfn.XLOOKUP(E40&amp;"|"&amp;B40,
        Calculate_cap_emi!$I$14:$I$21&amp;"|"&amp;Calculate_cap_emi!$L$14:$L$21,
        Calculate_cap_emi!$AC$14:$AC$21, "Not found", 0),"HPl",_xlfn.XLOOKUP(E40&amp;"|"&amp;B40,
        Calculate_cap_emi!$I$14:$I$21&amp;"|"&amp;Calculate_cap_emi!$L$14:$L$21,
        Calculate_cap_emi!$AF$14:$AF$21, "Not found", 0),"Missing")</f>
        <v>528.70588235294122</v>
      </c>
      <c r="M40" s="5"/>
      <c r="N40" s="5"/>
      <c r="O40" s="5"/>
      <c r="P40" s="5"/>
    </row>
    <row r="41" spans="1:16" x14ac:dyDescent="0.3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Calculate_cap_emi!$AB$14:$AB$21, "Not found", 0),"Rb",_xlfn.XLOOKUP(E41&amp;"|"&amp;B41,
        Calculate_cap_emi!$I$14:$I$21&amp;"|"&amp;Calculate_cap_emi!$L$14:$L$21,
        Calculate_cap_emi!$AD$14:$AD$21, "Not found", 0),"Rl",_xlfn.XLOOKUP(E41&amp;"|"&amp;B41,
        Calculate_cap_emi!$I$14:$I$21&amp;"|"&amp;Calculate_cap_emi!$L$14:$L$21,
        Calculate_cap_emi!$AE$14:$AE$21, "Not found", 0),"HP",_xlfn.XLOOKUP(E41&amp;"|"&amp;B41,
        Calculate_cap_emi!$I$14:$I$21&amp;"|"&amp;Calculate_cap_emi!$L$14:$L$21,
        Calculate_cap_emi!$AC$14:$AC$21, "Not found", 0),"HPl",_xlfn.XLOOKUP(E41&amp;"|"&amp;B41,
        Calculate_cap_emi!$I$14:$I$21&amp;"|"&amp;Calculate_cap_emi!$L$14:$L$21,
        Calculate_cap_emi!$AF$14:$AF$21, "Not found", 0),"Missing")</f>
        <v>528.70588235294122</v>
      </c>
      <c r="M41" s="5"/>
      <c r="N41" s="5"/>
      <c r="O41" s="5"/>
      <c r="P41" s="5"/>
    </row>
    <row r="42" spans="1:16" x14ac:dyDescent="0.3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Calculate_cap_emi!$AB$14:$AB$21, "Not found", 0),"Rb",_xlfn.XLOOKUP(E42&amp;"|"&amp;B42,
        Calculate_cap_emi!$I$14:$I$21&amp;"|"&amp;Calculate_cap_emi!$L$14:$L$21,
        Calculate_cap_emi!$AD$14:$AD$21, "Not found", 0),"Rl",_xlfn.XLOOKUP(E42&amp;"|"&amp;B42,
        Calculate_cap_emi!$I$14:$I$21&amp;"|"&amp;Calculate_cap_emi!$L$14:$L$21,
        Calculate_cap_emi!$AE$14:$AE$21, "Not found", 0),"HP",_xlfn.XLOOKUP(E42&amp;"|"&amp;B42,
        Calculate_cap_emi!$I$14:$I$21&amp;"|"&amp;Calculate_cap_emi!$L$14:$L$21,
        Calculate_cap_emi!$AC$14:$AC$21, "Not found", 0),"HPl",_xlfn.XLOOKUP(E42&amp;"|"&amp;B42,
        Calculate_cap_emi!$I$14:$I$21&amp;"|"&amp;Calculate_cap_emi!$L$14:$L$21,
        Calculate_cap_emi!$AF$14:$AF$21, "Not found", 0),"Missing")</f>
        <v>528.70588235294122</v>
      </c>
      <c r="M42" s="5"/>
      <c r="N42" s="5"/>
      <c r="O42" s="5"/>
      <c r="P42" s="5"/>
    </row>
    <row r="43" spans="1:16" x14ac:dyDescent="0.3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Calculate_cap_emi!$AB$14:$AB$21, "Not found", 0),"Rb",_xlfn.XLOOKUP(E43&amp;"|"&amp;B43,
        Calculate_cap_emi!$I$14:$I$21&amp;"|"&amp;Calculate_cap_emi!$L$14:$L$21,
        Calculate_cap_emi!$AD$14:$AD$21, "Not found", 0),"Rl",_xlfn.XLOOKUP(E43&amp;"|"&amp;B43,
        Calculate_cap_emi!$I$14:$I$21&amp;"|"&amp;Calculate_cap_emi!$L$14:$L$21,
        Calculate_cap_emi!$AE$14:$AE$21, "Not found", 0),"HP",_xlfn.XLOOKUP(E43&amp;"|"&amp;B43,
        Calculate_cap_emi!$I$14:$I$21&amp;"|"&amp;Calculate_cap_emi!$L$14:$L$21,
        Calculate_cap_emi!$AC$14:$AC$21, "Not found", 0),"HPl",_xlfn.XLOOKUP(E43&amp;"|"&amp;B43,
        Calculate_cap_emi!$I$14:$I$21&amp;"|"&amp;Calculate_cap_emi!$L$14:$L$21,
        Calculate_cap_emi!$AF$14:$AF$21, "Not found", 0),"Missing")</f>
        <v>528.70588235294122</v>
      </c>
      <c r="M43" s="5"/>
      <c r="N43" s="5"/>
      <c r="O43" s="5"/>
      <c r="P43" s="5"/>
    </row>
    <row r="44" spans="1:16" x14ac:dyDescent="0.3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Calculate_cap_emi!$AB$14:$AB$21, "Not found", 0),"Rb",_xlfn.XLOOKUP(E44&amp;"|"&amp;B44,
        Calculate_cap_emi!$I$14:$I$21&amp;"|"&amp;Calculate_cap_emi!$L$14:$L$21,
        Calculate_cap_emi!$AD$14:$AD$21, "Not found", 0),"Rl",_xlfn.XLOOKUP(E44&amp;"|"&amp;B44,
        Calculate_cap_emi!$I$14:$I$21&amp;"|"&amp;Calculate_cap_emi!$L$14:$L$21,
        Calculate_cap_emi!$AE$14:$AE$21, "Not found", 0),"HP",_xlfn.XLOOKUP(E44&amp;"|"&amp;B44,
        Calculate_cap_emi!$I$14:$I$21&amp;"|"&amp;Calculate_cap_emi!$L$14:$L$21,
        Calculate_cap_emi!$AC$14:$AC$21, "Not found", 0),"HPl",_xlfn.XLOOKUP(E44&amp;"|"&amp;B44,
        Calculate_cap_emi!$I$14:$I$21&amp;"|"&amp;Calculate_cap_emi!$L$14:$L$21,
        Calculate_cap_emi!$AF$14:$AF$21, "Not found", 0),"Missing")</f>
        <v>528.70588235294122</v>
      </c>
      <c r="M44" s="5"/>
      <c r="N44" s="5"/>
      <c r="O44" s="5"/>
      <c r="P44" s="5"/>
    </row>
    <row r="45" spans="1:16" x14ac:dyDescent="0.3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Calculate_cap_emi!$AB$14:$AB$21, "Not found", 0),"Rb",_xlfn.XLOOKUP(E45&amp;"|"&amp;B45,
        Calculate_cap_emi!$I$14:$I$21&amp;"|"&amp;Calculate_cap_emi!$L$14:$L$21,
        Calculate_cap_emi!$AD$14:$AD$21, "Not found", 0),"Rl",_xlfn.XLOOKUP(E45&amp;"|"&amp;B45,
        Calculate_cap_emi!$I$14:$I$21&amp;"|"&amp;Calculate_cap_emi!$L$14:$L$21,
        Calculate_cap_emi!$AE$14:$AE$21, "Not found", 0),"HP",_xlfn.XLOOKUP(E45&amp;"|"&amp;B45,
        Calculate_cap_emi!$I$14:$I$21&amp;"|"&amp;Calculate_cap_emi!$L$14:$L$21,
        Calculate_cap_emi!$AC$14:$AC$21, "Not found", 0),"HPl",_xlfn.XLOOKUP(E45&amp;"|"&amp;B45,
        Calculate_cap_emi!$I$14:$I$21&amp;"|"&amp;Calculate_cap_emi!$L$14:$L$21,
        Calculate_cap_emi!$AF$14:$AF$21, "Not found", 0),"Missing")</f>
        <v>528.70588235294122</v>
      </c>
      <c r="M45" s="5"/>
      <c r="N45" s="5"/>
      <c r="O45" s="5"/>
      <c r="P45" s="5"/>
    </row>
    <row r="46" spans="1:16" x14ac:dyDescent="0.3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Calculate_cap_emi!$AB$14:$AB$21, "Not found", 0),"Rb",_xlfn.XLOOKUP(E46&amp;"|"&amp;B46,
        Calculate_cap_emi!$I$14:$I$21&amp;"|"&amp;Calculate_cap_emi!$L$14:$L$21,
        Calculate_cap_emi!$AD$14:$AD$21, "Not found", 0),"Rl",_xlfn.XLOOKUP(E46&amp;"|"&amp;B46,
        Calculate_cap_emi!$I$14:$I$21&amp;"|"&amp;Calculate_cap_emi!$L$14:$L$21,
        Calculate_cap_emi!$AE$14:$AE$21, "Not found", 0),"HP",_xlfn.XLOOKUP(E46&amp;"|"&amp;B46,
        Calculate_cap_emi!$I$14:$I$21&amp;"|"&amp;Calculate_cap_emi!$L$14:$L$21,
        Calculate_cap_emi!$AC$14:$AC$21, "Not found", 0),"HPl",_xlfn.XLOOKUP(E46&amp;"|"&amp;B46,
        Calculate_cap_emi!$I$14:$I$21&amp;"|"&amp;Calculate_cap_emi!$L$14:$L$21,
        Calculate_cap_emi!$AF$14:$AF$21, "Not found", 0),"Missing")</f>
        <v>528.70588235294122</v>
      </c>
      <c r="M46" s="5"/>
      <c r="N46" s="5"/>
      <c r="O46" s="5"/>
      <c r="P46" s="5"/>
    </row>
    <row r="47" spans="1:16" x14ac:dyDescent="0.3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Calculate_cap_emi!$AB$14:$AB$21, "Not found", 0),"Rb",_xlfn.XLOOKUP(E47&amp;"|"&amp;B47,
        Calculate_cap_emi!$I$14:$I$21&amp;"|"&amp;Calculate_cap_emi!$L$14:$L$21,
        Calculate_cap_emi!$AD$14:$AD$21, "Not found", 0),"Rl",_xlfn.XLOOKUP(E47&amp;"|"&amp;B47,
        Calculate_cap_emi!$I$14:$I$21&amp;"|"&amp;Calculate_cap_emi!$L$14:$L$21,
        Calculate_cap_emi!$AE$14:$AE$21, "Not found", 0),"HP",_xlfn.XLOOKUP(E47&amp;"|"&amp;B47,
        Calculate_cap_emi!$I$14:$I$21&amp;"|"&amp;Calculate_cap_emi!$L$14:$L$21,
        Calculate_cap_emi!$AC$14:$AC$21, "Not found", 0),"HPl",_xlfn.XLOOKUP(E47&amp;"|"&amp;B47,
        Calculate_cap_emi!$I$14:$I$21&amp;"|"&amp;Calculate_cap_emi!$L$14:$L$21,
        Calculate_cap_emi!$AF$14:$AF$21, "Not found", 0),"Missing")</f>
        <v>528.70588235294122</v>
      </c>
      <c r="M47" s="5"/>
      <c r="N47" s="5"/>
      <c r="O47" s="5"/>
      <c r="P47" s="5"/>
    </row>
    <row r="48" spans="1:16" x14ac:dyDescent="0.3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Calculate_cap_emi!$AB$14:$AB$21, "Not found", 0),"Rb",_xlfn.XLOOKUP(E48&amp;"|"&amp;B48,
        Calculate_cap_emi!$I$14:$I$21&amp;"|"&amp;Calculate_cap_emi!$L$14:$L$21,
        Calculate_cap_emi!$AD$14:$AD$21, "Not found", 0),"Rl",_xlfn.XLOOKUP(E48&amp;"|"&amp;B48,
        Calculate_cap_emi!$I$14:$I$21&amp;"|"&amp;Calculate_cap_emi!$L$14:$L$21,
        Calculate_cap_emi!$AE$14:$AE$21, "Not found", 0),"HP",_xlfn.XLOOKUP(E48&amp;"|"&amp;B48,
        Calculate_cap_emi!$I$14:$I$21&amp;"|"&amp;Calculate_cap_emi!$L$14:$L$21,
        Calculate_cap_emi!$AC$14:$AC$21, "Not found", 0),"HPl",_xlfn.XLOOKUP(E48&amp;"|"&amp;B48,
        Calculate_cap_emi!$I$14:$I$21&amp;"|"&amp;Calculate_cap_emi!$L$14:$L$21,
        Calculate_cap_emi!$AF$14:$AF$21, "Not found", 0),"Missing")</f>
        <v>528.70588235294122</v>
      </c>
      <c r="M48" s="5"/>
      <c r="N48" s="5"/>
      <c r="O48" s="5"/>
      <c r="P48" s="5"/>
    </row>
    <row r="49" spans="1:16" x14ac:dyDescent="0.3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Calculate_cap_emi!$AB$14:$AB$21, "Not found", 0),"Rb",_xlfn.XLOOKUP(E49&amp;"|"&amp;B49,
        Calculate_cap_emi!$I$14:$I$21&amp;"|"&amp;Calculate_cap_emi!$L$14:$L$21,
        Calculate_cap_emi!$AD$14:$AD$21, "Not found", 0),"Rl",_xlfn.XLOOKUP(E49&amp;"|"&amp;B49,
        Calculate_cap_emi!$I$14:$I$21&amp;"|"&amp;Calculate_cap_emi!$L$14:$L$21,
        Calculate_cap_emi!$AE$14:$AE$21, "Not found", 0),"HP",_xlfn.XLOOKUP(E49&amp;"|"&amp;B49,
        Calculate_cap_emi!$I$14:$I$21&amp;"|"&amp;Calculate_cap_emi!$L$14:$L$21,
        Calculate_cap_emi!$AC$14:$AC$21, "Not found", 0),"HPl",_xlfn.XLOOKUP(E49&amp;"|"&amp;B49,
        Calculate_cap_emi!$I$14:$I$21&amp;"|"&amp;Calculate_cap_emi!$L$14:$L$21,
        Calculate_cap_emi!$AF$14:$AF$21, "Not found", 0),"Missing")</f>
        <v>528.70588235294122</v>
      </c>
      <c r="M49" s="5"/>
      <c r="N49" s="5"/>
      <c r="O49" s="5"/>
      <c r="P49" s="5"/>
    </row>
    <row r="50" spans="1:16" x14ac:dyDescent="0.3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Calculate_cap_emi!$AB$14:$AB$21, "Not found", 0),"Rb",_xlfn.XLOOKUP(E50&amp;"|"&amp;B50,
        Calculate_cap_emi!$I$14:$I$21&amp;"|"&amp;Calculate_cap_emi!$L$14:$L$21,
        Calculate_cap_emi!$AD$14:$AD$21, "Not found", 0),"Rl",_xlfn.XLOOKUP(E50&amp;"|"&amp;B50,
        Calculate_cap_emi!$I$14:$I$21&amp;"|"&amp;Calculate_cap_emi!$L$14:$L$21,
        Calculate_cap_emi!$AE$14:$AE$21, "Not found", 0),"HP",_xlfn.XLOOKUP(E50&amp;"|"&amp;B50,
        Calculate_cap_emi!$I$14:$I$21&amp;"|"&amp;Calculate_cap_emi!$L$14:$L$21,
        Calculate_cap_emi!$AC$14:$AC$21, "Not found", 0),"HPl",_xlfn.XLOOKUP(E50&amp;"|"&amp;B50,
        Calculate_cap_emi!$I$14:$I$21&amp;"|"&amp;Calculate_cap_emi!$L$14:$L$21,
        Calculate_cap_emi!$AF$14:$AF$21, "Not found", 0),"Missing")</f>
        <v>1331.0464534046375</v>
      </c>
      <c r="M50" s="5"/>
      <c r="N50" s="5"/>
      <c r="O50" s="5"/>
      <c r="P50" s="5"/>
    </row>
    <row r="51" spans="1:16" x14ac:dyDescent="0.3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Calculate_cap_emi!$AB$14:$AB$21, "Not found", 0),"Rb",_xlfn.XLOOKUP(E51&amp;"|"&amp;B51,
        Calculate_cap_emi!$I$14:$I$21&amp;"|"&amp;Calculate_cap_emi!$L$14:$L$21,
        Calculate_cap_emi!$AD$14:$AD$21, "Not found", 0),"Rl",_xlfn.XLOOKUP(E51&amp;"|"&amp;B51,
        Calculate_cap_emi!$I$14:$I$21&amp;"|"&amp;Calculate_cap_emi!$L$14:$L$21,
        Calculate_cap_emi!$AE$14:$AE$21, "Not found", 0),"HP",_xlfn.XLOOKUP(E51&amp;"|"&amp;B51,
        Calculate_cap_emi!$I$14:$I$21&amp;"|"&amp;Calculate_cap_emi!$L$14:$L$21,
        Calculate_cap_emi!$AC$14:$AC$21, "Not found", 0),"HPl",_xlfn.XLOOKUP(E51&amp;"|"&amp;B51,
        Calculate_cap_emi!$I$14:$I$21&amp;"|"&amp;Calculate_cap_emi!$L$14:$L$21,
        Calculate_cap_emi!$AF$14:$AF$21, "Not found", 0),"Missing")</f>
        <v>1331.0464534046375</v>
      </c>
      <c r="M51" s="5"/>
      <c r="N51" s="5"/>
      <c r="O51" s="5"/>
      <c r="P51" s="5"/>
    </row>
    <row r="52" spans="1:16" x14ac:dyDescent="0.3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Calculate_cap_emi!$AB$14:$AB$21, "Not found", 0),"Rb",_xlfn.XLOOKUP(E52&amp;"|"&amp;B52,
        Calculate_cap_emi!$I$14:$I$21&amp;"|"&amp;Calculate_cap_emi!$L$14:$L$21,
        Calculate_cap_emi!$AD$14:$AD$21, "Not found", 0),"Rl",_xlfn.XLOOKUP(E52&amp;"|"&amp;B52,
        Calculate_cap_emi!$I$14:$I$21&amp;"|"&amp;Calculate_cap_emi!$L$14:$L$21,
        Calculate_cap_emi!$AE$14:$AE$21, "Not found", 0),"HP",_xlfn.XLOOKUP(E52&amp;"|"&amp;B52,
        Calculate_cap_emi!$I$14:$I$21&amp;"|"&amp;Calculate_cap_emi!$L$14:$L$21,
        Calculate_cap_emi!$AC$14:$AC$21, "Not found", 0),"HPl",_xlfn.XLOOKUP(E52&amp;"|"&amp;B52,
        Calculate_cap_emi!$I$14:$I$21&amp;"|"&amp;Calculate_cap_emi!$L$14:$L$21,
        Calculate_cap_emi!$AF$14:$AF$21, "Not found", 0),"Missing")</f>
        <v>858.00441176470588</v>
      </c>
      <c r="M52" s="5"/>
      <c r="N52" s="5"/>
      <c r="O52" s="5"/>
      <c r="P52" s="5"/>
    </row>
    <row r="53" spans="1:16" x14ac:dyDescent="0.3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Calculate_cap_emi!$AB$14:$AB$21, "Not found", 0),"Rb",_xlfn.XLOOKUP(E53&amp;"|"&amp;B53,
        Calculate_cap_emi!$I$14:$I$21&amp;"|"&amp;Calculate_cap_emi!$L$14:$L$21,
        Calculate_cap_emi!$AD$14:$AD$21, "Not found", 0),"Rl",_xlfn.XLOOKUP(E53&amp;"|"&amp;B53,
        Calculate_cap_emi!$I$14:$I$21&amp;"|"&amp;Calculate_cap_emi!$L$14:$L$21,
        Calculate_cap_emi!$AE$14:$AE$21, "Not found", 0),"HP",_xlfn.XLOOKUP(E53&amp;"|"&amp;B53,
        Calculate_cap_emi!$I$14:$I$21&amp;"|"&amp;Calculate_cap_emi!$L$14:$L$21,
        Calculate_cap_emi!$AC$14:$AC$21, "Not found", 0),"HPl",_xlfn.XLOOKUP(E53&amp;"|"&amp;B53,
        Calculate_cap_emi!$I$14:$I$21&amp;"|"&amp;Calculate_cap_emi!$L$14:$L$21,
        Calculate_cap_emi!$AF$14:$AF$21, "Not found", 0),"Missing")</f>
        <v>858.00441176470588</v>
      </c>
      <c r="M53" s="5"/>
      <c r="N53" s="5"/>
      <c r="O53" s="5"/>
      <c r="P53" s="5"/>
    </row>
    <row r="54" spans="1:16" x14ac:dyDescent="0.3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Calculate_cap_emi!$AB$14:$AB$21, "Not found", 0),"Rb",_xlfn.XLOOKUP(E54&amp;"|"&amp;B54,
        Calculate_cap_emi!$I$14:$I$21&amp;"|"&amp;Calculate_cap_emi!$L$14:$L$21,
        Calculate_cap_emi!$AD$14:$AD$21, "Not found", 0),"Rl",_xlfn.XLOOKUP(E54&amp;"|"&amp;B54,
        Calculate_cap_emi!$I$14:$I$21&amp;"|"&amp;Calculate_cap_emi!$L$14:$L$21,
        Calculate_cap_emi!$AE$14:$AE$21, "Not found", 0),"HP",_xlfn.XLOOKUP(E54&amp;"|"&amp;B54,
        Calculate_cap_emi!$I$14:$I$21&amp;"|"&amp;Calculate_cap_emi!$L$14:$L$21,
        Calculate_cap_emi!$AC$14:$AC$21, "Not found", 0),"HPl",_xlfn.XLOOKUP(E54&amp;"|"&amp;B54,
        Calculate_cap_emi!$I$14:$I$21&amp;"|"&amp;Calculate_cap_emi!$L$14:$L$21,
        Calculate_cap_emi!$AF$14:$AF$21, "Not found", 0),"Missing")</f>
        <v>1331.0464534046375</v>
      </c>
      <c r="M54" s="5"/>
      <c r="N54" s="5"/>
      <c r="O54" s="5"/>
      <c r="P54" s="5"/>
    </row>
    <row r="55" spans="1:16" x14ac:dyDescent="0.3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Calculate_cap_emi!$AB$14:$AB$21, "Not found", 0),"Rb",_xlfn.XLOOKUP(E55&amp;"|"&amp;B55,
        Calculate_cap_emi!$I$14:$I$21&amp;"|"&amp;Calculate_cap_emi!$L$14:$L$21,
        Calculate_cap_emi!$AD$14:$AD$21, "Not found", 0),"Rl",_xlfn.XLOOKUP(E55&amp;"|"&amp;B55,
        Calculate_cap_emi!$I$14:$I$21&amp;"|"&amp;Calculate_cap_emi!$L$14:$L$21,
        Calculate_cap_emi!$AE$14:$AE$21, "Not found", 0),"HP",_xlfn.XLOOKUP(E55&amp;"|"&amp;B55,
        Calculate_cap_emi!$I$14:$I$21&amp;"|"&amp;Calculate_cap_emi!$L$14:$L$21,
        Calculate_cap_emi!$AC$14:$AC$21, "Not found", 0),"HPl",_xlfn.XLOOKUP(E55&amp;"|"&amp;B55,
        Calculate_cap_emi!$I$14:$I$21&amp;"|"&amp;Calculate_cap_emi!$L$14:$L$21,
        Calculate_cap_emi!$AF$14:$AF$21, "Not found", 0),"Missing")</f>
        <v>1331.0464534046375</v>
      </c>
      <c r="M55" s="5"/>
      <c r="N55" s="5"/>
      <c r="O55" s="5"/>
      <c r="P55" s="5"/>
    </row>
    <row r="56" spans="1:16" x14ac:dyDescent="0.3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7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Calculate_cap_emi!$AB$14:$AB$21, "Not found", 0),"Rb",_xlfn.XLOOKUP(E56&amp;"|"&amp;B56,
        Calculate_cap_emi!$I$14:$I$21&amp;"|"&amp;Calculate_cap_emi!$L$14:$L$21,
        Calculate_cap_emi!$AD$14:$AD$21, "Not found", 0),"Rl",_xlfn.XLOOKUP(E56&amp;"|"&amp;B56,
        Calculate_cap_emi!$I$14:$I$21&amp;"|"&amp;Calculate_cap_emi!$L$14:$L$21,
        Calculate_cap_emi!$AE$14:$AE$21, "Not found", 0),"HP",_xlfn.XLOOKUP(E56&amp;"|"&amp;B56,
        Calculate_cap_emi!$I$14:$I$21&amp;"|"&amp;Calculate_cap_emi!$L$14:$L$21,
        Calculate_cap_emi!$AC$14:$AC$21, "Not found", 0),"HPl",_xlfn.XLOOKUP(E56&amp;"|"&amp;B56,
        Calculate_cap_emi!$I$14:$I$21&amp;"|"&amp;Calculate_cap_emi!$L$14:$L$21,
        Calculate_cap_emi!$AF$14:$AF$21, "Not found", 0),"Missing")</f>
        <v>900.90463235294112</v>
      </c>
      <c r="M56" s="5"/>
      <c r="N56" s="5"/>
      <c r="O56" s="5"/>
      <c r="P56" s="5"/>
    </row>
    <row r="57" spans="1:16" x14ac:dyDescent="0.3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7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Calculate_cap_emi!$AB$14:$AB$21, "Not found", 0),"Rb",_xlfn.XLOOKUP(E57&amp;"|"&amp;B57,
        Calculate_cap_emi!$I$14:$I$21&amp;"|"&amp;Calculate_cap_emi!$L$14:$L$21,
        Calculate_cap_emi!$AD$14:$AD$21, "Not found", 0),"Rl",_xlfn.XLOOKUP(E57&amp;"|"&amp;B57,
        Calculate_cap_emi!$I$14:$I$21&amp;"|"&amp;Calculate_cap_emi!$L$14:$L$21,
        Calculate_cap_emi!$AE$14:$AE$21, "Not found", 0),"HP",_xlfn.XLOOKUP(E57&amp;"|"&amp;B57,
        Calculate_cap_emi!$I$14:$I$21&amp;"|"&amp;Calculate_cap_emi!$L$14:$L$21,
        Calculate_cap_emi!$AC$14:$AC$21, "Not found", 0),"HPl",_xlfn.XLOOKUP(E57&amp;"|"&amp;B57,
        Calculate_cap_emi!$I$14:$I$21&amp;"|"&amp;Calculate_cap_emi!$L$14:$L$21,
        Calculate_cap_emi!$AF$14:$AF$21, "Not found", 0),"Missing")</f>
        <v>900.90463235294112</v>
      </c>
      <c r="M57" s="5"/>
      <c r="N57" s="5"/>
      <c r="O57" s="5"/>
      <c r="P57" s="5"/>
    </row>
    <row r="58" spans="1:16" x14ac:dyDescent="0.3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Calculate_cap_emi!$AB$14:$AB$21, "Not found", 0),"Rb",_xlfn.XLOOKUP(E58&amp;"|"&amp;B58,
        Calculate_cap_emi!$I$14:$I$21&amp;"|"&amp;Calculate_cap_emi!$L$14:$L$21,
        Calculate_cap_emi!$AD$14:$AD$21, "Not found", 0),"Rl",_xlfn.XLOOKUP(E58&amp;"|"&amp;B58,
        Calculate_cap_emi!$I$14:$I$21&amp;"|"&amp;Calculate_cap_emi!$L$14:$L$21,
        Calculate_cap_emi!$AE$14:$AE$21, "Not found", 0),"HP",_xlfn.XLOOKUP(E58&amp;"|"&amp;B58,
        Calculate_cap_emi!$I$14:$I$21&amp;"|"&amp;Calculate_cap_emi!$L$14:$L$21,
        Calculate_cap_emi!$AC$14:$AC$21, "Not found", 0),"HPl",_xlfn.XLOOKUP(E58&amp;"|"&amp;B58,
        Calculate_cap_emi!$I$14:$I$21&amp;"|"&amp;Calculate_cap_emi!$L$14:$L$21,
        Calculate_cap_emi!$AF$14:$AF$21, "Not found", 0),"Missing")</f>
        <v>2064.8899199447478</v>
      </c>
      <c r="M58" s="5"/>
      <c r="N58" s="5"/>
      <c r="O58" s="5"/>
      <c r="P58" s="5"/>
    </row>
    <row r="59" spans="1:16" x14ac:dyDescent="0.3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Calculate_cap_emi!$AB$14:$AB$21, "Not found", 0),"Rb",_xlfn.XLOOKUP(E59&amp;"|"&amp;B59,
        Calculate_cap_emi!$I$14:$I$21&amp;"|"&amp;Calculate_cap_emi!$L$14:$L$21,
        Calculate_cap_emi!$AD$14:$AD$21, "Not found", 0),"Rl",_xlfn.XLOOKUP(E59&amp;"|"&amp;B59,
        Calculate_cap_emi!$I$14:$I$21&amp;"|"&amp;Calculate_cap_emi!$L$14:$L$21,
        Calculate_cap_emi!$AE$14:$AE$21, "Not found", 0),"HP",_xlfn.XLOOKUP(E59&amp;"|"&amp;B59,
        Calculate_cap_emi!$I$14:$I$21&amp;"|"&amp;Calculate_cap_emi!$L$14:$L$21,
        Calculate_cap_emi!$AC$14:$AC$21, "Not found", 0),"HPl",_xlfn.XLOOKUP(E59&amp;"|"&amp;B59,
        Calculate_cap_emi!$I$14:$I$21&amp;"|"&amp;Calculate_cap_emi!$L$14:$L$21,
        Calculate_cap_emi!$AF$14:$AF$21, "Not found", 0),"Missing")</f>
        <v>2064.8899199447478</v>
      </c>
      <c r="M59" s="5"/>
      <c r="N59" s="5"/>
      <c r="O59" s="5"/>
      <c r="P59" s="5"/>
    </row>
    <row r="60" spans="1:16" x14ac:dyDescent="0.3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8.5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Calculate_cap_emi!$AB$14:$AB$21, "Not found", 0),"Rb",_xlfn.XLOOKUP(E60&amp;"|"&amp;B60,
        Calculate_cap_emi!$I$14:$I$21&amp;"|"&amp;Calculate_cap_emi!$L$14:$L$21,
        Calculate_cap_emi!$AD$14:$AD$21, "Not found", 0),"Rl",_xlfn.XLOOKUP(E60&amp;"|"&amp;B60,
        Calculate_cap_emi!$I$14:$I$21&amp;"|"&amp;Calculate_cap_emi!$L$14:$L$21,
        Calculate_cap_emi!$AE$14:$AE$21, "Not found", 0),"HP",_xlfn.XLOOKUP(E60&amp;"|"&amp;B60,
        Calculate_cap_emi!$I$14:$I$21&amp;"|"&amp;Calculate_cap_emi!$L$14:$L$21,
        Calculate_cap_emi!$AC$14:$AC$21, "Not found", 0),"HPl",_xlfn.XLOOKUP(E60&amp;"|"&amp;B60,
        Calculate_cap_emi!$I$14:$I$21&amp;"|"&amp;Calculate_cap_emi!$L$14:$L$21,
        Calculate_cap_emi!$AF$14:$AF$21, "Not found", 0),"Missing")</f>
        <v>1042.9097250275738</v>
      </c>
      <c r="M60" s="5"/>
      <c r="N60" s="5"/>
      <c r="O60" s="5"/>
      <c r="P60" s="5"/>
    </row>
    <row r="61" spans="1:16" x14ac:dyDescent="0.3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8.5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Calculate_cap_emi!$AB$14:$AB$21, "Not found", 0),"Rb",_xlfn.XLOOKUP(E61&amp;"|"&amp;B61,
        Calculate_cap_emi!$I$14:$I$21&amp;"|"&amp;Calculate_cap_emi!$L$14:$L$21,
        Calculate_cap_emi!$AD$14:$AD$21, "Not found", 0),"Rl",_xlfn.XLOOKUP(E61&amp;"|"&amp;B61,
        Calculate_cap_emi!$I$14:$I$21&amp;"|"&amp;Calculate_cap_emi!$L$14:$L$21,
        Calculate_cap_emi!$AE$14:$AE$21, "Not found", 0),"HP",_xlfn.XLOOKUP(E61&amp;"|"&amp;B61,
        Calculate_cap_emi!$I$14:$I$21&amp;"|"&amp;Calculate_cap_emi!$L$14:$L$21,
        Calculate_cap_emi!$AC$14:$AC$21, "Not found", 0),"HPl",_xlfn.XLOOKUP(E61&amp;"|"&amp;B61,
        Calculate_cap_emi!$I$14:$I$21&amp;"|"&amp;Calculate_cap_emi!$L$14:$L$21,
        Calculate_cap_emi!$AF$14:$AF$21, "Not found", 0),"Missing")</f>
        <v>1042.9097250275738</v>
      </c>
      <c r="M61" s="5"/>
      <c r="N61" s="5"/>
      <c r="O61" s="5"/>
      <c r="P61" s="5"/>
    </row>
    <row r="62" spans="1:16" x14ac:dyDescent="0.3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15.5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Calculate_cap_emi!$AB$14:$AB$21, "Not found", 0),"Rb",_xlfn.XLOOKUP(E62&amp;"|"&amp;B62,
        Calculate_cap_emi!$I$14:$I$21&amp;"|"&amp;Calculate_cap_emi!$L$14:$L$21,
        Calculate_cap_emi!$AD$14:$AD$21, "Not found", 0),"Rl",_xlfn.XLOOKUP(E62&amp;"|"&amp;B62,
        Calculate_cap_emi!$I$14:$I$21&amp;"|"&amp;Calculate_cap_emi!$L$14:$L$21,
        Calculate_cap_emi!$AE$14:$AE$21, "Not found", 0),"HP",_xlfn.XLOOKUP(E62&amp;"|"&amp;B62,
        Calculate_cap_emi!$I$14:$I$21&amp;"|"&amp;Calculate_cap_emi!$L$14:$L$21,
        Calculate_cap_emi!$AC$14:$AC$21, "Not found", 0),"HPl",_xlfn.XLOOKUP(E62&amp;"|"&amp;B62,
        Calculate_cap_emi!$I$14:$I$21&amp;"|"&amp;Calculate_cap_emi!$L$14:$L$21,
        Calculate_cap_emi!$AF$14:$AF$21, "Not found", 0),"Missing")</f>
        <v>2064.8899199447478</v>
      </c>
      <c r="M62" s="5"/>
      <c r="N62" s="5"/>
      <c r="O62" s="5"/>
      <c r="P62" s="5"/>
    </row>
    <row r="63" spans="1:16" x14ac:dyDescent="0.3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15.5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Calculate_cap_emi!$AB$14:$AB$21, "Not found", 0),"Rb",_xlfn.XLOOKUP(E63&amp;"|"&amp;B63,
        Calculate_cap_emi!$I$14:$I$21&amp;"|"&amp;Calculate_cap_emi!$L$14:$L$21,
        Calculate_cap_emi!$AD$14:$AD$21, "Not found", 0),"Rl",_xlfn.XLOOKUP(E63&amp;"|"&amp;B63,
        Calculate_cap_emi!$I$14:$I$21&amp;"|"&amp;Calculate_cap_emi!$L$14:$L$21,
        Calculate_cap_emi!$AE$14:$AE$21, "Not found", 0),"HP",_xlfn.XLOOKUP(E63&amp;"|"&amp;B63,
        Calculate_cap_emi!$I$14:$I$21&amp;"|"&amp;Calculate_cap_emi!$L$14:$L$21,
        Calculate_cap_emi!$AC$14:$AC$21, "Not found", 0),"HPl",_xlfn.XLOOKUP(E63&amp;"|"&amp;B63,
        Calculate_cap_emi!$I$14:$I$21&amp;"|"&amp;Calculate_cap_emi!$L$14:$L$21,
        Calculate_cap_emi!$AF$14:$AF$21, "Not found", 0),"Missing")</f>
        <v>2064.8899199447478</v>
      </c>
      <c r="M63" s="5"/>
      <c r="N63" s="5"/>
      <c r="O63" s="5"/>
      <c r="P63" s="5"/>
    </row>
    <row r="64" spans="1:16" x14ac:dyDescent="0.3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Calculate_cap_emi!$AB$14:$AB$21, "Not found", 0),"Rb",_xlfn.XLOOKUP(E64&amp;"|"&amp;B64,
        Calculate_cap_emi!$I$14:$I$21&amp;"|"&amp;Calculate_cap_emi!$L$14:$L$21,
        Calculate_cap_emi!$AD$14:$AD$21, "Not found", 0),"Rl",_xlfn.XLOOKUP(E64&amp;"|"&amp;B64,
        Calculate_cap_emi!$I$14:$I$21&amp;"|"&amp;Calculate_cap_emi!$L$14:$L$21,
        Calculate_cap_emi!$AE$14:$AE$21, "Not found", 0),"HP",_xlfn.XLOOKUP(E64&amp;"|"&amp;B64,
        Calculate_cap_emi!$I$14:$I$21&amp;"|"&amp;Calculate_cap_emi!$L$14:$L$21,
        Calculate_cap_emi!$AC$14:$AC$21, "Not found", 0),"HPl",_xlfn.XLOOKUP(E64&amp;"|"&amp;B64,
        Calculate_cap_emi!$I$14:$I$21&amp;"|"&amp;Calculate_cap_emi!$L$14:$L$21,
        Calculate_cap_emi!$AF$14:$AF$21, "Not found", 0),"Missing")</f>
        <v>1540.8526506225442</v>
      </c>
      <c r="M64" s="5"/>
      <c r="N64" s="5"/>
      <c r="O64" s="5"/>
      <c r="P64" s="5"/>
    </row>
    <row r="65" spans="1:16" x14ac:dyDescent="0.3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Calculate_cap_emi!$AB$14:$AB$21, "Not found", 0),"Rb",_xlfn.XLOOKUP(E65&amp;"|"&amp;B65,
        Calculate_cap_emi!$I$14:$I$21&amp;"|"&amp;Calculate_cap_emi!$L$14:$L$21,
        Calculate_cap_emi!$AD$14:$AD$21, "Not found", 0),"Rl",_xlfn.XLOOKUP(E65&amp;"|"&amp;B65,
        Calculate_cap_emi!$I$14:$I$21&amp;"|"&amp;Calculate_cap_emi!$L$14:$L$21,
        Calculate_cap_emi!$AE$14:$AE$21, "Not found", 0),"HP",_xlfn.XLOOKUP(E65&amp;"|"&amp;B65,
        Calculate_cap_emi!$I$14:$I$21&amp;"|"&amp;Calculate_cap_emi!$L$14:$L$21,
        Calculate_cap_emi!$AC$14:$AC$21, "Not found", 0),"HPl",_xlfn.XLOOKUP(E65&amp;"|"&amp;B65,
        Calculate_cap_emi!$I$14:$I$21&amp;"|"&amp;Calculate_cap_emi!$L$14:$L$21,
        Calculate_cap_emi!$AF$14:$AF$21, "Not found", 0),"Missing")</f>
        <v>1540.8526506225442</v>
      </c>
      <c r="M65" s="5"/>
      <c r="N65" s="5"/>
      <c r="O65" s="5"/>
      <c r="P65" s="5"/>
    </row>
    <row r="66" spans="1:16" x14ac:dyDescent="0.3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Calculate_cap_emi!$AB$14:$AB$21, "Not found", 0),"Rb",_xlfn.XLOOKUP(E66&amp;"|"&amp;B66,
        Calculate_cap_emi!$I$14:$I$21&amp;"|"&amp;Calculate_cap_emi!$L$14:$L$21,
        Calculate_cap_emi!$AD$14:$AD$21, "Not found", 0),"Rl",_xlfn.XLOOKUP(E66&amp;"|"&amp;B66,
        Calculate_cap_emi!$I$14:$I$21&amp;"|"&amp;Calculate_cap_emi!$L$14:$L$21,
        Calculate_cap_emi!$AE$14:$AE$21, "Not found", 0),"HP",_xlfn.XLOOKUP(E66&amp;"|"&amp;B66,
        Calculate_cap_emi!$I$14:$I$21&amp;"|"&amp;Calculate_cap_emi!$L$14:$L$21,
        Calculate_cap_emi!$AC$14:$AC$21, "Not found", 0),"HPl",_xlfn.XLOOKUP(E66&amp;"|"&amp;B66,
        Calculate_cap_emi!$I$14:$I$21&amp;"|"&amp;Calculate_cap_emi!$L$14:$L$21,
        Calculate_cap_emi!$AF$14:$AF$21, "Not found", 0),"Missing")</f>
        <v>900.90463235294112</v>
      </c>
      <c r="M66" s="5"/>
      <c r="N66" s="5"/>
      <c r="O66" s="5"/>
      <c r="P66" s="5"/>
    </row>
    <row r="67" spans="1:16" x14ac:dyDescent="0.3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Calculate_cap_emi!$AB$14:$AB$21, "Not found", 0),"Rb",_xlfn.XLOOKUP(E67&amp;"|"&amp;B67,
        Calculate_cap_emi!$I$14:$I$21&amp;"|"&amp;Calculate_cap_emi!$L$14:$L$21,
        Calculate_cap_emi!$AD$14:$AD$21, "Not found", 0),"Rl",_xlfn.XLOOKUP(E67&amp;"|"&amp;B67,
        Calculate_cap_emi!$I$14:$I$21&amp;"|"&amp;Calculate_cap_emi!$L$14:$L$21,
        Calculate_cap_emi!$AE$14:$AE$21, "Not found", 0),"HP",_xlfn.XLOOKUP(E67&amp;"|"&amp;B67,
        Calculate_cap_emi!$I$14:$I$21&amp;"|"&amp;Calculate_cap_emi!$L$14:$L$21,
        Calculate_cap_emi!$AC$14:$AC$21, "Not found", 0),"HPl",_xlfn.XLOOKUP(E67&amp;"|"&amp;B67,
        Calculate_cap_emi!$I$14:$I$21&amp;"|"&amp;Calculate_cap_emi!$L$14:$L$21,
        Calculate_cap_emi!$AF$14:$AF$21, "Not found", 0),"Missing")</f>
        <v>900.90463235294112</v>
      </c>
      <c r="M67" s="5"/>
      <c r="N67" s="5"/>
      <c r="O67" s="5"/>
      <c r="P67" s="5"/>
    </row>
    <row r="68" spans="1:16" x14ac:dyDescent="0.3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Calculate_cap_emi!$AB$14:$AB$21, "Not found", 0),"Rb",_xlfn.XLOOKUP(E68&amp;"|"&amp;B68,
        Calculate_cap_emi!$I$14:$I$21&amp;"|"&amp;Calculate_cap_emi!$L$14:$L$21,
        Calculate_cap_emi!$AD$14:$AD$21, "Not found", 0),"Rl",_xlfn.XLOOKUP(E68&amp;"|"&amp;B68,
        Calculate_cap_emi!$I$14:$I$21&amp;"|"&amp;Calculate_cap_emi!$L$14:$L$21,
        Calculate_cap_emi!$AE$14:$AE$21, "Not found", 0),"HP",_xlfn.XLOOKUP(E68&amp;"|"&amp;B68,
        Calculate_cap_emi!$I$14:$I$21&amp;"|"&amp;Calculate_cap_emi!$L$14:$L$21,
        Calculate_cap_emi!$AC$14:$AC$21, "Not found", 0),"HPl",_xlfn.XLOOKUP(E68&amp;"|"&amp;B68,
        Calculate_cap_emi!$I$14:$I$21&amp;"|"&amp;Calculate_cap_emi!$L$14:$L$21,
        Calculate_cap_emi!$AF$14:$AF$21, "Not found", 0),"Missing")</f>
        <v>741.17647058823525</v>
      </c>
      <c r="M68" s="5"/>
      <c r="N68" s="5"/>
      <c r="O68" s="5"/>
      <c r="P68" s="5"/>
    </row>
    <row r="69" spans="1:16" x14ac:dyDescent="0.3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Calculate_cap_emi!$AB$14:$AB$21, "Not found", 0),"Rb",_xlfn.XLOOKUP(E69&amp;"|"&amp;B69,
        Calculate_cap_emi!$I$14:$I$21&amp;"|"&amp;Calculate_cap_emi!$L$14:$L$21,
        Calculate_cap_emi!$AD$14:$AD$21, "Not found", 0),"Rl",_xlfn.XLOOKUP(E69&amp;"|"&amp;B69,
        Calculate_cap_emi!$I$14:$I$21&amp;"|"&amp;Calculate_cap_emi!$L$14:$L$21,
        Calculate_cap_emi!$AE$14:$AE$21, "Not found", 0),"HP",_xlfn.XLOOKUP(E69&amp;"|"&amp;B69,
        Calculate_cap_emi!$I$14:$I$21&amp;"|"&amp;Calculate_cap_emi!$L$14:$L$21,
        Calculate_cap_emi!$AC$14:$AC$21, "Not found", 0),"HPl",_xlfn.XLOOKUP(E69&amp;"|"&amp;B69,
        Calculate_cap_emi!$I$14:$I$21&amp;"|"&amp;Calculate_cap_emi!$L$14:$L$21,
        Calculate_cap_emi!$AF$14:$AF$21, "Not found", 0),"Missing")</f>
        <v>741.17647058823525</v>
      </c>
      <c r="M69" s="5"/>
      <c r="N69" s="5"/>
      <c r="O69" s="5"/>
      <c r="P69" s="5"/>
    </row>
    <row r="70" spans="1:16" x14ac:dyDescent="0.3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Calculate_cap_emi!$AB$14:$AB$21, "Not found", 0),"Rb",_xlfn.XLOOKUP(E70&amp;"|"&amp;B70,
        Calculate_cap_emi!$I$14:$I$21&amp;"|"&amp;Calculate_cap_emi!$L$14:$L$21,
        Calculate_cap_emi!$AD$14:$AD$21, "Not found", 0),"Rl",_xlfn.XLOOKUP(E70&amp;"|"&amp;B70,
        Calculate_cap_emi!$I$14:$I$21&amp;"|"&amp;Calculate_cap_emi!$L$14:$L$21,
        Calculate_cap_emi!$AE$14:$AE$21, "Not found", 0),"HP",_xlfn.XLOOKUP(E70&amp;"|"&amp;B70,
        Calculate_cap_emi!$I$14:$I$21&amp;"|"&amp;Calculate_cap_emi!$L$14:$L$21,
        Calculate_cap_emi!$AC$14:$AC$21, "Not found", 0),"HPl",_xlfn.XLOOKUP(E70&amp;"|"&amp;B70,
        Calculate_cap_emi!$I$14:$I$21&amp;"|"&amp;Calculate_cap_emi!$L$14:$L$21,
        Calculate_cap_emi!$AF$14:$AF$21, "Not found", 0),"Missing")</f>
        <v>993.24735716911789</v>
      </c>
      <c r="M70" s="5"/>
      <c r="N70" s="5"/>
      <c r="O70" s="5"/>
      <c r="P70" s="5"/>
    </row>
    <row r="71" spans="1:16" x14ac:dyDescent="0.3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Calculate_cap_emi!$AB$14:$AB$21, "Not found", 0),"Rb",_xlfn.XLOOKUP(E71&amp;"|"&amp;B71,
        Calculate_cap_emi!$I$14:$I$21&amp;"|"&amp;Calculate_cap_emi!$L$14:$L$21,
        Calculate_cap_emi!$AD$14:$AD$21, "Not found", 0),"Rl",_xlfn.XLOOKUP(E71&amp;"|"&amp;B71,
        Calculate_cap_emi!$I$14:$I$21&amp;"|"&amp;Calculate_cap_emi!$L$14:$L$21,
        Calculate_cap_emi!$AE$14:$AE$21, "Not found", 0),"HP",_xlfn.XLOOKUP(E71&amp;"|"&amp;B71,
        Calculate_cap_emi!$I$14:$I$21&amp;"|"&amp;Calculate_cap_emi!$L$14:$L$21,
        Calculate_cap_emi!$AC$14:$AC$21, "Not found", 0),"HPl",_xlfn.XLOOKUP(E71&amp;"|"&amp;B71,
        Calculate_cap_emi!$I$14:$I$21&amp;"|"&amp;Calculate_cap_emi!$L$14:$L$21,
        Calculate_cap_emi!$AF$14:$AF$21, "Not found", 0),"Missing")</f>
        <v>993.24735716911789</v>
      </c>
      <c r="M71" s="5"/>
      <c r="N71" s="5"/>
      <c r="O71" s="5"/>
      <c r="P71" s="5"/>
    </row>
    <row r="72" spans="1:16" x14ac:dyDescent="0.3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Calculate_cap_emi!$AB$14:$AB$21, "Not found", 0),"Rb",_xlfn.XLOOKUP(E72&amp;"|"&amp;B72,
        Calculate_cap_emi!$I$14:$I$21&amp;"|"&amp;Calculate_cap_emi!$L$14:$L$21,
        Calculate_cap_emi!$AD$14:$AD$21, "Not found", 0),"Rl",_xlfn.XLOOKUP(E72&amp;"|"&amp;B72,
        Calculate_cap_emi!$I$14:$I$21&amp;"|"&amp;Calculate_cap_emi!$L$14:$L$21,
        Calculate_cap_emi!$AE$14:$AE$21, "Not found", 0),"HP",_xlfn.XLOOKUP(E72&amp;"|"&amp;B72,
        Calculate_cap_emi!$I$14:$I$21&amp;"|"&amp;Calculate_cap_emi!$L$14:$L$21,
        Calculate_cap_emi!$AC$14:$AC$21, "Not found", 0),"HPl",_xlfn.XLOOKUP(E72&amp;"|"&amp;B72,
        Calculate_cap_emi!$I$14:$I$21&amp;"|"&amp;Calculate_cap_emi!$L$14:$L$21,
        Calculate_cap_emi!$AF$14:$AF$21, "Not found", 0),"Missing")</f>
        <v>741.17647058823525</v>
      </c>
      <c r="M72" s="5"/>
      <c r="N72" s="5"/>
      <c r="O72" s="5"/>
      <c r="P72" s="5"/>
    </row>
    <row r="73" spans="1:16" x14ac:dyDescent="0.3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Calculate_cap_emi!$AB$14:$AB$21, "Not found", 0),"Rb",_xlfn.XLOOKUP(E73&amp;"|"&amp;B73,
        Calculate_cap_emi!$I$14:$I$21&amp;"|"&amp;Calculate_cap_emi!$L$14:$L$21,
        Calculate_cap_emi!$AD$14:$AD$21, "Not found", 0),"Rl",_xlfn.XLOOKUP(E73&amp;"|"&amp;B73,
        Calculate_cap_emi!$I$14:$I$21&amp;"|"&amp;Calculate_cap_emi!$L$14:$L$21,
        Calculate_cap_emi!$AE$14:$AE$21, "Not found", 0),"HP",_xlfn.XLOOKUP(E73&amp;"|"&amp;B73,
        Calculate_cap_emi!$I$14:$I$21&amp;"|"&amp;Calculate_cap_emi!$L$14:$L$21,
        Calculate_cap_emi!$AC$14:$AC$21, "Not found", 0),"HPl",_xlfn.XLOOKUP(E73&amp;"|"&amp;B73,
        Calculate_cap_emi!$I$14:$I$21&amp;"|"&amp;Calculate_cap_emi!$L$14:$L$21,
        Calculate_cap_emi!$AF$14:$AF$21, "Not found", 0),"Missing")</f>
        <v>741.17647058823525</v>
      </c>
      <c r="M73" s="5"/>
      <c r="N73" s="5"/>
      <c r="O73" s="5"/>
      <c r="P73" s="5"/>
    </row>
    <row r="74" spans="1:16" x14ac:dyDescent="0.3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Calculate_cap_emi!$AB$14:$AB$21, "Not found", 0),"Rb",_xlfn.XLOOKUP(E74&amp;"|"&amp;B74,
        Calculate_cap_emi!$I$14:$I$21&amp;"|"&amp;Calculate_cap_emi!$L$14:$L$21,
        Calculate_cap_emi!$AD$14:$AD$21, "Not found", 0),"Rl",_xlfn.XLOOKUP(E74&amp;"|"&amp;B74,
        Calculate_cap_emi!$I$14:$I$21&amp;"|"&amp;Calculate_cap_emi!$L$14:$L$21,
        Calculate_cap_emi!$AE$14:$AE$21, "Not found", 0),"HP",_xlfn.XLOOKUP(E74&amp;"|"&amp;B74,
        Calculate_cap_emi!$I$14:$I$21&amp;"|"&amp;Calculate_cap_emi!$L$14:$L$21,
        Calculate_cap_emi!$AC$14:$AC$21, "Not found", 0),"HPl",_xlfn.XLOOKUP(E74&amp;"|"&amp;B74,
        Calculate_cap_emi!$I$14:$I$21&amp;"|"&amp;Calculate_cap_emi!$L$14:$L$21,
        Calculate_cap_emi!$AF$14:$AF$21, "Not found", 0),"Missing")</f>
        <v>1042.9097250275738</v>
      </c>
      <c r="M74" s="5"/>
      <c r="N74" s="5"/>
      <c r="O74" s="5"/>
      <c r="P74" s="5"/>
    </row>
    <row r="75" spans="1:16" x14ac:dyDescent="0.3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Calculate_cap_emi!$AB$14:$AB$21, "Not found", 0),"Rb",_xlfn.XLOOKUP(E75&amp;"|"&amp;B75,
        Calculate_cap_emi!$I$14:$I$21&amp;"|"&amp;Calculate_cap_emi!$L$14:$L$21,
        Calculate_cap_emi!$AD$14:$AD$21, "Not found", 0),"Rl",_xlfn.XLOOKUP(E75&amp;"|"&amp;B75,
        Calculate_cap_emi!$I$14:$I$21&amp;"|"&amp;Calculate_cap_emi!$L$14:$L$21,
        Calculate_cap_emi!$AE$14:$AE$21, "Not found", 0),"HP",_xlfn.XLOOKUP(E75&amp;"|"&amp;B75,
        Calculate_cap_emi!$I$14:$I$21&amp;"|"&amp;Calculate_cap_emi!$L$14:$L$21,
        Calculate_cap_emi!$AC$14:$AC$21, "Not found", 0),"HPl",_xlfn.XLOOKUP(E75&amp;"|"&amp;B75,
        Calculate_cap_emi!$I$14:$I$21&amp;"|"&amp;Calculate_cap_emi!$L$14:$L$21,
        Calculate_cap_emi!$AF$14:$AF$21, "Not found", 0),"Missing")</f>
        <v>1042.9097250275738</v>
      </c>
      <c r="M75" s="5"/>
      <c r="N75" s="5"/>
      <c r="O75" s="5"/>
      <c r="P75" s="5"/>
    </row>
    <row r="76" spans="1:16" x14ac:dyDescent="0.3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Calculate_cap_emi!$AB$14:$AB$21, "Not found", 0),"Rb",_xlfn.XLOOKUP(E76&amp;"|"&amp;B76,
        Calculate_cap_emi!$I$14:$I$21&amp;"|"&amp;Calculate_cap_emi!$L$14:$L$21,
        Calculate_cap_emi!$AD$14:$AD$21, "Not found", 0),"Rl",_xlfn.XLOOKUP(E76&amp;"|"&amp;B76,
        Calculate_cap_emi!$I$14:$I$21&amp;"|"&amp;Calculate_cap_emi!$L$14:$L$21,
        Calculate_cap_emi!$AE$14:$AE$21, "Not found", 0),"HP",_xlfn.XLOOKUP(E76&amp;"|"&amp;B76,
        Calculate_cap_emi!$I$14:$I$21&amp;"|"&amp;Calculate_cap_emi!$L$14:$L$21,
        Calculate_cap_emi!$AC$14:$AC$21, "Not found", 0),"HPl",_xlfn.XLOOKUP(E76&amp;"|"&amp;B76,
        Calculate_cap_emi!$I$14:$I$21&amp;"|"&amp;Calculate_cap_emi!$L$14:$L$21,
        Calculate_cap_emi!$AF$14:$AF$21, "Not found", 0),"Missing")</f>
        <v>741.17647058823525</v>
      </c>
      <c r="M76" s="5"/>
      <c r="N76" s="5"/>
      <c r="O76" s="5"/>
      <c r="P76" s="5"/>
    </row>
    <row r="77" spans="1:16" x14ac:dyDescent="0.3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Calculate_cap_emi!$AB$14:$AB$21, "Not found", 0),"Rb",_xlfn.XLOOKUP(E77&amp;"|"&amp;B77,
        Calculate_cap_emi!$I$14:$I$21&amp;"|"&amp;Calculate_cap_emi!$L$14:$L$21,
        Calculate_cap_emi!$AD$14:$AD$21, "Not found", 0),"Rl",_xlfn.XLOOKUP(E77&amp;"|"&amp;B77,
        Calculate_cap_emi!$I$14:$I$21&amp;"|"&amp;Calculate_cap_emi!$L$14:$L$21,
        Calculate_cap_emi!$AE$14:$AE$21, "Not found", 0),"HP",_xlfn.XLOOKUP(E77&amp;"|"&amp;B77,
        Calculate_cap_emi!$I$14:$I$21&amp;"|"&amp;Calculate_cap_emi!$L$14:$L$21,
        Calculate_cap_emi!$AC$14:$AC$21, "Not found", 0),"HPl",_xlfn.XLOOKUP(E77&amp;"|"&amp;B77,
        Calculate_cap_emi!$I$14:$I$21&amp;"|"&amp;Calculate_cap_emi!$L$14:$L$21,
        Calculate_cap_emi!$AF$14:$AF$21, "Not found", 0),"Missing")</f>
        <v>741.17647058823525</v>
      </c>
      <c r="M77" s="5"/>
      <c r="N77" s="5"/>
      <c r="O77" s="5"/>
      <c r="P77" s="5"/>
    </row>
    <row r="78" spans="1:16" x14ac:dyDescent="0.3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Calculate_cap_emi!$AB$14:$AB$21, "Not found", 0),"Rb",_xlfn.XLOOKUP(E78&amp;"|"&amp;B78,
        Calculate_cap_emi!$I$14:$I$21&amp;"|"&amp;Calculate_cap_emi!$L$14:$L$21,
        Calculate_cap_emi!$AD$14:$AD$21, "Not found", 0),"Rl",_xlfn.XLOOKUP(E78&amp;"|"&amp;B78,
        Calculate_cap_emi!$I$14:$I$21&amp;"|"&amp;Calculate_cap_emi!$L$14:$L$21,
        Calculate_cap_emi!$AE$14:$AE$21, "Not found", 0),"HP",_xlfn.XLOOKUP(E78&amp;"|"&amp;B78,
        Calculate_cap_emi!$I$14:$I$21&amp;"|"&amp;Calculate_cap_emi!$L$14:$L$21,
        Calculate_cap_emi!$AC$14:$AC$21, "Not found", 0),"HPl",_xlfn.XLOOKUP(E78&amp;"|"&amp;B78,
        Calculate_cap_emi!$I$14:$I$21&amp;"|"&amp;Calculate_cap_emi!$L$14:$L$21,
        Calculate_cap_emi!$AF$14:$AF$21, "Not found", 0),"Missing")</f>
        <v>1095.0552112789526</v>
      </c>
      <c r="M78" s="5"/>
      <c r="N78" s="5"/>
      <c r="O78" s="5"/>
      <c r="P78" s="5"/>
    </row>
    <row r="79" spans="1:16" x14ac:dyDescent="0.3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Calculate_cap_emi!$AB$14:$AB$21, "Not found", 0),"Rb",_xlfn.XLOOKUP(E79&amp;"|"&amp;B79,
        Calculate_cap_emi!$I$14:$I$21&amp;"|"&amp;Calculate_cap_emi!$L$14:$L$21,
        Calculate_cap_emi!$AD$14:$AD$21, "Not found", 0),"Rl",_xlfn.XLOOKUP(E79&amp;"|"&amp;B79,
        Calculate_cap_emi!$I$14:$I$21&amp;"|"&amp;Calculate_cap_emi!$L$14:$L$21,
        Calculate_cap_emi!$AE$14:$AE$21, "Not found", 0),"HP",_xlfn.XLOOKUP(E79&amp;"|"&amp;B79,
        Calculate_cap_emi!$I$14:$I$21&amp;"|"&amp;Calculate_cap_emi!$L$14:$L$21,
        Calculate_cap_emi!$AC$14:$AC$21, "Not found", 0),"HPl",_xlfn.XLOOKUP(E79&amp;"|"&amp;B79,
        Calculate_cap_emi!$I$14:$I$21&amp;"|"&amp;Calculate_cap_emi!$L$14:$L$21,
        Calculate_cap_emi!$AF$14:$AF$21, "Not found", 0),"Missing")</f>
        <v>1095.0552112789526</v>
      </c>
      <c r="M79" s="5"/>
      <c r="N79" s="5"/>
      <c r="O79" s="5"/>
      <c r="P79" s="5"/>
    </row>
    <row r="80" spans="1:16" x14ac:dyDescent="0.3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8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Calculate_cap_emi!$AB$14:$AB$21, "Not found", 0),"Rb",_xlfn.XLOOKUP(E80&amp;"|"&amp;B80,
        Calculate_cap_emi!$I$14:$I$21&amp;"|"&amp;Calculate_cap_emi!$L$14:$L$21,
        Calculate_cap_emi!$AD$14:$AD$21, "Not found", 0),"Rl",_xlfn.XLOOKUP(E80&amp;"|"&amp;B80,
        Calculate_cap_emi!$I$14:$I$21&amp;"|"&amp;Calculate_cap_emi!$L$14:$L$21,
        Calculate_cap_emi!$AE$14:$AE$21, "Not found", 0),"HP",_xlfn.XLOOKUP(E80&amp;"|"&amp;B80,
        Calculate_cap_emi!$I$14:$I$21&amp;"|"&amp;Calculate_cap_emi!$L$14:$L$21,
        Calculate_cap_emi!$AC$14:$AC$21, "Not found", 0),"HPl",_xlfn.XLOOKUP(E80&amp;"|"&amp;B80,
        Calculate_cap_emi!$I$14:$I$21&amp;"|"&amp;Calculate_cap_emi!$L$14:$L$21,
        Calculate_cap_emi!$AF$14:$AF$21, "Not found", 0),"Missing")</f>
        <v>993.24735716911789</v>
      </c>
      <c r="M80" s="5"/>
      <c r="N80" s="5"/>
      <c r="O80" s="5"/>
      <c r="P80" s="5"/>
    </row>
    <row r="81" spans="1:16" x14ac:dyDescent="0.3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8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Calculate_cap_emi!$AB$14:$AB$21, "Not found", 0),"Rb",_xlfn.XLOOKUP(E81&amp;"|"&amp;B81,
        Calculate_cap_emi!$I$14:$I$21&amp;"|"&amp;Calculate_cap_emi!$L$14:$L$21,
        Calculate_cap_emi!$AD$14:$AD$21, "Not found", 0),"Rl",_xlfn.XLOOKUP(E81&amp;"|"&amp;B81,
        Calculate_cap_emi!$I$14:$I$21&amp;"|"&amp;Calculate_cap_emi!$L$14:$L$21,
        Calculate_cap_emi!$AE$14:$AE$21, "Not found", 0),"HP",_xlfn.XLOOKUP(E81&amp;"|"&amp;B81,
        Calculate_cap_emi!$I$14:$I$21&amp;"|"&amp;Calculate_cap_emi!$L$14:$L$21,
        Calculate_cap_emi!$AC$14:$AC$21, "Not found", 0),"HPl",_xlfn.XLOOKUP(E81&amp;"|"&amp;B81,
        Calculate_cap_emi!$I$14:$I$21&amp;"|"&amp;Calculate_cap_emi!$L$14:$L$21,
        Calculate_cap_emi!$AF$14:$AF$21, "Not found", 0),"Missing")</f>
        <v>993.24735716911789</v>
      </c>
      <c r="M81" s="5"/>
      <c r="N81" s="5"/>
      <c r="O81" s="5"/>
      <c r="P81" s="5"/>
    </row>
    <row r="82" spans="1:16" x14ac:dyDescent="0.3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TRANSPOSE(embodied_original!C8:H8)</f>
        <v>135</v>
      </c>
      <c r="L82" s="8">
        <f>LOOKUP(K82,embodied_original!$C$8:$H$8,embodied_original!$C$10:$H$10)</f>
        <v>308.8235294117647</v>
      </c>
      <c r="M82" s="5"/>
      <c r="N82" s="5"/>
      <c r="O82" s="5"/>
      <c r="P82" s="5"/>
    </row>
    <row r="83" spans="1:16" x14ac:dyDescent="0.3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LOOKUP(K83,embodied_original!$C$8:$H$8,embodied_original!$C$10:$H$10)</f>
        <v>370.58823529411762</v>
      </c>
      <c r="M83" s="5"/>
      <c r="N83" s="5"/>
      <c r="O83" s="5"/>
      <c r="P83" s="5"/>
    </row>
    <row r="84" spans="1:16" x14ac:dyDescent="0.3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LOOKUP(K84,embodied_original!$C$8:$H$8,embodied_original!$C$10:$H$10)</f>
        <v>395.29411764705884</v>
      </c>
      <c r="M84" s="5"/>
      <c r="N84" s="5"/>
      <c r="O84" s="5"/>
      <c r="P84" s="5"/>
    </row>
    <row r="85" spans="1:16" x14ac:dyDescent="0.3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LOOKUP(K85,embodied_original!$C$8:$H$8,embodied_original!$C$10:$H$10)</f>
        <v>494.11764705882354</v>
      </c>
      <c r="M85" s="5"/>
      <c r="N85" s="5"/>
      <c r="O85" s="5"/>
      <c r="P85" s="5"/>
    </row>
    <row r="86" spans="1:16" x14ac:dyDescent="0.3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LOOKUP(K86,embodied_original!$C$8:$H$8,embodied_original!$C$10:$H$10)</f>
        <v>617.64705882352939</v>
      </c>
      <c r="M86" s="5"/>
      <c r="N86" s="5"/>
      <c r="O86" s="5"/>
      <c r="P86" s="5"/>
    </row>
    <row r="87" spans="1:16" x14ac:dyDescent="0.3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LOOKUP(K87,embodied_original!$C$8:$H$8,embodied_original!$C$10:$H$10)</f>
        <v>642.35294117647061</v>
      </c>
      <c r="M87" s="5"/>
      <c r="N87" s="5"/>
      <c r="O87" s="5"/>
      <c r="P87" s="5"/>
    </row>
    <row r="88" spans="1:16" x14ac:dyDescent="0.3">
      <c r="A88" s="5"/>
      <c r="B88" s="5"/>
      <c r="C88" s="5"/>
      <c r="D88" s="5"/>
      <c r="E88" s="5"/>
      <c r="F88" s="5"/>
      <c r="G88" s="5" t="s">
        <v>70</v>
      </c>
      <c r="H88" s="5"/>
      <c r="I88" s="5"/>
      <c r="J88" s="5"/>
      <c r="K88" s="5">
        <v>162</v>
      </c>
      <c r="L88" s="8">
        <f>LOOKUP(K88,embodied_original!$C$8:$H$8,embodied_original!$C$10:$H$10)</f>
        <v>370.58823529411762</v>
      </c>
      <c r="M88" s="5"/>
      <c r="N88" s="5"/>
      <c r="O88" s="5"/>
      <c r="P88" s="5"/>
    </row>
    <row r="89" spans="1:16" x14ac:dyDescent="0.3">
      <c r="A89" s="5"/>
      <c r="B89" s="5"/>
      <c r="C89" s="5"/>
      <c r="D89" s="5"/>
      <c r="E89" s="5"/>
      <c r="F89" s="5"/>
      <c r="G89" s="5" t="s">
        <v>70</v>
      </c>
      <c r="H89" s="5"/>
      <c r="I89" s="5"/>
      <c r="J89" s="5"/>
      <c r="K89" s="5">
        <v>216</v>
      </c>
      <c r="L89" s="8">
        <f>LOOKUP(K89,embodied_original!$C$8:$H$8,embodied_original!$C$10:$H$10)</f>
        <v>494.11764705882354</v>
      </c>
      <c r="M89" s="5"/>
      <c r="N89" s="5"/>
      <c r="O89" s="5"/>
      <c r="P89" s="5"/>
    </row>
    <row r="90" spans="1:16" x14ac:dyDescent="0.3">
      <c r="A90" s="5"/>
      <c r="B90" s="5"/>
      <c r="C90" s="5"/>
      <c r="D90" s="5"/>
      <c r="E90" s="5"/>
      <c r="F90" s="5"/>
      <c r="G90" s="5" t="s">
        <v>70</v>
      </c>
      <c r="H90" s="5"/>
      <c r="I90" s="5"/>
      <c r="J90" s="5"/>
      <c r="K90" s="5">
        <v>360</v>
      </c>
      <c r="L90" s="8">
        <f>LOOKUP(K90,embodied_original!$C$8:$H$8,embodied_original!$C$10:$H$10)</f>
        <v>642.35294117647061</v>
      </c>
      <c r="M90" s="5"/>
      <c r="N90" s="5"/>
      <c r="O90" s="5"/>
      <c r="P90" s="5"/>
    </row>
    <row r="91" spans="1:16" x14ac:dyDescent="0.3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TRANSPOSE(embodied_original!C11:H11)</f>
        <v>135</v>
      </c>
      <c r="L91" s="8">
        <f>LOOKUP(K91,embodied_original!$C$11:$H$11,embodied_original!$C$13:$H$13)</f>
        <v>494.11764705882354</v>
      </c>
      <c r="M91" s="5"/>
      <c r="N91" s="5"/>
      <c r="O91" s="5"/>
      <c r="P91" s="5"/>
    </row>
    <row r="92" spans="1:16" x14ac:dyDescent="0.3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LOOKUP(K92,embodied_original!$C$11:$H$11,embodied_original!$C$13:$H$13)</f>
        <v>555.88235294117646</v>
      </c>
      <c r="M92" s="5"/>
      <c r="N92" s="5"/>
      <c r="O92" s="5"/>
      <c r="P92" s="5"/>
    </row>
    <row r="93" spans="1:16" x14ac:dyDescent="0.3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LOOKUP(K93,embodied_original!$C$11:$H$11,embodied_original!$C$13:$H$13)</f>
        <v>617.64705882352939</v>
      </c>
      <c r="M93" s="5"/>
      <c r="N93" s="5"/>
      <c r="O93" s="5"/>
      <c r="P93" s="5"/>
    </row>
    <row r="94" spans="1:16" x14ac:dyDescent="0.3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LOOKUP(K94,embodied_original!$C$11:$H$11,embodied_original!$C$13:$H$13)</f>
        <v>648.52941176470586</v>
      </c>
      <c r="M94" s="5"/>
      <c r="N94" s="5"/>
      <c r="O94" s="5"/>
      <c r="P94" s="5"/>
    </row>
    <row r="95" spans="1:16" x14ac:dyDescent="0.3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LOOKUP(K95,embodied_original!$C$11:$H$11,embodied_original!$C$13:$H$13)</f>
        <v>802.94117647058829</v>
      </c>
      <c r="M95" s="5"/>
      <c r="N95" s="5"/>
      <c r="O95" s="5"/>
      <c r="P95" s="5"/>
    </row>
    <row r="96" spans="1:16" x14ac:dyDescent="0.3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LOOKUP(K96,embodied_original!$C$11:$H$11,embodied_original!$C$13:$H$13)</f>
        <v>864.70588235294122</v>
      </c>
      <c r="M96" s="5"/>
      <c r="N96" s="5"/>
      <c r="O96" s="5"/>
      <c r="P96" s="5"/>
    </row>
    <row r="97" spans="1:16" x14ac:dyDescent="0.3">
      <c r="A97" s="5"/>
      <c r="B97" s="5"/>
      <c r="C97" s="5"/>
      <c r="D97" s="5"/>
      <c r="E97" s="5"/>
      <c r="F97" s="5"/>
      <c r="G97" s="5" t="s">
        <v>71</v>
      </c>
      <c r="H97" s="5"/>
      <c r="I97" s="5"/>
      <c r="J97" s="5"/>
      <c r="K97" s="5">
        <v>162</v>
      </c>
      <c r="L97" s="8">
        <f>LOOKUP(K97,embodied_original!$C$11:$H$11,embodied_original!$C$13:$H$13)</f>
        <v>555.88235294117646</v>
      </c>
      <c r="M97" s="5"/>
      <c r="N97" s="5"/>
      <c r="O97" s="5"/>
      <c r="P97" s="5"/>
    </row>
    <row r="98" spans="1:16" x14ac:dyDescent="0.3">
      <c r="A98" s="5"/>
      <c r="B98" s="5"/>
      <c r="C98" s="5"/>
      <c r="D98" s="5"/>
      <c r="E98" s="5"/>
      <c r="F98" s="5"/>
      <c r="G98" s="5" t="s">
        <v>71</v>
      </c>
      <c r="H98" s="5"/>
      <c r="I98" s="5"/>
      <c r="J98" s="5"/>
      <c r="K98" s="5">
        <v>216</v>
      </c>
      <c r="L98" s="8">
        <f>LOOKUP(K98,embodied_original!$C$11:$H$11,embodied_original!$C$13:$H$13)</f>
        <v>648.52941176470586</v>
      </c>
      <c r="M98" s="5"/>
      <c r="N98" s="5"/>
      <c r="O98" s="5"/>
      <c r="P98" s="5"/>
    </row>
    <row r="99" spans="1:16" x14ac:dyDescent="0.3">
      <c r="A99" s="5"/>
      <c r="B99" s="5"/>
      <c r="C99" s="5"/>
      <c r="D99" s="5"/>
      <c r="E99" s="5"/>
      <c r="F99" s="5"/>
      <c r="G99" s="5" t="s">
        <v>71</v>
      </c>
      <c r="H99" s="5"/>
      <c r="I99" s="5"/>
      <c r="J99" s="5"/>
      <c r="K99" s="5">
        <v>360</v>
      </c>
      <c r="L99" s="8">
        <f>LOOKUP(K99,embodied_original!$C$11:$H$11,embodied_original!$C$13:$H$13)</f>
        <v>864.70588235294122</v>
      </c>
      <c r="M99" s="5"/>
      <c r="N99" s="5"/>
      <c r="O99" s="5"/>
      <c r="P99" s="5"/>
    </row>
    <row r="100" spans="1:16" x14ac:dyDescent="0.3">
      <c r="A100" s="5"/>
      <c r="B100" s="5" t="str">
        <f>CONCATENATE(C100, "-", "Nom")</f>
        <v>Mass-Nom</v>
      </c>
      <c r="C100" s="5" t="s">
        <v>38</v>
      </c>
      <c r="D100" s="5" t="str">
        <f t="shared" si="5"/>
        <v>Nom</v>
      </c>
      <c r="E100" s="5" t="s">
        <v>3</v>
      </c>
      <c r="F100" s="5" t="s">
        <v>56</v>
      </c>
      <c r="G100" s="5" t="s">
        <v>56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_xlfn.SWITCH(K100,200,LOOKUP(J100,embodied_original!$C$14:$N$14,embodied_original!$C$16:$N$16) + _xlfn.XLOOKUP(B100&amp;"|"&amp;E100,
        Calculate_cap_emi!$L$14:$L$21&amp;"|"&amp;Calculate_cap_emi!$I$14:$I$21,
        Calculate_cap_emi!$AG$14:$AG$21, "Not found", 0), LOOKUP(K100,embodied_original!$C$20:$D$20,embodied_original!$C$22:$D$22) + LOOKUP(J100,embodied_original!$C$14:$N$14,embodied_original!$C$16:$N$16) + _xlfn.XLOOKUP(B100&amp;"|"&amp;E100,
        Calculate_cap_emi!$L$14:$L$21&amp;"|"&amp;Calculate_cap_emi!$I$14:$I$21,
        Calculate_cap_emi!$AG$14:$AG$21, "Not found", 0))</f>
        <v>2661.6264705882354</v>
      </c>
      <c r="M100" s="8">
        <f>LOOKUP(J100,embodied_original!$C$14:$N$14,embodied_original!$C$16:$N$16)</f>
        <v>1585.3764705882354</v>
      </c>
      <c r="N100" s="8" cm="1">
        <f t="array" ref="N100">_xlfn.SWITCH(K100,200,0,LOOKUP(K100,embodied_original!$C$20:$D$20,embodied_original!$C$22:$D$22))</f>
        <v>0</v>
      </c>
      <c r="O100" s="5" cm="1">
        <f t="array" ref="O100">_xlfn.XLOOKUP(B100&amp;"|"&amp;E100,
        Calculate_cap_emi!$L$14:$L$21&amp;"|"&amp;Calculate_cap_emi!$I$14:$I$21,
        Calculate_cap_emi!$AG$14:$AG$21, "Not found", 0)</f>
        <v>1076.25</v>
      </c>
      <c r="P100" s="8">
        <f>SUM(M100:O100)</f>
        <v>2661.6264705882354</v>
      </c>
    </row>
    <row r="101" spans="1:16" x14ac:dyDescent="0.3">
      <c r="A101" s="5"/>
      <c r="B101" s="5" t="str">
        <f t="shared" ref="B101:B147" si="6">CONCATENATE(C101, "-", "Nom")</f>
        <v>Mass-Nom</v>
      </c>
      <c r="C101" s="5" t="s">
        <v>38</v>
      </c>
      <c r="D101" s="5" t="str">
        <f t="shared" si="5"/>
        <v>Nom</v>
      </c>
      <c r="E101" s="5" t="s">
        <v>3</v>
      </c>
      <c r="F101" s="5" t="s">
        <v>56</v>
      </c>
      <c r="G101" s="5" t="s">
        <v>56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_xlfn.SWITCH(K101,200,LOOKUP(J101,embodied_original!$C$14:$N$14,embodied_original!$C$16:$N$16) + _xlfn.XLOOKUP(B101&amp;"|"&amp;E101,
        Calculate_cap_emi!$L$14:$L$21&amp;"|"&amp;Calculate_cap_emi!$I$14:$I$21,
        Calculate_cap_emi!$AG$14:$AG$21, "Not found", 0), LOOKUP(K101,embodied_original!$C$20:$D$20,embodied_original!$C$22:$D$22) + LOOKUP(J101,embodied_original!$C$14:$N$14,embodied_original!$C$16:$N$16) + _xlfn.XLOOKUP(B101&amp;"|"&amp;E101,
        Calculate_cap_emi!$L$14:$L$21&amp;"|"&amp;Calculate_cap_emi!$I$14:$I$21,
        Calculate_cap_emi!$AG$14:$AG$21, "Not found", 0))</f>
        <v>3121.1558823529413</v>
      </c>
      <c r="M101" s="8">
        <f>LOOKUP(J101,embodied_original!$C$14:$N$14,embodied_original!$C$16:$N$16)</f>
        <v>2044.9058823529413</v>
      </c>
      <c r="N101" s="8" cm="1">
        <f t="array" ref="N101">_xlfn.SWITCH(K101,200,0,LOOKUP(K101,embodied_original!$C$20:$D$20,embodied_original!$C$22:$D$22))</f>
        <v>0</v>
      </c>
      <c r="O101" s="5" cm="1">
        <f t="array" ref="O101">_xlfn.XLOOKUP(B101&amp;"|"&amp;E101,
        Calculate_cap_emi!$L$14:$L$21&amp;"|"&amp;Calculate_cap_emi!$I$14:$I$21,
        Calculate_cap_emi!$AG$14:$AG$21, "Not found", 0)</f>
        <v>1076.25</v>
      </c>
      <c r="P101" s="8">
        <f t="shared" ref="P101:P147" si="8">SUM(M101:O101)</f>
        <v>3121.1558823529413</v>
      </c>
    </row>
    <row r="102" spans="1:16" x14ac:dyDescent="0.3">
      <c r="A102" s="5"/>
      <c r="B102" s="5" t="str">
        <f t="shared" si="6"/>
        <v>Mass-Nom</v>
      </c>
      <c r="C102" s="5" t="s">
        <v>38</v>
      </c>
      <c r="D102" s="5" t="str">
        <f t="shared" si="5"/>
        <v>Nom</v>
      </c>
      <c r="E102" s="5" t="s">
        <v>3</v>
      </c>
      <c r="F102" s="5" t="s">
        <v>56</v>
      </c>
      <c r="G102" s="5" t="s">
        <v>56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_xlfn.SWITCH(K102,200,LOOKUP(J102,embodied_original!$C$14:$N$14,embodied_original!$C$16:$N$16) + _xlfn.XLOOKUP(B102&amp;"|"&amp;E102,
        Calculate_cap_emi!$L$14:$L$21&amp;"|"&amp;Calculate_cap_emi!$I$14:$I$21,
        Calculate_cap_emi!$AG$14:$AG$21, "Not found", 0), LOOKUP(K102,embodied_original!$C$20:$D$20,embodied_original!$C$22:$D$22) + LOOKUP(J102,embodied_original!$C$14:$N$14,embodied_original!$C$16:$N$16) + _xlfn.XLOOKUP(B102&amp;"|"&amp;E102,
        Calculate_cap_emi!$L$14:$L$21&amp;"|"&amp;Calculate_cap_emi!$I$14:$I$21,
        Calculate_cap_emi!$AG$14:$AG$21, "Not found", 0))</f>
        <v>3312.6264705882354</v>
      </c>
      <c r="M102" s="8">
        <f>LOOKUP(J102,embodied_original!$C$14:$N$14,embodied_original!$C$16:$N$16)</f>
        <v>2236.3764705882354</v>
      </c>
      <c r="N102" s="8" cm="1">
        <f t="array" ref="N102">_xlfn.SWITCH(K102,200,0,LOOKUP(K102,embodied_original!$C$20:$D$20,embodied_original!$C$22:$D$22))</f>
        <v>0</v>
      </c>
      <c r="O102" s="5" cm="1">
        <f t="array" ref="O102">_xlfn.XLOOKUP(B102&amp;"|"&amp;E102,
        Calculate_cap_emi!$L$14:$L$21&amp;"|"&amp;Calculate_cap_emi!$I$14:$I$21,
        Calculate_cap_emi!$AG$14:$AG$21, "Not found", 0)</f>
        <v>1076.25</v>
      </c>
      <c r="P102" s="8">
        <f t="shared" si="8"/>
        <v>3312.6264705882354</v>
      </c>
    </row>
    <row r="103" spans="1:16" x14ac:dyDescent="0.3">
      <c r="A103" s="5"/>
      <c r="B103" s="5" t="str">
        <f t="shared" si="6"/>
        <v>Mass-Nom</v>
      </c>
      <c r="C103" s="5" t="s">
        <v>38</v>
      </c>
      <c r="D103" s="5" t="str">
        <f t="shared" si="5"/>
        <v>Nom</v>
      </c>
      <c r="E103" s="5" t="s">
        <v>3</v>
      </c>
      <c r="F103" s="5" t="s">
        <v>57</v>
      </c>
      <c r="G103" s="5" t="s">
        <v>57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_xlfn.SWITCH(K103,200,LOOKUP(J103,embodied_original!$C$14:$N$14,embodied_original!$C$16:$N$16) + _xlfn.XLOOKUP(B103&amp;"|"&amp;E103,
        Calculate_cap_emi!$L$14:$L$21&amp;"|"&amp;Calculate_cap_emi!$I$14:$I$21,
        Calculate_cap_emi!$AG$14:$AG$21, "Not found", 0), LOOKUP(K103,embodied_original!$C$20:$D$20,embodied_original!$C$22:$D$22) + LOOKUP(J103,embodied_original!$C$14:$N$14,embodied_original!$C$16:$N$16) + _xlfn.XLOOKUP(B103&amp;"|"&amp;E103,
        Calculate_cap_emi!$L$14:$L$21&amp;"|"&amp;Calculate_cap_emi!$I$14:$I$21,
        Calculate_cap_emi!$AG$14:$AG$21, "Not found", 0))</f>
        <v>3091.1719251336899</v>
      </c>
      <c r="M103" s="8">
        <f>LOOKUP(J103,embodied_original!$C$14:$N$14,embodied_original!$C$16:$N$16)</f>
        <v>1585.3764705882354</v>
      </c>
      <c r="N103" s="8" cm="1">
        <f t="array" ref="N103">_xlfn.SWITCH(K103,200,0,LOOKUP(K103,embodied_original!$C$20:$D$20,embodied_original!$C$22:$D$22))</f>
        <v>429.54545454545456</v>
      </c>
      <c r="O103" s="5" cm="1">
        <f t="array" ref="O103">_xlfn.XLOOKUP(B103&amp;"|"&amp;E103,
        Calculate_cap_emi!$L$14:$L$21&amp;"|"&amp;Calculate_cap_emi!$I$14:$I$21,
        Calculate_cap_emi!$AG$14:$AG$21, "Not found", 0)</f>
        <v>1076.25</v>
      </c>
      <c r="P103" s="8">
        <f t="shared" si="8"/>
        <v>3091.1719251336899</v>
      </c>
    </row>
    <row r="104" spans="1:16" x14ac:dyDescent="0.3">
      <c r="A104" s="5"/>
      <c r="B104" s="5" t="str">
        <f t="shared" si="6"/>
        <v>Mass-Nom</v>
      </c>
      <c r="C104" s="5" t="s">
        <v>38</v>
      </c>
      <c r="D104" s="5" t="str">
        <f t="shared" si="5"/>
        <v>Nom</v>
      </c>
      <c r="E104" s="5" t="s">
        <v>3</v>
      </c>
      <c r="F104" s="5" t="s">
        <v>57</v>
      </c>
      <c r="G104" s="5" t="s">
        <v>57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_xlfn.SWITCH(K104,200,LOOKUP(J104,embodied_original!$C$14:$N$14,embodied_original!$C$16:$N$16) + _xlfn.XLOOKUP(B104&amp;"|"&amp;E104,
        Calculate_cap_emi!$L$14:$L$21&amp;"|"&amp;Calculate_cap_emi!$I$14:$I$21,
        Calculate_cap_emi!$AG$14:$AG$21, "Not found", 0), LOOKUP(K104,embodied_original!$C$20:$D$20,embodied_original!$C$22:$D$22) + LOOKUP(J104,embodied_original!$C$14:$N$14,embodied_original!$C$16:$N$16) + _xlfn.XLOOKUP(B104&amp;"|"&amp;E104,
        Calculate_cap_emi!$L$14:$L$21&amp;"|"&amp;Calculate_cap_emi!$I$14:$I$21,
        Calculate_cap_emi!$AG$14:$AG$21, "Not found", 0))</f>
        <v>3091.1719251336899</v>
      </c>
      <c r="M104" s="8">
        <f>LOOKUP(J104,embodied_original!$C$14:$N$14,embodied_original!$C$16:$N$16)</f>
        <v>1585.3764705882354</v>
      </c>
      <c r="N104" s="8" cm="1">
        <f t="array" ref="N104">_xlfn.SWITCH(K104,200,0,LOOKUP(K104,embodied_original!$C$20:$D$20,embodied_original!$C$22:$D$22))</f>
        <v>429.54545454545456</v>
      </c>
      <c r="O104" s="5" cm="1">
        <f t="array" ref="O104">_xlfn.XLOOKUP(B104&amp;"|"&amp;E104,
        Calculate_cap_emi!$L$14:$L$21&amp;"|"&amp;Calculate_cap_emi!$I$14:$I$21,
        Calculate_cap_emi!$AG$14:$AG$21, "Not found", 0)</f>
        <v>1076.25</v>
      </c>
      <c r="P104" s="8">
        <f t="shared" si="8"/>
        <v>3091.1719251336899</v>
      </c>
    </row>
    <row r="105" spans="1:16" x14ac:dyDescent="0.3">
      <c r="A105" s="5"/>
      <c r="B105" s="5" t="str">
        <f t="shared" si="6"/>
        <v>Mass-Nom</v>
      </c>
      <c r="C105" s="5" t="s">
        <v>38</v>
      </c>
      <c r="D105" s="5" t="str">
        <f t="shared" si="5"/>
        <v>Nom</v>
      </c>
      <c r="E105" s="5" t="s">
        <v>3</v>
      </c>
      <c r="F105" s="5" t="s">
        <v>57</v>
      </c>
      <c r="G105" s="5" t="s">
        <v>57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_xlfn.SWITCH(K105,200,LOOKUP(J105,embodied_original!$C$14:$N$14,embodied_original!$C$16:$N$16) + _xlfn.XLOOKUP(B105&amp;"|"&amp;E105,
        Calculate_cap_emi!$L$14:$L$21&amp;"|"&amp;Calculate_cap_emi!$I$14:$I$21,
        Calculate_cap_emi!$AG$14:$AG$21, "Not found", 0), LOOKUP(K105,embodied_original!$C$20:$D$20,embodied_original!$C$22:$D$22) + LOOKUP(J105,embodied_original!$C$14:$N$14,embodied_original!$C$16:$N$16) + _xlfn.XLOOKUP(B105&amp;"|"&amp;E105,
        Calculate_cap_emi!$L$14:$L$21&amp;"|"&amp;Calculate_cap_emi!$I$14:$I$21,
        Calculate_cap_emi!$AG$14:$AG$21, "Not found", 0))</f>
        <v>3091.1719251336899</v>
      </c>
      <c r="M105" s="8">
        <f>LOOKUP(J105,embodied_original!$C$14:$N$14,embodied_original!$C$16:$N$16)</f>
        <v>1585.3764705882354</v>
      </c>
      <c r="N105" s="8" cm="1">
        <f t="array" ref="N105">_xlfn.SWITCH(K105,200,0,LOOKUP(K105,embodied_original!$C$20:$D$20,embodied_original!$C$22:$D$22))</f>
        <v>429.54545454545456</v>
      </c>
      <c r="O105" s="5" cm="1">
        <f t="array" ref="O105">_xlfn.XLOOKUP(B105&amp;"|"&amp;E105,
        Calculate_cap_emi!$L$14:$L$21&amp;"|"&amp;Calculate_cap_emi!$I$14:$I$21,
        Calculate_cap_emi!$AG$14:$AG$21, "Not found", 0)</f>
        <v>1076.25</v>
      </c>
      <c r="P105" s="8">
        <f t="shared" si="8"/>
        <v>3091.1719251336899</v>
      </c>
    </row>
    <row r="106" spans="1:16" x14ac:dyDescent="0.3">
      <c r="A106" s="5"/>
      <c r="B106" s="5" t="str">
        <f t="shared" si="6"/>
        <v>Mass-Nom</v>
      </c>
      <c r="C106" s="5" t="s">
        <v>38</v>
      </c>
      <c r="D106" s="5" t="str">
        <f t="shared" si="5"/>
        <v>Nom</v>
      </c>
      <c r="E106" s="5" t="s">
        <v>3</v>
      </c>
      <c r="F106" s="5" t="s">
        <v>57</v>
      </c>
      <c r="G106" s="5" t="s">
        <v>57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_xlfn.SWITCH(K106,200,LOOKUP(J106,embodied_original!$C$14:$N$14,embodied_original!$C$16:$N$16) + _xlfn.XLOOKUP(B106&amp;"|"&amp;E106,
        Calculate_cap_emi!$L$14:$L$21&amp;"|"&amp;Calculate_cap_emi!$I$14:$I$21,
        Calculate_cap_emi!$AG$14:$AG$21, "Not found", 0), LOOKUP(K106,embodied_original!$C$20:$D$20,embodied_original!$C$22:$D$22) + LOOKUP(J106,embodied_original!$C$14:$N$14,embodied_original!$C$16:$N$16) + _xlfn.XLOOKUP(B106&amp;"|"&amp;E106,
        Calculate_cap_emi!$L$14:$L$21&amp;"|"&amp;Calculate_cap_emi!$I$14:$I$21,
        Calculate_cap_emi!$AG$14:$AG$21, "Not found", 0))</f>
        <v>3742.1719251336899</v>
      </c>
      <c r="M106" s="8">
        <f>LOOKUP(J106,embodied_original!$C$14:$N$14,embodied_original!$C$16:$N$16)</f>
        <v>2236.3764705882354</v>
      </c>
      <c r="N106" s="8" cm="1">
        <f t="array" ref="N106">_xlfn.SWITCH(K106,200,0,LOOKUP(K106,embodied_original!$C$20:$D$20,embodied_original!$C$22:$D$22))</f>
        <v>429.54545454545456</v>
      </c>
      <c r="O106" s="5" cm="1">
        <f t="array" ref="O106">_xlfn.XLOOKUP(B106&amp;"|"&amp;E106,
        Calculate_cap_emi!$L$14:$L$21&amp;"|"&amp;Calculate_cap_emi!$I$14:$I$21,
        Calculate_cap_emi!$AG$14:$AG$21, "Not found", 0)</f>
        <v>1076.25</v>
      </c>
      <c r="P106" s="8">
        <f t="shared" si="8"/>
        <v>3742.1719251336899</v>
      </c>
    </row>
    <row r="107" spans="1:16" x14ac:dyDescent="0.3">
      <c r="A107" s="5"/>
      <c r="B107" s="5" t="str">
        <f t="shared" si="6"/>
        <v>Mass-Nom</v>
      </c>
      <c r="C107" s="5" t="s">
        <v>38</v>
      </c>
      <c r="D107" s="5" t="str">
        <f t="shared" si="5"/>
        <v>Nom</v>
      </c>
      <c r="E107" s="5" t="s">
        <v>3</v>
      </c>
      <c r="F107" s="5" t="s">
        <v>59</v>
      </c>
      <c r="G107" s="5" t="s">
        <v>59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_xlfn.SWITCH(K107,200,LOOKUP(J107,embodied_original!$C$14:$N$14,embodied_original!$C$16:$N$16) + _xlfn.XLOOKUP(B107&amp;"|"&amp;E107,
        Calculate_cap_emi!$L$14:$L$21&amp;"|"&amp;Calculate_cap_emi!$I$14:$I$21,
        Calculate_cap_emi!$AG$14:$AG$21, "Not found", 0), LOOKUP(K107,embodied_original!$C$20:$D$20,embodied_original!$C$22:$D$22) + LOOKUP(J107,embodied_original!$C$14:$N$14,embodied_original!$C$16:$N$16) + _xlfn.XLOOKUP(B107&amp;"|"&amp;E107,
        Calculate_cap_emi!$L$14:$L$21&amp;"|"&amp;Calculate_cap_emi!$I$14:$I$21,
        Calculate_cap_emi!$AG$14:$AG$21, "Not found", 0))</f>
        <v>3807.0810160427809</v>
      </c>
      <c r="M107" s="8">
        <f>LOOKUP(J107,embodied_original!$C$14:$N$14,embodied_original!$C$16:$N$16)</f>
        <v>1585.3764705882354</v>
      </c>
      <c r="N107" s="8" cm="1">
        <f t="array" ref="N107">_xlfn.SWITCH(K107,200,0,LOOKUP(K107,embodied_original!$C$20:$D$20,embodied_original!$C$22:$D$22))</f>
        <v>1145.4545454545455</v>
      </c>
      <c r="O107" s="5" cm="1">
        <f t="array" ref="O107">_xlfn.XLOOKUP(B107&amp;"|"&amp;E107,
        Calculate_cap_emi!$L$14:$L$21&amp;"|"&amp;Calculate_cap_emi!$I$14:$I$21,
        Calculate_cap_emi!$AG$14:$AG$21, "Not found", 0)</f>
        <v>1076.25</v>
      </c>
      <c r="P107" s="8">
        <f t="shared" ref="P107" si="9">SUM(M107:O107)</f>
        <v>3807.0810160427809</v>
      </c>
    </row>
    <row r="108" spans="1:16" x14ac:dyDescent="0.3">
      <c r="A108" s="5"/>
      <c r="B108" s="5" t="str">
        <f t="shared" si="6"/>
        <v>Mass-Nom</v>
      </c>
      <c r="C108" s="5" t="s">
        <v>38</v>
      </c>
      <c r="D108" s="5" t="str">
        <f t="shared" si="5"/>
        <v>Nom</v>
      </c>
      <c r="E108" s="5" t="s">
        <v>3</v>
      </c>
      <c r="F108" s="5" t="s">
        <v>59</v>
      </c>
      <c r="G108" s="5" t="s">
        <v>59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_xlfn.SWITCH(K108,200,LOOKUP(J108,embodied_original!$C$14:$N$14,embodied_original!$C$16:$N$16) + _xlfn.XLOOKUP(B108&amp;"|"&amp;E108,
        Calculate_cap_emi!$L$14:$L$21&amp;"|"&amp;Calculate_cap_emi!$I$14:$I$21,
        Calculate_cap_emi!$AG$14:$AG$21, "Not found", 0), LOOKUP(K108,embodied_original!$C$20:$D$20,embodied_original!$C$22:$D$22) + LOOKUP(J108,embodied_original!$C$14:$N$14,embodied_original!$C$16:$N$16) + _xlfn.XLOOKUP(B108&amp;"|"&amp;E108,
        Calculate_cap_emi!$L$14:$L$21&amp;"|"&amp;Calculate_cap_emi!$I$14:$I$21,
        Calculate_cap_emi!$AG$14:$AG$21, "Not found", 0))</f>
        <v>3807.0810160427809</v>
      </c>
      <c r="M108" s="8">
        <f>LOOKUP(J108,embodied_original!$C$14:$N$14,embodied_original!$C$16:$N$16)</f>
        <v>1585.3764705882354</v>
      </c>
      <c r="N108" s="8" cm="1">
        <f t="array" ref="N108">_xlfn.SWITCH(K108,200,0,LOOKUP(K108,embodied_original!$C$20:$D$20,embodied_original!$C$22:$D$22))</f>
        <v>1145.4545454545455</v>
      </c>
      <c r="O108" s="5" cm="1">
        <f t="array" ref="O108">_xlfn.XLOOKUP(B108&amp;"|"&amp;E108,
        Calculate_cap_emi!$L$14:$L$21&amp;"|"&amp;Calculate_cap_emi!$I$14:$I$21,
        Calculate_cap_emi!$AG$14:$AG$21, "Not found", 0)</f>
        <v>1076.25</v>
      </c>
      <c r="P108" s="8">
        <f t="shared" si="8"/>
        <v>3807.0810160427809</v>
      </c>
    </row>
    <row r="109" spans="1:16" x14ac:dyDescent="0.3">
      <c r="A109" s="5"/>
      <c r="B109" s="5" t="str">
        <f t="shared" si="6"/>
        <v>Mass-Nom</v>
      </c>
      <c r="C109" s="5" t="s">
        <v>38</v>
      </c>
      <c r="D109" s="5" t="str">
        <f t="shared" si="5"/>
        <v>Nom</v>
      </c>
      <c r="E109" s="5" t="s">
        <v>3</v>
      </c>
      <c r="F109" s="5" t="s">
        <v>59</v>
      </c>
      <c r="G109" s="5" t="s">
        <v>59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_xlfn.SWITCH(K109,200,LOOKUP(J109,embodied_original!$C$14:$N$14,embodied_original!$C$16:$N$16) + _xlfn.XLOOKUP(B109&amp;"|"&amp;E109,
        Calculate_cap_emi!$L$14:$L$21&amp;"|"&amp;Calculate_cap_emi!$I$14:$I$21,
        Calculate_cap_emi!$AG$14:$AG$21, "Not found", 0), LOOKUP(K109,embodied_original!$C$20:$D$20,embodied_original!$C$22:$D$22) + LOOKUP(J109,embodied_original!$C$14:$N$14,embodied_original!$C$16:$N$16) + _xlfn.XLOOKUP(B109&amp;"|"&amp;E109,
        Calculate_cap_emi!$L$14:$L$21&amp;"|"&amp;Calculate_cap_emi!$I$14:$I$21,
        Calculate_cap_emi!$AG$14:$AG$21, "Not found", 0))</f>
        <v>3807.0810160427809</v>
      </c>
      <c r="M109" s="8">
        <f>LOOKUP(J109,embodied_original!$C$14:$N$14,embodied_original!$C$16:$N$16)</f>
        <v>1585.3764705882354</v>
      </c>
      <c r="N109" s="8" cm="1">
        <f t="array" ref="N109">_xlfn.SWITCH(K109,200,0,LOOKUP(K109,embodied_original!$C$20:$D$20,embodied_original!$C$22:$D$22))</f>
        <v>1145.4545454545455</v>
      </c>
      <c r="O109" s="5" cm="1">
        <f t="array" ref="O109">_xlfn.XLOOKUP(B109&amp;"|"&amp;E109,
        Calculate_cap_emi!$L$14:$L$21&amp;"|"&amp;Calculate_cap_emi!$I$14:$I$21,
        Calculate_cap_emi!$AG$14:$AG$21, "Not found", 0)</f>
        <v>1076.25</v>
      </c>
      <c r="P109" s="8">
        <f t="shared" si="8"/>
        <v>3807.0810160427809</v>
      </c>
    </row>
    <row r="110" spans="1:16" x14ac:dyDescent="0.3">
      <c r="A110" s="5"/>
      <c r="B110" s="5" t="str">
        <f t="shared" si="6"/>
        <v>Mass-Nom</v>
      </c>
      <c r="C110" s="5" t="s">
        <v>38</v>
      </c>
      <c r="D110" s="5" t="str">
        <f t="shared" si="5"/>
        <v>Nom</v>
      </c>
      <c r="E110" s="5" t="s">
        <v>3</v>
      </c>
      <c r="F110" s="5" t="s">
        <v>59</v>
      </c>
      <c r="G110" s="5" t="s">
        <v>59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_xlfn.SWITCH(K110,200,LOOKUP(J110,embodied_original!$C$14:$N$14,embodied_original!$C$16:$N$16) + _xlfn.XLOOKUP(B110&amp;"|"&amp;E110,
        Calculate_cap_emi!$L$14:$L$21&amp;"|"&amp;Calculate_cap_emi!$I$14:$I$21,
        Calculate_cap_emi!$AG$14:$AG$21, "Not found", 0), LOOKUP(K110,embodied_original!$C$20:$D$20,embodied_original!$C$22:$D$22) + LOOKUP(J110,embodied_original!$C$14:$N$14,embodied_original!$C$16:$N$16) + _xlfn.XLOOKUP(B110&amp;"|"&amp;E110,
        Calculate_cap_emi!$L$14:$L$21&amp;"|"&amp;Calculate_cap_emi!$I$14:$I$21,
        Calculate_cap_emi!$AG$14:$AG$21, "Not found", 0))</f>
        <v>4266.6104278074872</v>
      </c>
      <c r="M110" s="8">
        <f>LOOKUP(J110,embodied_original!$C$14:$N$14,embodied_original!$C$16:$N$16)</f>
        <v>2044.9058823529413</v>
      </c>
      <c r="N110" s="8" cm="1">
        <f t="array" ref="N110">_xlfn.SWITCH(K110,200,0,LOOKUP(K110,embodied_original!$C$20:$D$20,embodied_original!$C$22:$D$22))</f>
        <v>1145.4545454545455</v>
      </c>
      <c r="O110" s="5" cm="1">
        <f t="array" ref="O110">_xlfn.XLOOKUP(B110&amp;"|"&amp;E110,
        Calculate_cap_emi!$L$14:$L$21&amp;"|"&amp;Calculate_cap_emi!$I$14:$I$21,
        Calculate_cap_emi!$AG$14:$AG$21, "Not found", 0)</f>
        <v>1076.25</v>
      </c>
      <c r="P110" s="8">
        <f t="shared" si="8"/>
        <v>4266.6104278074872</v>
      </c>
    </row>
    <row r="111" spans="1:16" x14ac:dyDescent="0.3">
      <c r="A111" s="5"/>
      <c r="B111" s="5" t="str">
        <f t="shared" si="6"/>
        <v>Mass-Nom</v>
      </c>
      <c r="C111" s="5" t="s">
        <v>38</v>
      </c>
      <c r="D111" s="5" t="str">
        <f t="shared" si="5"/>
        <v>Nom</v>
      </c>
      <c r="E111" s="5" t="s">
        <v>3</v>
      </c>
      <c r="F111" s="5" t="s">
        <v>59</v>
      </c>
      <c r="G111" s="5" t="s">
        <v>59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_xlfn.SWITCH(K111,200,LOOKUP(J111,embodied_original!$C$14:$N$14,embodied_original!$C$16:$N$16) + _xlfn.XLOOKUP(B111&amp;"|"&amp;E111,
        Calculate_cap_emi!$L$14:$L$21&amp;"|"&amp;Calculate_cap_emi!$I$14:$I$21,
        Calculate_cap_emi!$AG$14:$AG$21, "Not found", 0), LOOKUP(K111,embodied_original!$C$20:$D$20,embodied_original!$C$22:$D$22) + LOOKUP(J111,embodied_original!$C$14:$N$14,embodied_original!$C$16:$N$16) + _xlfn.XLOOKUP(B111&amp;"|"&amp;E111,
        Calculate_cap_emi!$L$14:$L$21&amp;"|"&amp;Calculate_cap_emi!$I$14:$I$21,
        Calculate_cap_emi!$AG$14:$AG$21, "Not found", 0))</f>
        <v>4458.0810160427809</v>
      </c>
      <c r="M111" s="8">
        <f>LOOKUP(J111,embodied_original!$C$14:$N$14,embodied_original!$C$16:$N$16)</f>
        <v>2236.3764705882354</v>
      </c>
      <c r="N111" s="8" cm="1">
        <f t="array" ref="N111">_xlfn.SWITCH(K111,200,0,LOOKUP(K111,embodied_original!$C$20:$D$20,embodied_original!$C$22:$D$22))</f>
        <v>1145.4545454545455</v>
      </c>
      <c r="O111" s="5" cm="1">
        <f t="array" ref="O111">_xlfn.XLOOKUP(B111&amp;"|"&amp;E111,
        Calculate_cap_emi!$L$14:$L$21&amp;"|"&amp;Calculate_cap_emi!$I$14:$I$21,
        Calculate_cap_emi!$AG$14:$AG$21, "Not found", 0)</f>
        <v>1076.25</v>
      </c>
      <c r="P111" s="8">
        <f t="shared" si="8"/>
        <v>4458.0810160427809</v>
      </c>
    </row>
    <row r="112" spans="1:16" x14ac:dyDescent="0.3">
      <c r="A112" s="5"/>
      <c r="B112" s="5" t="str">
        <f t="shared" si="6"/>
        <v>Mod-Nom</v>
      </c>
      <c r="C112" s="5" t="s">
        <v>39</v>
      </c>
      <c r="D112" s="5" t="str">
        <f t="shared" si="5"/>
        <v>Nom</v>
      </c>
      <c r="E112" s="5" t="s">
        <v>3</v>
      </c>
      <c r="F112" s="5" t="s">
        <v>56</v>
      </c>
      <c r="G112" s="5" t="s">
        <v>56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_xlfn.SWITCH(K112,200,LOOKUP(J112,embodied_original!$C$14:$N$14,embodied_original!$C$16:$N$16) + _xlfn.XLOOKUP(B112&amp;"|"&amp;E112,
        Calculate_cap_emi!$L$14:$L$21&amp;"|"&amp;Calculate_cap_emi!$I$14:$I$21,
        Calculate_cap_emi!$AG$14:$AG$21, "Not found", 0), LOOKUP(K112,embodied_original!$C$20:$D$20,embodied_original!$C$22:$D$22) + LOOKUP(J112,embodied_original!$C$14:$N$14,embodied_original!$C$16:$N$16) + _xlfn.XLOOKUP(B112&amp;"|"&amp;E112,
        Calculate_cap_emi!$L$14:$L$21&amp;"|"&amp;Calculate_cap_emi!$I$14:$I$21,
        Calculate_cap_emi!$AG$14:$AG$21, "Not found", 0))</f>
        <v>3239.1264705882354</v>
      </c>
      <c r="M112" s="8">
        <f>LOOKUP(J112,embodied_original!$C$14:$N$14,embodied_original!$C$16:$N$16)</f>
        <v>1585.3764705882354</v>
      </c>
      <c r="N112" s="8" cm="1">
        <f t="array" ref="N112">_xlfn.SWITCH(K112,200,0,LOOKUP(K112,embodied_original!$C$20:$D$20,embodied_original!$C$22:$D$22))</f>
        <v>0</v>
      </c>
      <c r="O112" s="5" cm="1">
        <f t="array" ref="O112">_xlfn.XLOOKUP(B112&amp;"|"&amp;E112,
        Calculate_cap_emi!$L$14:$L$21&amp;"|"&amp;Calculate_cap_emi!$I$14:$I$21,
        Calculate_cap_emi!$AG$14:$AG$21, "Not found", 0)</f>
        <v>1653.75</v>
      </c>
      <c r="P112" s="8">
        <f t="shared" si="8"/>
        <v>3239.1264705882354</v>
      </c>
    </row>
    <row r="113" spans="1:16" x14ac:dyDescent="0.3">
      <c r="A113" s="5"/>
      <c r="B113" s="5" t="str">
        <f t="shared" si="6"/>
        <v>Mod-Nom</v>
      </c>
      <c r="C113" s="5" t="s">
        <v>39</v>
      </c>
      <c r="D113" s="5" t="str">
        <f t="shared" si="5"/>
        <v>Nom</v>
      </c>
      <c r="E113" s="5" t="s">
        <v>3</v>
      </c>
      <c r="F113" s="5" t="s">
        <v>56</v>
      </c>
      <c r="G113" s="5" t="s">
        <v>56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_xlfn.SWITCH(K113,200,LOOKUP(J113,embodied_original!$C$14:$N$14,embodied_original!$C$16:$N$16) + _xlfn.XLOOKUP(B113&amp;"|"&amp;E113,
        Calculate_cap_emi!$L$14:$L$21&amp;"|"&amp;Calculate_cap_emi!$I$14:$I$21,
        Calculate_cap_emi!$AG$14:$AG$21, "Not found", 0), LOOKUP(K113,embodied_original!$C$20:$D$20,embodied_original!$C$22:$D$22) + LOOKUP(J113,embodied_original!$C$14:$N$14,embodied_original!$C$16:$N$16) + _xlfn.XLOOKUP(B113&amp;"|"&amp;E113,
        Calculate_cap_emi!$L$14:$L$21&amp;"|"&amp;Calculate_cap_emi!$I$14:$I$21,
        Calculate_cap_emi!$AG$14:$AG$21, "Not found", 0))</f>
        <v>3698.6558823529413</v>
      </c>
      <c r="M113" s="8">
        <f>LOOKUP(J113,embodied_original!$C$14:$N$14,embodied_original!$C$16:$N$16)</f>
        <v>2044.9058823529413</v>
      </c>
      <c r="N113" s="8" cm="1">
        <f t="array" ref="N113">_xlfn.SWITCH(K113,200,0,LOOKUP(K113,embodied_original!$C$20:$D$20,embodied_original!$C$22:$D$22))</f>
        <v>0</v>
      </c>
      <c r="O113" s="5" cm="1">
        <f t="array" ref="O113">_xlfn.XLOOKUP(B113&amp;"|"&amp;E113,
        Calculate_cap_emi!$L$14:$L$21&amp;"|"&amp;Calculate_cap_emi!$I$14:$I$21,
        Calculate_cap_emi!$AG$14:$AG$21, "Not found", 0)</f>
        <v>1653.75</v>
      </c>
      <c r="P113" s="8">
        <f t="shared" si="8"/>
        <v>3698.6558823529413</v>
      </c>
    </row>
    <row r="114" spans="1:16" x14ac:dyDescent="0.3">
      <c r="A114" s="5"/>
      <c r="B114" s="5" t="str">
        <f t="shared" si="6"/>
        <v>Mod-Nom</v>
      </c>
      <c r="C114" s="5" t="s">
        <v>39</v>
      </c>
      <c r="D114" s="5" t="str">
        <f t="shared" si="5"/>
        <v>Nom</v>
      </c>
      <c r="E114" s="5" t="s">
        <v>3</v>
      </c>
      <c r="F114" s="5" t="s">
        <v>56</v>
      </c>
      <c r="G114" s="5" t="s">
        <v>56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_xlfn.SWITCH(K114,200,LOOKUP(J114,embodied_original!$C$14:$N$14,embodied_original!$C$16:$N$16) + _xlfn.XLOOKUP(B114&amp;"|"&amp;E114,
        Calculate_cap_emi!$L$14:$L$21&amp;"|"&amp;Calculate_cap_emi!$I$14:$I$21,
        Calculate_cap_emi!$AG$14:$AG$21, "Not found", 0), LOOKUP(K114,embodied_original!$C$20:$D$20,embodied_original!$C$22:$D$22) + LOOKUP(J114,embodied_original!$C$14:$N$14,embodied_original!$C$16:$N$16) + _xlfn.XLOOKUP(B114&amp;"|"&amp;E114,
        Calculate_cap_emi!$L$14:$L$21&amp;"|"&amp;Calculate_cap_emi!$I$14:$I$21,
        Calculate_cap_emi!$AG$14:$AG$21, "Not found", 0))</f>
        <v>3890.1264705882354</v>
      </c>
      <c r="M114" s="8">
        <f>LOOKUP(J114,embodied_original!$C$14:$N$14,embodied_original!$C$16:$N$16)</f>
        <v>2236.3764705882354</v>
      </c>
      <c r="N114" s="8" cm="1">
        <f t="array" ref="N114">_xlfn.SWITCH(K114,200,0,LOOKUP(K114,embodied_original!$C$20:$D$20,embodied_original!$C$22:$D$22))</f>
        <v>0</v>
      </c>
      <c r="O114" s="5" cm="1">
        <f t="array" ref="O114">_xlfn.XLOOKUP(B114&amp;"|"&amp;E114,
        Calculate_cap_emi!$L$14:$L$21&amp;"|"&amp;Calculate_cap_emi!$I$14:$I$21,
        Calculate_cap_emi!$AG$14:$AG$21, "Not found", 0)</f>
        <v>1653.75</v>
      </c>
      <c r="P114" s="8">
        <f t="shared" si="8"/>
        <v>3890.1264705882354</v>
      </c>
    </row>
    <row r="115" spans="1:16" x14ac:dyDescent="0.3">
      <c r="A115" s="5"/>
      <c r="B115" s="5" t="str">
        <f t="shared" si="6"/>
        <v>Mod-Nom</v>
      </c>
      <c r="C115" s="5" t="s">
        <v>39</v>
      </c>
      <c r="D115" s="5" t="str">
        <f t="shared" si="5"/>
        <v>Nom</v>
      </c>
      <c r="E115" s="5" t="s">
        <v>3</v>
      </c>
      <c r="F115" s="5" t="s">
        <v>57</v>
      </c>
      <c r="G115" s="5" t="s">
        <v>57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_xlfn.SWITCH(K115,200,LOOKUP(J115,embodied_original!$C$14:$N$14,embodied_original!$C$16:$N$16) + _xlfn.XLOOKUP(B115&amp;"|"&amp;E115,
        Calculate_cap_emi!$L$14:$L$21&amp;"|"&amp;Calculate_cap_emi!$I$14:$I$21,
        Calculate_cap_emi!$AG$14:$AG$21, "Not found", 0), LOOKUP(K115,embodied_original!$C$20:$D$20,embodied_original!$C$22:$D$22) + LOOKUP(J115,embodied_original!$C$14:$N$14,embodied_original!$C$16:$N$16) + _xlfn.XLOOKUP(B115&amp;"|"&amp;E115,
        Calculate_cap_emi!$L$14:$L$21&amp;"|"&amp;Calculate_cap_emi!$I$14:$I$21,
        Calculate_cap_emi!$AG$14:$AG$21, "Not found", 0))</f>
        <v>3668.6719251336899</v>
      </c>
      <c r="M115" s="8">
        <f>LOOKUP(J115,embodied_original!$C$14:$N$14,embodied_original!$C$16:$N$16)</f>
        <v>1585.3764705882354</v>
      </c>
      <c r="N115" s="8" cm="1">
        <f t="array" ref="N115">_xlfn.SWITCH(K115,200,0,LOOKUP(K115,embodied_original!$C$20:$D$20,embodied_original!$C$22:$D$22))</f>
        <v>429.54545454545456</v>
      </c>
      <c r="O115" s="5" cm="1">
        <f t="array" ref="O115">_xlfn.XLOOKUP(B115&amp;"|"&amp;E115,
        Calculate_cap_emi!$L$14:$L$21&amp;"|"&amp;Calculate_cap_emi!$I$14:$I$21,
        Calculate_cap_emi!$AG$14:$AG$21, "Not found", 0)</f>
        <v>1653.75</v>
      </c>
      <c r="P115" s="8">
        <f t="shared" ref="P115" si="10">SUM(M115:O115)</f>
        <v>3668.6719251336899</v>
      </c>
    </row>
    <row r="116" spans="1:16" x14ac:dyDescent="0.3">
      <c r="A116" s="5"/>
      <c r="B116" s="5" t="str">
        <f t="shared" si="6"/>
        <v>Mod-Nom</v>
      </c>
      <c r="C116" s="5" t="s">
        <v>39</v>
      </c>
      <c r="D116" s="5" t="str">
        <f t="shared" si="5"/>
        <v>Nom</v>
      </c>
      <c r="E116" s="5" t="s">
        <v>3</v>
      </c>
      <c r="F116" s="5" t="s">
        <v>57</v>
      </c>
      <c r="G116" s="5" t="s">
        <v>57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_xlfn.SWITCH(K116,200,LOOKUP(J116,embodied_original!$C$14:$N$14,embodied_original!$C$16:$N$16) + _xlfn.XLOOKUP(B116&amp;"|"&amp;E116,
        Calculate_cap_emi!$L$14:$L$21&amp;"|"&amp;Calculate_cap_emi!$I$14:$I$21,
        Calculate_cap_emi!$AG$14:$AG$21, "Not found", 0), LOOKUP(K116,embodied_original!$C$20:$D$20,embodied_original!$C$22:$D$22) + LOOKUP(J116,embodied_original!$C$14:$N$14,embodied_original!$C$16:$N$16) + _xlfn.XLOOKUP(B116&amp;"|"&amp;E116,
        Calculate_cap_emi!$L$14:$L$21&amp;"|"&amp;Calculate_cap_emi!$I$14:$I$21,
        Calculate_cap_emi!$AG$14:$AG$21, "Not found", 0))</f>
        <v>3668.6719251336899</v>
      </c>
      <c r="M116" s="8">
        <f>LOOKUP(J116,embodied_original!$C$14:$N$14,embodied_original!$C$16:$N$16)</f>
        <v>1585.3764705882354</v>
      </c>
      <c r="N116" s="8" cm="1">
        <f t="array" ref="N116">_xlfn.SWITCH(K116,200,0,LOOKUP(K116,embodied_original!$C$20:$D$20,embodied_original!$C$22:$D$22))</f>
        <v>429.54545454545456</v>
      </c>
      <c r="O116" s="5" cm="1">
        <f t="array" ref="O116">_xlfn.XLOOKUP(B116&amp;"|"&amp;E116,
        Calculate_cap_emi!$L$14:$L$21&amp;"|"&amp;Calculate_cap_emi!$I$14:$I$21,
        Calculate_cap_emi!$AG$14:$AG$21, "Not found", 0)</f>
        <v>1653.75</v>
      </c>
      <c r="P116" s="8">
        <f t="shared" si="8"/>
        <v>3668.6719251336899</v>
      </c>
    </row>
    <row r="117" spans="1:16" x14ac:dyDescent="0.3">
      <c r="A117" s="5"/>
      <c r="B117" s="5" t="str">
        <f t="shared" si="6"/>
        <v>Mod-Nom</v>
      </c>
      <c r="C117" s="5" t="s">
        <v>39</v>
      </c>
      <c r="D117" s="5" t="str">
        <f t="shared" si="5"/>
        <v>Nom</v>
      </c>
      <c r="E117" s="5" t="s">
        <v>3</v>
      </c>
      <c r="F117" s="5" t="s">
        <v>57</v>
      </c>
      <c r="G117" s="5" t="s">
        <v>57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_xlfn.SWITCH(K117,200,LOOKUP(J117,embodied_original!$C$14:$N$14,embodied_original!$C$16:$N$16) + _xlfn.XLOOKUP(B117&amp;"|"&amp;E117,
        Calculate_cap_emi!$L$14:$L$21&amp;"|"&amp;Calculate_cap_emi!$I$14:$I$21,
        Calculate_cap_emi!$AG$14:$AG$21, "Not found", 0), LOOKUP(K117,embodied_original!$C$20:$D$20,embodied_original!$C$22:$D$22) + LOOKUP(J117,embodied_original!$C$14:$N$14,embodied_original!$C$16:$N$16) + _xlfn.XLOOKUP(B117&amp;"|"&amp;E117,
        Calculate_cap_emi!$L$14:$L$21&amp;"|"&amp;Calculate_cap_emi!$I$14:$I$21,
        Calculate_cap_emi!$AG$14:$AG$21, "Not found", 0))</f>
        <v>3668.6719251336899</v>
      </c>
      <c r="M117" s="8">
        <f>LOOKUP(J117,embodied_original!$C$14:$N$14,embodied_original!$C$16:$N$16)</f>
        <v>1585.3764705882354</v>
      </c>
      <c r="N117" s="8" cm="1">
        <f t="array" ref="N117">_xlfn.SWITCH(K117,200,0,LOOKUP(K117,embodied_original!$C$20:$D$20,embodied_original!$C$22:$D$22))</f>
        <v>429.54545454545456</v>
      </c>
      <c r="O117" s="5" cm="1">
        <f t="array" ref="O117">_xlfn.XLOOKUP(B117&amp;"|"&amp;E117,
        Calculate_cap_emi!$L$14:$L$21&amp;"|"&amp;Calculate_cap_emi!$I$14:$I$21,
        Calculate_cap_emi!$AG$14:$AG$21, "Not found", 0)</f>
        <v>1653.75</v>
      </c>
      <c r="P117" s="8">
        <f t="shared" si="8"/>
        <v>3668.6719251336899</v>
      </c>
    </row>
    <row r="118" spans="1:16" x14ac:dyDescent="0.3">
      <c r="A118" s="5"/>
      <c r="B118" s="5" t="str">
        <f t="shared" si="6"/>
        <v>Mod-Nom</v>
      </c>
      <c r="C118" s="5" t="s">
        <v>39</v>
      </c>
      <c r="D118" s="5" t="str">
        <f t="shared" si="5"/>
        <v>Nom</v>
      </c>
      <c r="E118" s="5" t="s">
        <v>3</v>
      </c>
      <c r="F118" s="5" t="s">
        <v>57</v>
      </c>
      <c r="G118" s="5" t="s">
        <v>57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_xlfn.SWITCH(K118,200,LOOKUP(J118,embodied_original!$C$14:$N$14,embodied_original!$C$16:$N$16) + _xlfn.XLOOKUP(B118&amp;"|"&amp;E118,
        Calculate_cap_emi!$L$14:$L$21&amp;"|"&amp;Calculate_cap_emi!$I$14:$I$21,
        Calculate_cap_emi!$AG$14:$AG$21, "Not found", 0), LOOKUP(K118,embodied_original!$C$20:$D$20,embodied_original!$C$22:$D$22) + LOOKUP(J118,embodied_original!$C$14:$N$14,embodied_original!$C$16:$N$16) + _xlfn.XLOOKUP(B118&amp;"|"&amp;E118,
        Calculate_cap_emi!$L$14:$L$21&amp;"|"&amp;Calculate_cap_emi!$I$14:$I$21,
        Calculate_cap_emi!$AG$14:$AG$21, "Not found", 0))</f>
        <v>4319.6719251336899</v>
      </c>
      <c r="M118" s="8">
        <f>LOOKUP(J118,embodied_original!$C$14:$N$14,embodied_original!$C$16:$N$16)</f>
        <v>2236.3764705882354</v>
      </c>
      <c r="N118" s="8" cm="1">
        <f t="array" ref="N118">_xlfn.SWITCH(K118,200,0,LOOKUP(K118,embodied_original!$C$20:$D$20,embodied_original!$C$22:$D$22))</f>
        <v>429.54545454545456</v>
      </c>
      <c r="O118" s="5" cm="1">
        <f t="array" ref="O118">_xlfn.XLOOKUP(B118&amp;"|"&amp;E118,
        Calculate_cap_emi!$L$14:$L$21&amp;"|"&amp;Calculate_cap_emi!$I$14:$I$21,
        Calculate_cap_emi!$AG$14:$AG$21, "Not found", 0)</f>
        <v>1653.75</v>
      </c>
      <c r="P118" s="8">
        <f t="shared" si="8"/>
        <v>4319.6719251336899</v>
      </c>
    </row>
    <row r="119" spans="1:16" x14ac:dyDescent="0.3">
      <c r="A119" s="5"/>
      <c r="B119" s="5" t="str">
        <f t="shared" si="6"/>
        <v>Mod-Nom</v>
      </c>
      <c r="C119" s="5" t="s">
        <v>39</v>
      </c>
      <c r="D119" s="5" t="str">
        <f t="shared" si="5"/>
        <v>Nom</v>
      </c>
      <c r="E119" s="5" t="s">
        <v>3</v>
      </c>
      <c r="F119" s="5" t="s">
        <v>59</v>
      </c>
      <c r="G119" s="5" t="s">
        <v>59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_xlfn.SWITCH(K119,200,LOOKUP(J119,embodied_original!$C$14:$N$14,embodied_original!$C$16:$N$16) + _xlfn.XLOOKUP(B119&amp;"|"&amp;E119,
        Calculate_cap_emi!$L$14:$L$21&amp;"|"&amp;Calculate_cap_emi!$I$14:$I$21,
        Calculate_cap_emi!$AG$14:$AG$21, "Not found", 0), LOOKUP(K119,embodied_original!$C$20:$D$20,embodied_original!$C$22:$D$22) + LOOKUP(J119,embodied_original!$C$14:$N$14,embodied_original!$C$16:$N$16) + _xlfn.XLOOKUP(B119&amp;"|"&amp;E119,
        Calculate_cap_emi!$L$14:$L$21&amp;"|"&amp;Calculate_cap_emi!$I$14:$I$21,
        Calculate_cap_emi!$AG$14:$AG$21, "Not found", 0))</f>
        <v>4384.5810160427809</v>
      </c>
      <c r="M119" s="8">
        <f>LOOKUP(J119,embodied_original!$C$14:$N$14,embodied_original!$C$16:$N$16)</f>
        <v>1585.3764705882354</v>
      </c>
      <c r="N119" s="8" cm="1">
        <f t="array" ref="N119">_xlfn.SWITCH(K119,200,0,LOOKUP(K119,embodied_original!$C$20:$D$20,embodied_original!$C$22:$D$22))</f>
        <v>1145.4545454545455</v>
      </c>
      <c r="O119" s="5" cm="1">
        <f t="array" ref="O119">_xlfn.XLOOKUP(B119&amp;"|"&amp;E119,
        Calculate_cap_emi!$L$14:$L$21&amp;"|"&amp;Calculate_cap_emi!$I$14:$I$21,
        Calculate_cap_emi!$AG$14:$AG$21, "Not found", 0)</f>
        <v>1653.75</v>
      </c>
      <c r="P119" s="8">
        <f t="shared" ref="P119" si="11">SUM(M119:O119)</f>
        <v>4384.5810160427809</v>
      </c>
    </row>
    <row r="120" spans="1:16" x14ac:dyDescent="0.3">
      <c r="A120" s="5"/>
      <c r="B120" s="5" t="str">
        <f t="shared" si="6"/>
        <v>Mod-Nom</v>
      </c>
      <c r="C120" s="5" t="s">
        <v>39</v>
      </c>
      <c r="D120" s="5" t="str">
        <f t="shared" si="5"/>
        <v>Nom</v>
      </c>
      <c r="E120" s="5" t="s">
        <v>3</v>
      </c>
      <c r="F120" s="5" t="s">
        <v>59</v>
      </c>
      <c r="G120" s="5" t="s">
        <v>59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_xlfn.SWITCH(K120,200,LOOKUP(J120,embodied_original!$C$14:$N$14,embodied_original!$C$16:$N$16) + _xlfn.XLOOKUP(B120&amp;"|"&amp;E120,
        Calculate_cap_emi!$L$14:$L$21&amp;"|"&amp;Calculate_cap_emi!$I$14:$I$21,
        Calculate_cap_emi!$AG$14:$AG$21, "Not found", 0), LOOKUP(K120,embodied_original!$C$20:$D$20,embodied_original!$C$22:$D$22) + LOOKUP(J120,embodied_original!$C$14:$N$14,embodied_original!$C$16:$N$16) + _xlfn.XLOOKUP(B120&amp;"|"&amp;E120,
        Calculate_cap_emi!$L$14:$L$21&amp;"|"&amp;Calculate_cap_emi!$I$14:$I$21,
        Calculate_cap_emi!$AG$14:$AG$21, "Not found", 0))</f>
        <v>4384.5810160427809</v>
      </c>
      <c r="M120" s="8">
        <f>LOOKUP(J120,embodied_original!$C$14:$N$14,embodied_original!$C$16:$N$16)</f>
        <v>1585.3764705882354</v>
      </c>
      <c r="N120" s="8" cm="1">
        <f t="array" ref="N120">_xlfn.SWITCH(K120,200,0,LOOKUP(K120,embodied_original!$C$20:$D$20,embodied_original!$C$22:$D$22))</f>
        <v>1145.4545454545455</v>
      </c>
      <c r="O120" s="5" cm="1">
        <f t="array" ref="O120">_xlfn.XLOOKUP(B120&amp;"|"&amp;E120,
        Calculate_cap_emi!$L$14:$L$21&amp;"|"&amp;Calculate_cap_emi!$I$14:$I$21,
        Calculate_cap_emi!$AG$14:$AG$21, "Not found", 0)</f>
        <v>1653.75</v>
      </c>
      <c r="P120" s="8">
        <f t="shared" si="8"/>
        <v>4384.5810160427809</v>
      </c>
    </row>
    <row r="121" spans="1:16" x14ac:dyDescent="0.3">
      <c r="A121" s="5"/>
      <c r="B121" s="5" t="str">
        <f t="shared" si="6"/>
        <v>Mod-Nom</v>
      </c>
      <c r="C121" s="5" t="s">
        <v>39</v>
      </c>
      <c r="D121" s="5" t="str">
        <f t="shared" si="5"/>
        <v>Nom</v>
      </c>
      <c r="E121" s="5" t="s">
        <v>3</v>
      </c>
      <c r="F121" s="5" t="s">
        <v>59</v>
      </c>
      <c r="G121" s="5" t="s">
        <v>59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_xlfn.SWITCH(K121,200,LOOKUP(J121,embodied_original!$C$14:$N$14,embodied_original!$C$16:$N$16) + _xlfn.XLOOKUP(B121&amp;"|"&amp;E121,
        Calculate_cap_emi!$L$14:$L$21&amp;"|"&amp;Calculate_cap_emi!$I$14:$I$21,
        Calculate_cap_emi!$AG$14:$AG$21, "Not found", 0), LOOKUP(K121,embodied_original!$C$20:$D$20,embodied_original!$C$22:$D$22) + LOOKUP(J121,embodied_original!$C$14:$N$14,embodied_original!$C$16:$N$16) + _xlfn.XLOOKUP(B121&amp;"|"&amp;E121,
        Calculate_cap_emi!$L$14:$L$21&amp;"|"&amp;Calculate_cap_emi!$I$14:$I$21,
        Calculate_cap_emi!$AG$14:$AG$21, "Not found", 0))</f>
        <v>4384.5810160427809</v>
      </c>
      <c r="M121" s="8">
        <f>LOOKUP(J121,embodied_original!$C$14:$N$14,embodied_original!$C$16:$N$16)</f>
        <v>1585.3764705882354</v>
      </c>
      <c r="N121" s="8" cm="1">
        <f t="array" ref="N121">_xlfn.SWITCH(K121,200,0,LOOKUP(K121,embodied_original!$C$20:$D$20,embodied_original!$C$22:$D$22))</f>
        <v>1145.4545454545455</v>
      </c>
      <c r="O121" s="5" cm="1">
        <f t="array" ref="O121">_xlfn.XLOOKUP(B121&amp;"|"&amp;E121,
        Calculate_cap_emi!$L$14:$L$21&amp;"|"&amp;Calculate_cap_emi!$I$14:$I$21,
        Calculate_cap_emi!$AG$14:$AG$21, "Not found", 0)</f>
        <v>1653.75</v>
      </c>
      <c r="P121" s="8">
        <f t="shared" si="8"/>
        <v>4384.5810160427809</v>
      </c>
    </row>
    <row r="122" spans="1:16" x14ac:dyDescent="0.3">
      <c r="A122" s="5"/>
      <c r="B122" s="5" t="str">
        <f t="shared" si="6"/>
        <v>Mod-Nom</v>
      </c>
      <c r="C122" s="5" t="s">
        <v>39</v>
      </c>
      <c r="D122" s="5" t="str">
        <f t="shared" si="5"/>
        <v>Nom</v>
      </c>
      <c r="E122" s="5" t="s">
        <v>3</v>
      </c>
      <c r="F122" s="5" t="s">
        <v>59</v>
      </c>
      <c r="G122" s="5" t="s">
        <v>59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_xlfn.SWITCH(K122,200,LOOKUP(J122,embodied_original!$C$14:$N$14,embodied_original!$C$16:$N$16) + _xlfn.XLOOKUP(B122&amp;"|"&amp;E122,
        Calculate_cap_emi!$L$14:$L$21&amp;"|"&amp;Calculate_cap_emi!$I$14:$I$21,
        Calculate_cap_emi!$AG$14:$AG$21, "Not found", 0), LOOKUP(K122,embodied_original!$C$20:$D$20,embodied_original!$C$22:$D$22) + LOOKUP(J122,embodied_original!$C$14:$N$14,embodied_original!$C$16:$N$16) + _xlfn.XLOOKUP(B122&amp;"|"&amp;E122,
        Calculate_cap_emi!$L$14:$L$21&amp;"|"&amp;Calculate_cap_emi!$I$14:$I$21,
        Calculate_cap_emi!$AG$14:$AG$21, "Not found", 0))</f>
        <v>4844.1104278074872</v>
      </c>
      <c r="M122" s="8">
        <f>LOOKUP(J122,embodied_original!$C$14:$N$14,embodied_original!$C$16:$N$16)</f>
        <v>2044.9058823529413</v>
      </c>
      <c r="N122" s="8" cm="1">
        <f t="array" ref="N122">_xlfn.SWITCH(K122,200,0,LOOKUP(K122,embodied_original!$C$20:$D$20,embodied_original!$C$22:$D$22))</f>
        <v>1145.4545454545455</v>
      </c>
      <c r="O122" s="5" cm="1">
        <f t="array" ref="O122">_xlfn.XLOOKUP(B122&amp;"|"&amp;E122,
        Calculate_cap_emi!$L$14:$L$21&amp;"|"&amp;Calculate_cap_emi!$I$14:$I$21,
        Calculate_cap_emi!$AG$14:$AG$21, "Not found", 0)</f>
        <v>1653.75</v>
      </c>
      <c r="P122" s="8">
        <f t="shared" si="8"/>
        <v>4844.1104278074872</v>
      </c>
    </row>
    <row r="123" spans="1:16" x14ac:dyDescent="0.3">
      <c r="A123" s="5"/>
      <c r="B123" s="5" t="str">
        <f t="shared" si="6"/>
        <v>Mod-Nom</v>
      </c>
      <c r="C123" s="5" t="s">
        <v>39</v>
      </c>
      <c r="D123" s="5" t="str">
        <f t="shared" si="5"/>
        <v>Nom</v>
      </c>
      <c r="E123" s="5" t="s">
        <v>3</v>
      </c>
      <c r="F123" s="5" t="s">
        <v>59</v>
      </c>
      <c r="G123" s="5" t="s">
        <v>59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_xlfn.SWITCH(K123,200,LOOKUP(J123,embodied_original!$C$14:$N$14,embodied_original!$C$16:$N$16) + _xlfn.XLOOKUP(B123&amp;"|"&amp;E123,
        Calculate_cap_emi!$L$14:$L$21&amp;"|"&amp;Calculate_cap_emi!$I$14:$I$21,
        Calculate_cap_emi!$AG$14:$AG$21, "Not found", 0), LOOKUP(K123,embodied_original!$C$20:$D$20,embodied_original!$C$22:$D$22) + LOOKUP(J123,embodied_original!$C$14:$N$14,embodied_original!$C$16:$N$16) + _xlfn.XLOOKUP(B123&amp;"|"&amp;E123,
        Calculate_cap_emi!$L$14:$L$21&amp;"|"&amp;Calculate_cap_emi!$I$14:$I$21,
        Calculate_cap_emi!$AG$14:$AG$21, "Not found", 0))</f>
        <v>5035.5810160427809</v>
      </c>
      <c r="M123" s="8">
        <f>LOOKUP(J123,embodied_original!$C$14:$N$14,embodied_original!$C$16:$N$16)</f>
        <v>2236.3764705882354</v>
      </c>
      <c r="N123" s="8" cm="1">
        <f t="array" ref="N123">_xlfn.SWITCH(K123,200,0,LOOKUP(K123,embodied_original!$C$20:$D$20,embodied_original!$C$22:$D$22))</f>
        <v>1145.4545454545455</v>
      </c>
      <c r="O123" s="5" cm="1">
        <f t="array" ref="O123">_xlfn.XLOOKUP(B123&amp;"|"&amp;E123,
        Calculate_cap_emi!$L$14:$L$21&amp;"|"&amp;Calculate_cap_emi!$I$14:$I$21,
        Calculate_cap_emi!$AG$14:$AG$21, "Not found", 0)</f>
        <v>1653.75</v>
      </c>
      <c r="P123" s="8">
        <f t="shared" si="8"/>
        <v>5035.5810160427809</v>
      </c>
    </row>
    <row r="124" spans="1:16" x14ac:dyDescent="0.3">
      <c r="A124" s="5"/>
      <c r="B124" s="5" t="str">
        <f t="shared" si="6"/>
        <v>Mass-Nom</v>
      </c>
      <c r="C124" s="5" t="s">
        <v>38</v>
      </c>
      <c r="D124" s="5" t="str">
        <f t="shared" si="5"/>
        <v>Nom</v>
      </c>
      <c r="E124" s="5" t="s">
        <v>11</v>
      </c>
      <c r="F124" s="5" t="s">
        <v>56</v>
      </c>
      <c r="G124" s="5" t="s">
        <v>56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_xlfn.SWITCH(K124,200,LOOKUP(J124,embodied_original!$C$14:$N$14,embodied_original!$C$16:$N$16) + _xlfn.XLOOKUP(B124&amp;"|"&amp;E124,
        Calculate_cap_emi!$L$14:$L$21&amp;"|"&amp;Calculate_cap_emi!$I$14:$I$21,
        Calculate_cap_emi!$AG$14:$AG$21, "Not found", 0), LOOKUP(K124,embodied_original!$C$20:$D$20,embodied_original!$C$22:$D$22) + LOOKUP(J124,embodied_original!$C$14:$N$14,embodied_original!$C$16:$N$16) + _xlfn.XLOOKUP(B124&amp;"|"&amp;E124,
        Calculate_cap_emi!$L$14:$L$21&amp;"|"&amp;Calculate_cap_emi!$I$14:$I$21,
        Calculate_cap_emi!$AG$14:$AG$21, "Not found", 0))</f>
        <v>2838.8139705882354</v>
      </c>
      <c r="M124" s="8">
        <f>LOOKUP(J124,embodied_original!$C$14:$N$14,embodied_original!$C$16:$N$16)</f>
        <v>1585.3764705882354</v>
      </c>
      <c r="N124" s="8" cm="1">
        <f t="array" ref="N124">_xlfn.SWITCH(K124,200,0,LOOKUP(K124,embodied_original!$C$20:$D$20,embodied_original!$C$22:$D$22))</f>
        <v>0</v>
      </c>
      <c r="O124" s="5" cm="1">
        <f t="array" ref="O124">_xlfn.XLOOKUP(B124&amp;"|"&amp;E124,
        Calculate_cap_emi!$L$14:$L$21&amp;"|"&amp;Calculate_cap_emi!$I$14:$I$21,
        Calculate_cap_emi!$AG$14:$AG$21, "Not found", 0)</f>
        <v>1253.4375</v>
      </c>
      <c r="P124" s="8">
        <f t="shared" si="8"/>
        <v>2838.8139705882354</v>
      </c>
    </row>
    <row r="125" spans="1:16" x14ac:dyDescent="0.3">
      <c r="A125" s="5"/>
      <c r="B125" s="5" t="str">
        <f t="shared" si="6"/>
        <v>Mass-Nom</v>
      </c>
      <c r="C125" s="5" t="s">
        <v>38</v>
      </c>
      <c r="D125" s="5" t="str">
        <f t="shared" si="5"/>
        <v>Nom</v>
      </c>
      <c r="E125" s="5" t="s">
        <v>11</v>
      </c>
      <c r="F125" s="5" t="s">
        <v>56</v>
      </c>
      <c r="G125" s="5" t="s">
        <v>56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_xlfn.SWITCH(K125,200,LOOKUP(J125,embodied_original!$C$14:$N$14,embodied_original!$C$16:$N$16) + _xlfn.XLOOKUP(B125&amp;"|"&amp;E125,
        Calculate_cap_emi!$L$14:$L$21&amp;"|"&amp;Calculate_cap_emi!$I$14:$I$21,
        Calculate_cap_emi!$AG$14:$AG$21, "Not found", 0), LOOKUP(K125,embodied_original!$C$20:$D$20,embodied_original!$C$22:$D$22) + LOOKUP(J125,embodied_original!$C$14:$N$14,embodied_original!$C$16:$N$16) + _xlfn.XLOOKUP(B125&amp;"|"&amp;E125,
        Calculate_cap_emi!$L$14:$L$21&amp;"|"&amp;Calculate_cap_emi!$I$14:$I$21,
        Calculate_cap_emi!$AG$14:$AG$21, "Not found", 0))</f>
        <v>3298.3433823529413</v>
      </c>
      <c r="M125" s="8">
        <f>LOOKUP(J125,embodied_original!$C$14:$N$14,embodied_original!$C$16:$N$16)</f>
        <v>2044.9058823529413</v>
      </c>
      <c r="N125" s="8" cm="1">
        <f t="array" ref="N125">_xlfn.SWITCH(K125,200,0,LOOKUP(K125,embodied_original!$C$20:$D$20,embodied_original!$C$22:$D$22))</f>
        <v>0</v>
      </c>
      <c r="O125" s="5" cm="1">
        <f t="array" ref="O125">_xlfn.XLOOKUP(B125&amp;"|"&amp;E125,
        Calculate_cap_emi!$L$14:$L$21&amp;"|"&amp;Calculate_cap_emi!$I$14:$I$21,
        Calculate_cap_emi!$AG$14:$AG$21, "Not found", 0)</f>
        <v>1253.4375</v>
      </c>
      <c r="P125" s="8">
        <f t="shared" si="8"/>
        <v>3298.3433823529413</v>
      </c>
    </row>
    <row r="126" spans="1:16" x14ac:dyDescent="0.3">
      <c r="A126" s="5"/>
      <c r="B126" s="5" t="str">
        <f t="shared" si="6"/>
        <v>Mass-Nom</v>
      </c>
      <c r="C126" s="5" t="s">
        <v>38</v>
      </c>
      <c r="D126" s="5" t="str">
        <f t="shared" si="5"/>
        <v>Nom</v>
      </c>
      <c r="E126" s="5" t="s">
        <v>11</v>
      </c>
      <c r="F126" s="5" t="s">
        <v>56</v>
      </c>
      <c r="G126" s="5" t="s">
        <v>56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_xlfn.SWITCH(K126,200,LOOKUP(J126,embodied_original!$C$14:$N$14,embodied_original!$C$16:$N$16) + _xlfn.XLOOKUP(B126&amp;"|"&amp;E126,
        Calculate_cap_emi!$L$14:$L$21&amp;"|"&amp;Calculate_cap_emi!$I$14:$I$21,
        Calculate_cap_emi!$AG$14:$AG$21, "Not found", 0), LOOKUP(K126,embodied_original!$C$20:$D$20,embodied_original!$C$22:$D$22) + LOOKUP(J126,embodied_original!$C$14:$N$14,embodied_original!$C$16:$N$16) + _xlfn.XLOOKUP(B126&amp;"|"&amp;E126,
        Calculate_cap_emi!$L$14:$L$21&amp;"|"&amp;Calculate_cap_emi!$I$14:$I$21,
        Calculate_cap_emi!$AG$14:$AG$21, "Not found", 0))</f>
        <v>3489.8139705882354</v>
      </c>
      <c r="M126" s="8">
        <f>LOOKUP(J126,embodied_original!$C$14:$N$14,embodied_original!$C$16:$N$16)</f>
        <v>2236.3764705882354</v>
      </c>
      <c r="N126" s="8" cm="1">
        <f t="array" ref="N126">_xlfn.SWITCH(K126,200,0,LOOKUP(K126,embodied_original!$C$20:$D$20,embodied_original!$C$22:$D$22))</f>
        <v>0</v>
      </c>
      <c r="O126" s="5" cm="1">
        <f t="array" ref="O126">_xlfn.XLOOKUP(B126&amp;"|"&amp;E126,
        Calculate_cap_emi!$L$14:$L$21&amp;"|"&amp;Calculate_cap_emi!$I$14:$I$21,
        Calculate_cap_emi!$AG$14:$AG$21, "Not found", 0)</f>
        <v>1253.4375</v>
      </c>
      <c r="P126" s="8">
        <f t="shared" si="8"/>
        <v>3489.8139705882354</v>
      </c>
    </row>
    <row r="127" spans="1:16" x14ac:dyDescent="0.3">
      <c r="A127" s="5"/>
      <c r="B127" s="5" t="str">
        <f t="shared" ref="B127" si="12">CONCATENATE(C127, "-", "Nom")</f>
        <v>Mass-Nom</v>
      </c>
      <c r="C127" s="5" t="s">
        <v>38</v>
      </c>
      <c r="D127" s="5" t="str">
        <f t="shared" ref="D127" si="13">_xlfn.TEXTAFTER(B127, "-", 1)</f>
        <v>Nom</v>
      </c>
      <c r="E127" s="5" t="s">
        <v>11</v>
      </c>
      <c r="F127" s="5" t="s">
        <v>57</v>
      </c>
      <c r="G127" s="5" t="s">
        <v>57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_xlfn.SWITCH(K127,200,LOOKUP(J127,embodied_original!$C$14:$N$14,embodied_original!$C$16:$N$16) + _xlfn.XLOOKUP(B127&amp;"|"&amp;E127,
        Calculate_cap_emi!$L$14:$L$21&amp;"|"&amp;Calculate_cap_emi!$I$14:$I$21,
        Calculate_cap_emi!$AG$14:$AG$21, "Not found", 0), LOOKUP(K127,embodied_original!$C$20:$D$20,embodied_original!$C$22:$D$22) + LOOKUP(J127,embodied_original!$C$14:$N$14,embodied_original!$C$16:$N$16) + _xlfn.XLOOKUP(B127&amp;"|"&amp;E127,
        Calculate_cap_emi!$L$14:$L$21&amp;"|"&amp;Calculate_cap_emi!$I$14:$I$21,
        Calculate_cap_emi!$AG$14:$AG$21, "Not found", 0))</f>
        <v>3268.3594251336899</v>
      </c>
      <c r="M127" s="8">
        <f>LOOKUP(J127,embodied_original!$C$14:$N$14,embodied_original!$C$16:$N$16)</f>
        <v>1585.3764705882354</v>
      </c>
      <c r="N127" s="8" cm="1">
        <f t="array" ref="N127">_xlfn.SWITCH(K127,200,0,LOOKUP(K127,embodied_original!$C$20:$D$20,embodied_original!$C$22:$D$22))</f>
        <v>429.54545454545456</v>
      </c>
      <c r="O127" s="5" cm="1">
        <f t="array" ref="O127">_xlfn.XLOOKUP(B127&amp;"|"&amp;E127,
        Calculate_cap_emi!$L$14:$L$21&amp;"|"&amp;Calculate_cap_emi!$I$14:$I$21,
        Calculate_cap_emi!$AG$14:$AG$21, "Not found", 0)</f>
        <v>1253.4375</v>
      </c>
      <c r="P127" s="8">
        <f t="shared" si="8"/>
        <v>3268.3594251336899</v>
      </c>
    </row>
    <row r="128" spans="1:16" x14ac:dyDescent="0.3">
      <c r="A128" s="5"/>
      <c r="B128" s="5" t="str">
        <f t="shared" si="6"/>
        <v>Mass-Nom</v>
      </c>
      <c r="C128" s="5" t="s">
        <v>38</v>
      </c>
      <c r="D128" s="5" t="str">
        <f t="shared" si="5"/>
        <v>Nom</v>
      </c>
      <c r="E128" s="5" t="s">
        <v>11</v>
      </c>
      <c r="F128" s="5" t="s">
        <v>57</v>
      </c>
      <c r="G128" s="5" t="s">
        <v>57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_xlfn.SWITCH(K128,200,LOOKUP(J128,embodied_original!$C$14:$N$14,embodied_original!$C$16:$N$16) + _xlfn.XLOOKUP(B128&amp;"|"&amp;E128,
        Calculate_cap_emi!$L$14:$L$21&amp;"|"&amp;Calculate_cap_emi!$I$14:$I$21,
        Calculate_cap_emi!$AG$14:$AG$21, "Not found", 0), LOOKUP(K128,embodied_original!$C$20:$D$20,embodied_original!$C$22:$D$22) + LOOKUP(J128,embodied_original!$C$14:$N$14,embodied_original!$C$16:$N$16) + _xlfn.XLOOKUP(B128&amp;"|"&amp;E128,
        Calculate_cap_emi!$L$14:$L$21&amp;"|"&amp;Calculate_cap_emi!$I$14:$I$21,
        Calculate_cap_emi!$AG$14:$AG$21, "Not found", 0))</f>
        <v>3268.3594251336899</v>
      </c>
      <c r="M128" s="8">
        <f>LOOKUP(J128,embodied_original!$C$14:$N$14,embodied_original!$C$16:$N$16)</f>
        <v>1585.3764705882354</v>
      </c>
      <c r="N128" s="8" cm="1">
        <f t="array" ref="N128">_xlfn.SWITCH(K128,200,0,LOOKUP(K128,embodied_original!$C$20:$D$20,embodied_original!$C$22:$D$22))</f>
        <v>429.54545454545456</v>
      </c>
      <c r="O128" s="5" cm="1">
        <f t="array" ref="O128">_xlfn.XLOOKUP(B128&amp;"|"&amp;E128,
        Calculate_cap_emi!$L$14:$L$21&amp;"|"&amp;Calculate_cap_emi!$I$14:$I$21,
        Calculate_cap_emi!$AG$14:$AG$21, "Not found", 0)</f>
        <v>1253.4375</v>
      </c>
      <c r="P128" s="8">
        <f t="shared" si="8"/>
        <v>3268.3594251336899</v>
      </c>
    </row>
    <row r="129" spans="1:16" x14ac:dyDescent="0.3">
      <c r="A129" s="5"/>
      <c r="B129" s="5" t="str">
        <f t="shared" si="6"/>
        <v>Mass-Nom</v>
      </c>
      <c r="C129" s="5" t="s">
        <v>38</v>
      </c>
      <c r="D129" s="5" t="str">
        <f t="shared" si="5"/>
        <v>Nom</v>
      </c>
      <c r="E129" s="5" t="s">
        <v>11</v>
      </c>
      <c r="F129" s="5" t="s">
        <v>57</v>
      </c>
      <c r="G129" s="5" t="s">
        <v>57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_xlfn.SWITCH(K129,200,LOOKUP(J129,embodied_original!$C$14:$N$14,embodied_original!$C$16:$N$16) + _xlfn.XLOOKUP(B129&amp;"|"&amp;E129,
        Calculate_cap_emi!$L$14:$L$21&amp;"|"&amp;Calculate_cap_emi!$I$14:$I$21,
        Calculate_cap_emi!$AG$14:$AG$21, "Not found", 0), LOOKUP(K129,embodied_original!$C$20:$D$20,embodied_original!$C$22:$D$22) + LOOKUP(J129,embodied_original!$C$14:$N$14,embodied_original!$C$16:$N$16) + _xlfn.XLOOKUP(B129&amp;"|"&amp;E129,
        Calculate_cap_emi!$L$14:$L$21&amp;"|"&amp;Calculate_cap_emi!$I$14:$I$21,
        Calculate_cap_emi!$AG$14:$AG$21, "Not found", 0))</f>
        <v>3268.3594251336899</v>
      </c>
      <c r="M129" s="8">
        <f>LOOKUP(J129,embodied_original!$C$14:$N$14,embodied_original!$C$16:$N$16)</f>
        <v>1585.3764705882354</v>
      </c>
      <c r="N129" s="8" cm="1">
        <f t="array" ref="N129">_xlfn.SWITCH(K129,200,0,LOOKUP(K129,embodied_original!$C$20:$D$20,embodied_original!$C$22:$D$22))</f>
        <v>429.54545454545456</v>
      </c>
      <c r="O129" s="5" cm="1">
        <f t="array" ref="O129">_xlfn.XLOOKUP(B129&amp;"|"&amp;E129,
        Calculate_cap_emi!$L$14:$L$21&amp;"|"&amp;Calculate_cap_emi!$I$14:$I$21,
        Calculate_cap_emi!$AG$14:$AG$21, "Not found", 0)</f>
        <v>1253.4375</v>
      </c>
      <c r="P129" s="8">
        <f t="shared" si="8"/>
        <v>3268.3594251336899</v>
      </c>
    </row>
    <row r="130" spans="1:16" x14ac:dyDescent="0.3">
      <c r="A130" s="5"/>
      <c r="B130" s="5" t="str">
        <f t="shared" si="6"/>
        <v>Mass-Nom</v>
      </c>
      <c r="C130" s="5" t="s">
        <v>38</v>
      </c>
      <c r="D130" s="5" t="str">
        <f t="shared" si="5"/>
        <v>Nom</v>
      </c>
      <c r="E130" s="5" t="s">
        <v>11</v>
      </c>
      <c r="F130" s="5" t="s">
        <v>57</v>
      </c>
      <c r="G130" s="5" t="s">
        <v>57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_xlfn.SWITCH(K130,200,LOOKUP(J130,embodied_original!$C$14:$N$14,embodied_original!$C$16:$N$16) + _xlfn.XLOOKUP(B130&amp;"|"&amp;E130,
        Calculate_cap_emi!$L$14:$L$21&amp;"|"&amp;Calculate_cap_emi!$I$14:$I$21,
        Calculate_cap_emi!$AG$14:$AG$21, "Not found", 0), LOOKUP(K130,embodied_original!$C$20:$D$20,embodied_original!$C$22:$D$22) + LOOKUP(J130,embodied_original!$C$14:$N$14,embodied_original!$C$16:$N$16) + _xlfn.XLOOKUP(B130&amp;"|"&amp;E130,
        Calculate_cap_emi!$L$14:$L$21&amp;"|"&amp;Calculate_cap_emi!$I$14:$I$21,
        Calculate_cap_emi!$AG$14:$AG$21, "Not found", 0))</f>
        <v>3919.3594251336899</v>
      </c>
      <c r="M130" s="8">
        <f>LOOKUP(J130,embodied_original!$C$14:$N$14,embodied_original!$C$16:$N$16)</f>
        <v>2236.3764705882354</v>
      </c>
      <c r="N130" s="8" cm="1">
        <f t="array" ref="N130">_xlfn.SWITCH(K130,200,0,LOOKUP(K130,embodied_original!$C$20:$D$20,embodied_original!$C$22:$D$22))</f>
        <v>429.54545454545456</v>
      </c>
      <c r="O130" s="5" cm="1">
        <f t="array" ref="O130">_xlfn.XLOOKUP(B130&amp;"|"&amp;E130,
        Calculate_cap_emi!$L$14:$L$21&amp;"|"&amp;Calculate_cap_emi!$I$14:$I$21,
        Calculate_cap_emi!$AG$14:$AG$21, "Not found", 0)</f>
        <v>1253.4375</v>
      </c>
      <c r="P130" s="8">
        <f t="shared" si="8"/>
        <v>3919.3594251336899</v>
      </c>
    </row>
    <row r="131" spans="1:16" x14ac:dyDescent="0.3">
      <c r="A131" s="5"/>
      <c r="B131" s="5" t="str">
        <f t="shared" ref="B131" si="14">CONCATENATE(C131, "-", "Nom")</f>
        <v>Mass-Nom</v>
      </c>
      <c r="C131" s="5" t="s">
        <v>38</v>
      </c>
      <c r="D131" s="5" t="str">
        <f t="shared" ref="D131" si="15">_xlfn.TEXTAFTER(B131, "-", 1)</f>
        <v>Nom</v>
      </c>
      <c r="E131" s="5" t="s">
        <v>11</v>
      </c>
      <c r="F131" s="5" t="s">
        <v>59</v>
      </c>
      <c r="G131" s="5" t="s">
        <v>59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_xlfn.SWITCH(K131,200,LOOKUP(J131,embodied_original!$C$14:$N$14,embodied_original!$C$16:$N$16) + _xlfn.XLOOKUP(B131&amp;"|"&amp;E131,
        Calculate_cap_emi!$L$14:$L$21&amp;"|"&amp;Calculate_cap_emi!$I$14:$I$21,
        Calculate_cap_emi!$AG$14:$AG$21, "Not found", 0), LOOKUP(K131,embodied_original!$C$20:$D$20,embodied_original!$C$22:$D$22) + LOOKUP(J131,embodied_original!$C$14:$N$14,embodied_original!$C$16:$N$16) + _xlfn.XLOOKUP(B131&amp;"|"&amp;E131,
        Calculate_cap_emi!$L$14:$L$21&amp;"|"&amp;Calculate_cap_emi!$I$14:$I$21,
        Calculate_cap_emi!$AG$14:$AG$21, "Not found", 0))</f>
        <v>3984.2685160427809</v>
      </c>
      <c r="M131" s="8">
        <f>LOOKUP(J131,embodied_original!$C$14:$N$14,embodied_original!$C$16:$N$16)</f>
        <v>1585.3764705882354</v>
      </c>
      <c r="N131" s="8" cm="1">
        <f t="array" ref="N131">_xlfn.SWITCH(K131,200,0,LOOKUP(K131,embodied_original!$C$20:$D$20,embodied_original!$C$22:$D$22))</f>
        <v>1145.4545454545455</v>
      </c>
      <c r="O131" s="5" cm="1">
        <f t="array" ref="O131">_xlfn.XLOOKUP(B131&amp;"|"&amp;E131,
        Calculate_cap_emi!$L$14:$L$21&amp;"|"&amp;Calculate_cap_emi!$I$14:$I$21,
        Calculate_cap_emi!$AG$14:$AG$21, "Not found", 0)</f>
        <v>1253.4375</v>
      </c>
      <c r="P131" s="8">
        <f t="shared" si="8"/>
        <v>3984.2685160427809</v>
      </c>
    </row>
    <row r="132" spans="1:16" x14ac:dyDescent="0.3">
      <c r="A132" s="5"/>
      <c r="B132" s="5" t="str">
        <f t="shared" si="6"/>
        <v>Mass-Nom</v>
      </c>
      <c r="C132" s="5" t="s">
        <v>38</v>
      </c>
      <c r="D132" s="5" t="str">
        <f t="shared" si="5"/>
        <v>Nom</v>
      </c>
      <c r="E132" s="5" t="s">
        <v>11</v>
      </c>
      <c r="F132" s="5" t="s">
        <v>59</v>
      </c>
      <c r="G132" s="5" t="s">
        <v>59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_xlfn.SWITCH(K132,200,LOOKUP(J132,embodied_original!$C$14:$N$14,embodied_original!$C$16:$N$16) + _xlfn.XLOOKUP(B132&amp;"|"&amp;E132,
        Calculate_cap_emi!$L$14:$L$21&amp;"|"&amp;Calculate_cap_emi!$I$14:$I$21,
        Calculate_cap_emi!$AG$14:$AG$21, "Not found", 0), LOOKUP(K132,embodied_original!$C$20:$D$20,embodied_original!$C$22:$D$22) + LOOKUP(J132,embodied_original!$C$14:$N$14,embodied_original!$C$16:$N$16) + _xlfn.XLOOKUP(B132&amp;"|"&amp;E132,
        Calculate_cap_emi!$L$14:$L$21&amp;"|"&amp;Calculate_cap_emi!$I$14:$I$21,
        Calculate_cap_emi!$AG$14:$AG$21, "Not found", 0))</f>
        <v>3984.2685160427809</v>
      </c>
      <c r="M132" s="8">
        <f>LOOKUP(J132,embodied_original!$C$14:$N$14,embodied_original!$C$16:$N$16)</f>
        <v>1585.3764705882354</v>
      </c>
      <c r="N132" s="8" cm="1">
        <f t="array" ref="N132">_xlfn.SWITCH(K132,200,0,LOOKUP(K132,embodied_original!$C$20:$D$20,embodied_original!$C$22:$D$22))</f>
        <v>1145.4545454545455</v>
      </c>
      <c r="O132" s="5" cm="1">
        <f t="array" ref="O132">_xlfn.XLOOKUP(B132&amp;"|"&amp;E132,
        Calculate_cap_emi!$L$14:$L$21&amp;"|"&amp;Calculate_cap_emi!$I$14:$I$21,
        Calculate_cap_emi!$AG$14:$AG$21, "Not found", 0)</f>
        <v>1253.4375</v>
      </c>
      <c r="P132" s="8">
        <f t="shared" si="8"/>
        <v>3984.2685160427809</v>
      </c>
    </row>
    <row r="133" spans="1:16" x14ac:dyDescent="0.3">
      <c r="A133" s="5"/>
      <c r="B133" s="5" t="str">
        <f t="shared" si="6"/>
        <v>Mass-Nom</v>
      </c>
      <c r="C133" s="5" t="s">
        <v>38</v>
      </c>
      <c r="D133" s="5" t="str">
        <f t="shared" si="5"/>
        <v>Nom</v>
      </c>
      <c r="E133" s="5" t="s">
        <v>11</v>
      </c>
      <c r="F133" s="5" t="s">
        <v>59</v>
      </c>
      <c r="G133" s="5" t="s">
        <v>59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_xlfn.SWITCH(K133,200,LOOKUP(J133,embodied_original!$C$14:$N$14,embodied_original!$C$16:$N$16) + _xlfn.XLOOKUP(B133&amp;"|"&amp;E133,
        Calculate_cap_emi!$L$14:$L$21&amp;"|"&amp;Calculate_cap_emi!$I$14:$I$21,
        Calculate_cap_emi!$AG$14:$AG$21, "Not found", 0), LOOKUP(K133,embodied_original!$C$20:$D$20,embodied_original!$C$22:$D$22) + LOOKUP(J133,embodied_original!$C$14:$N$14,embodied_original!$C$16:$N$16) + _xlfn.XLOOKUP(B133&amp;"|"&amp;E133,
        Calculate_cap_emi!$L$14:$L$21&amp;"|"&amp;Calculate_cap_emi!$I$14:$I$21,
        Calculate_cap_emi!$AG$14:$AG$21, "Not found", 0))</f>
        <v>3984.2685160427809</v>
      </c>
      <c r="M133" s="8">
        <f>LOOKUP(J133,embodied_original!$C$14:$N$14,embodied_original!$C$16:$N$16)</f>
        <v>1585.3764705882354</v>
      </c>
      <c r="N133" s="8" cm="1">
        <f t="array" ref="N133">_xlfn.SWITCH(K133,200,0,LOOKUP(K133,embodied_original!$C$20:$D$20,embodied_original!$C$22:$D$22))</f>
        <v>1145.4545454545455</v>
      </c>
      <c r="O133" s="5" cm="1">
        <f t="array" ref="O133">_xlfn.XLOOKUP(B133&amp;"|"&amp;E133,
        Calculate_cap_emi!$L$14:$L$21&amp;"|"&amp;Calculate_cap_emi!$I$14:$I$21,
        Calculate_cap_emi!$AG$14:$AG$21, "Not found", 0)</f>
        <v>1253.4375</v>
      </c>
      <c r="P133" s="8">
        <f t="shared" si="8"/>
        <v>3984.2685160427809</v>
      </c>
    </row>
    <row r="134" spans="1:16" x14ac:dyDescent="0.3">
      <c r="A134" s="5"/>
      <c r="B134" s="5" t="str">
        <f t="shared" si="6"/>
        <v>Mass-Nom</v>
      </c>
      <c r="C134" s="5" t="s">
        <v>38</v>
      </c>
      <c r="D134" s="5" t="str">
        <f t="shared" si="5"/>
        <v>Nom</v>
      </c>
      <c r="E134" s="5" t="s">
        <v>11</v>
      </c>
      <c r="F134" s="5" t="s">
        <v>59</v>
      </c>
      <c r="G134" s="5" t="s">
        <v>59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_xlfn.SWITCH(K134,200,LOOKUP(J134,embodied_original!$C$14:$N$14,embodied_original!$C$16:$N$16) + _xlfn.XLOOKUP(B134&amp;"|"&amp;E134,
        Calculate_cap_emi!$L$14:$L$21&amp;"|"&amp;Calculate_cap_emi!$I$14:$I$21,
        Calculate_cap_emi!$AG$14:$AG$21, "Not found", 0), LOOKUP(K134,embodied_original!$C$20:$D$20,embodied_original!$C$22:$D$22) + LOOKUP(J134,embodied_original!$C$14:$N$14,embodied_original!$C$16:$N$16) + _xlfn.XLOOKUP(B134&amp;"|"&amp;E134,
        Calculate_cap_emi!$L$14:$L$21&amp;"|"&amp;Calculate_cap_emi!$I$14:$I$21,
        Calculate_cap_emi!$AG$14:$AG$21, "Not found", 0))</f>
        <v>4443.7979278074872</v>
      </c>
      <c r="M134" s="8">
        <f>LOOKUP(J134,embodied_original!$C$14:$N$14,embodied_original!$C$16:$N$16)</f>
        <v>2044.9058823529413</v>
      </c>
      <c r="N134" s="8" cm="1">
        <f t="array" ref="N134">_xlfn.SWITCH(K134,200,0,LOOKUP(K134,embodied_original!$C$20:$D$20,embodied_original!$C$22:$D$22))</f>
        <v>1145.4545454545455</v>
      </c>
      <c r="O134" s="5" cm="1">
        <f t="array" ref="O134">_xlfn.XLOOKUP(B134&amp;"|"&amp;E134,
        Calculate_cap_emi!$L$14:$L$21&amp;"|"&amp;Calculate_cap_emi!$I$14:$I$21,
        Calculate_cap_emi!$AG$14:$AG$21, "Not found", 0)</f>
        <v>1253.4375</v>
      </c>
      <c r="P134" s="8">
        <f t="shared" si="8"/>
        <v>4443.7979278074872</v>
      </c>
    </row>
    <row r="135" spans="1:16" x14ac:dyDescent="0.3">
      <c r="A135" s="5"/>
      <c r="B135" s="5" t="str">
        <f t="shared" si="6"/>
        <v>Mass-Nom</v>
      </c>
      <c r="C135" s="5" t="s">
        <v>38</v>
      </c>
      <c r="D135" s="5" t="str">
        <f t="shared" si="5"/>
        <v>Nom</v>
      </c>
      <c r="E135" s="5" t="s">
        <v>11</v>
      </c>
      <c r="F135" s="5" t="s">
        <v>59</v>
      </c>
      <c r="G135" s="5" t="s">
        <v>59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_xlfn.SWITCH(K135,200,LOOKUP(J135,embodied_original!$C$14:$N$14,embodied_original!$C$16:$N$16) + _xlfn.XLOOKUP(B135&amp;"|"&amp;E135,
        Calculate_cap_emi!$L$14:$L$21&amp;"|"&amp;Calculate_cap_emi!$I$14:$I$21,
        Calculate_cap_emi!$AG$14:$AG$21, "Not found", 0), LOOKUP(K135,embodied_original!$C$20:$D$20,embodied_original!$C$22:$D$22) + LOOKUP(J135,embodied_original!$C$14:$N$14,embodied_original!$C$16:$N$16) + _xlfn.XLOOKUP(B135&amp;"|"&amp;E135,
        Calculate_cap_emi!$L$14:$L$21&amp;"|"&amp;Calculate_cap_emi!$I$14:$I$21,
        Calculate_cap_emi!$AG$14:$AG$21, "Not found", 0))</f>
        <v>4635.2685160427809</v>
      </c>
      <c r="M135" s="8">
        <f>LOOKUP(J135,embodied_original!$C$14:$N$14,embodied_original!$C$16:$N$16)</f>
        <v>2236.3764705882354</v>
      </c>
      <c r="N135" s="8" cm="1">
        <f t="array" ref="N135">_xlfn.SWITCH(K135,200,0,LOOKUP(K135,embodied_original!$C$20:$D$20,embodied_original!$C$22:$D$22))</f>
        <v>1145.4545454545455</v>
      </c>
      <c r="O135" s="5" cm="1">
        <f t="array" ref="O135">_xlfn.XLOOKUP(B135&amp;"|"&amp;E135,
        Calculate_cap_emi!$L$14:$L$21&amp;"|"&amp;Calculate_cap_emi!$I$14:$I$21,
        Calculate_cap_emi!$AG$14:$AG$21, "Not found", 0)</f>
        <v>1253.4375</v>
      </c>
      <c r="P135" s="8">
        <f t="shared" si="8"/>
        <v>4635.2685160427809</v>
      </c>
    </row>
    <row r="136" spans="1:16" x14ac:dyDescent="0.3">
      <c r="A136" s="5"/>
      <c r="B136" s="5" t="str">
        <f t="shared" si="6"/>
        <v>Mod-Nom</v>
      </c>
      <c r="C136" s="5" t="s">
        <v>39</v>
      </c>
      <c r="D136" s="5" t="str">
        <f t="shared" si="5"/>
        <v>Nom</v>
      </c>
      <c r="E136" s="5" t="s">
        <v>11</v>
      </c>
      <c r="F136" s="5" t="s">
        <v>56</v>
      </c>
      <c r="G136" s="5" t="s">
        <v>56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_xlfn.SWITCH(K136,200,LOOKUP(J136,embodied_original!$C$14:$N$14,embodied_original!$C$16:$N$16) + _xlfn.XLOOKUP(B136&amp;"|"&amp;E136,
        Calculate_cap_emi!$L$14:$L$21&amp;"|"&amp;Calculate_cap_emi!$I$14:$I$21,
        Calculate_cap_emi!$AG$14:$AG$21, "Not found", 0), LOOKUP(K136,embodied_original!$C$20:$D$20,embodied_original!$C$22:$D$22) + LOOKUP(J136,embodied_original!$C$14:$N$14,embodied_original!$C$16:$N$16) + _xlfn.XLOOKUP(B136&amp;"|"&amp;E136,
        Calculate_cap_emi!$L$14:$L$21&amp;"|"&amp;Calculate_cap_emi!$I$14:$I$21,
        Calculate_cap_emi!$AG$14:$AG$21, "Not found", 0))</f>
        <v>3357.2514705882354</v>
      </c>
      <c r="M136" s="8">
        <f>LOOKUP(J136,embodied_original!$C$14:$N$14,embodied_original!$C$16:$N$16)</f>
        <v>1585.3764705882354</v>
      </c>
      <c r="N136" s="8" cm="1">
        <f t="array" ref="N136">_xlfn.SWITCH(K136,200,0,LOOKUP(K136,embodied_original!$C$20:$D$20,embodied_original!$C$22:$D$22))</f>
        <v>0</v>
      </c>
      <c r="O136" s="5" cm="1">
        <f t="array" ref="O136">_xlfn.XLOOKUP(B136&amp;"|"&amp;E136,
        Calculate_cap_emi!$L$14:$L$21&amp;"|"&amp;Calculate_cap_emi!$I$14:$I$21,
        Calculate_cap_emi!$AG$14:$AG$21, "Not found", 0)</f>
        <v>1771.875</v>
      </c>
      <c r="P136" s="8">
        <f t="shared" si="8"/>
        <v>3357.2514705882354</v>
      </c>
    </row>
    <row r="137" spans="1:16" x14ac:dyDescent="0.3">
      <c r="A137" s="5"/>
      <c r="B137" s="5" t="str">
        <f t="shared" si="6"/>
        <v>Mod-Nom</v>
      </c>
      <c r="C137" s="5" t="s">
        <v>39</v>
      </c>
      <c r="D137" s="5" t="str">
        <f t="shared" si="5"/>
        <v>Nom</v>
      </c>
      <c r="E137" s="5" t="s">
        <v>11</v>
      </c>
      <c r="F137" s="5" t="s">
        <v>56</v>
      </c>
      <c r="G137" s="5" t="s">
        <v>56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_xlfn.SWITCH(K137,200,LOOKUP(J137,embodied_original!$C$14:$N$14,embodied_original!$C$16:$N$16) + _xlfn.XLOOKUP(B137&amp;"|"&amp;E137,
        Calculate_cap_emi!$L$14:$L$21&amp;"|"&amp;Calculate_cap_emi!$I$14:$I$21,
        Calculate_cap_emi!$AG$14:$AG$21, "Not found", 0), LOOKUP(K137,embodied_original!$C$20:$D$20,embodied_original!$C$22:$D$22) + LOOKUP(J137,embodied_original!$C$14:$N$14,embodied_original!$C$16:$N$16) + _xlfn.XLOOKUP(B137&amp;"|"&amp;E137,
        Calculate_cap_emi!$L$14:$L$21&amp;"|"&amp;Calculate_cap_emi!$I$14:$I$21,
        Calculate_cap_emi!$AG$14:$AG$21, "Not found", 0))</f>
        <v>3816.7808823529413</v>
      </c>
      <c r="M137" s="8">
        <f>LOOKUP(J137,embodied_original!$C$14:$N$14,embodied_original!$C$16:$N$16)</f>
        <v>2044.9058823529413</v>
      </c>
      <c r="N137" s="8" cm="1">
        <f t="array" ref="N137">_xlfn.SWITCH(K137,200,0,LOOKUP(K137,embodied_original!$C$20:$D$20,embodied_original!$C$22:$D$22))</f>
        <v>0</v>
      </c>
      <c r="O137" s="5" cm="1">
        <f t="array" ref="O137">_xlfn.XLOOKUP(B137&amp;"|"&amp;E137,
        Calculate_cap_emi!$L$14:$L$21&amp;"|"&amp;Calculate_cap_emi!$I$14:$I$21,
        Calculate_cap_emi!$AG$14:$AG$21, "Not found", 0)</f>
        <v>1771.875</v>
      </c>
      <c r="P137" s="8">
        <f t="shared" si="8"/>
        <v>3816.7808823529413</v>
      </c>
    </row>
    <row r="138" spans="1:16" x14ac:dyDescent="0.3">
      <c r="A138" s="5"/>
      <c r="B138" s="5" t="str">
        <f t="shared" si="6"/>
        <v>Mod-Nom</v>
      </c>
      <c r="C138" s="5" t="s">
        <v>39</v>
      </c>
      <c r="D138" s="5" t="str">
        <f t="shared" si="5"/>
        <v>Nom</v>
      </c>
      <c r="E138" s="5" t="s">
        <v>11</v>
      </c>
      <c r="F138" s="5" t="s">
        <v>56</v>
      </c>
      <c r="G138" s="5" t="s">
        <v>56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_xlfn.SWITCH(K138,200,LOOKUP(J138,embodied_original!$C$14:$N$14,embodied_original!$C$16:$N$16) + _xlfn.XLOOKUP(B138&amp;"|"&amp;E138,
        Calculate_cap_emi!$L$14:$L$21&amp;"|"&amp;Calculate_cap_emi!$I$14:$I$21,
        Calculate_cap_emi!$AG$14:$AG$21, "Not found", 0), LOOKUP(K138,embodied_original!$C$20:$D$20,embodied_original!$C$22:$D$22) + LOOKUP(J138,embodied_original!$C$14:$N$14,embodied_original!$C$16:$N$16) + _xlfn.XLOOKUP(B138&amp;"|"&amp;E138,
        Calculate_cap_emi!$L$14:$L$21&amp;"|"&amp;Calculate_cap_emi!$I$14:$I$21,
        Calculate_cap_emi!$AG$14:$AG$21, "Not found", 0))</f>
        <v>4008.2514705882354</v>
      </c>
      <c r="M138" s="8">
        <f>LOOKUP(J138,embodied_original!$C$14:$N$14,embodied_original!$C$16:$N$16)</f>
        <v>2236.3764705882354</v>
      </c>
      <c r="N138" s="8" cm="1">
        <f t="array" ref="N138">_xlfn.SWITCH(K138,200,0,LOOKUP(K138,embodied_original!$C$20:$D$20,embodied_original!$C$22:$D$22))</f>
        <v>0</v>
      </c>
      <c r="O138" s="5" cm="1">
        <f t="array" ref="O138">_xlfn.XLOOKUP(B138&amp;"|"&amp;E138,
        Calculate_cap_emi!$L$14:$L$21&amp;"|"&amp;Calculate_cap_emi!$I$14:$I$21,
        Calculate_cap_emi!$AG$14:$AG$21, "Not found", 0)</f>
        <v>1771.875</v>
      </c>
      <c r="P138" s="8">
        <f t="shared" si="8"/>
        <v>4008.2514705882354</v>
      </c>
    </row>
    <row r="139" spans="1:16" x14ac:dyDescent="0.3">
      <c r="A139" s="5"/>
      <c r="B139" s="5" t="str">
        <f t="shared" ref="B139" si="16">CONCATENATE(C139, "-", "Nom")</f>
        <v>Mod-Nom</v>
      </c>
      <c r="C139" s="5" t="s">
        <v>39</v>
      </c>
      <c r="D139" s="5" t="str">
        <f t="shared" ref="D139" si="17">_xlfn.TEXTAFTER(B139, "-", 1)</f>
        <v>Nom</v>
      </c>
      <c r="E139" s="5" t="s">
        <v>11</v>
      </c>
      <c r="F139" s="5" t="s">
        <v>57</v>
      </c>
      <c r="G139" s="5" t="s">
        <v>57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_xlfn.SWITCH(K139,200,LOOKUP(J139,embodied_original!$C$14:$N$14,embodied_original!$C$16:$N$16) + _xlfn.XLOOKUP(B139&amp;"|"&amp;E139,
        Calculate_cap_emi!$L$14:$L$21&amp;"|"&amp;Calculate_cap_emi!$I$14:$I$21,
        Calculate_cap_emi!$AG$14:$AG$21, "Not found", 0), LOOKUP(K139,embodied_original!$C$20:$D$20,embodied_original!$C$22:$D$22) + LOOKUP(J139,embodied_original!$C$14:$N$14,embodied_original!$C$16:$N$16) + _xlfn.XLOOKUP(B139&amp;"|"&amp;E139,
        Calculate_cap_emi!$L$14:$L$21&amp;"|"&amp;Calculate_cap_emi!$I$14:$I$21,
        Calculate_cap_emi!$AG$14:$AG$21, "Not found", 0))</f>
        <v>3786.7969251336899</v>
      </c>
      <c r="M139" s="8">
        <f>LOOKUP(J139,embodied_original!$C$14:$N$14,embodied_original!$C$16:$N$16)</f>
        <v>1585.3764705882354</v>
      </c>
      <c r="N139" s="8" cm="1">
        <f t="array" ref="N139">_xlfn.SWITCH(K139,200,0,LOOKUP(K139,embodied_original!$C$20:$D$20,embodied_original!$C$22:$D$22))</f>
        <v>429.54545454545456</v>
      </c>
      <c r="O139" s="5" cm="1">
        <f t="array" ref="O139">_xlfn.XLOOKUP(B139&amp;"|"&amp;E139,
        Calculate_cap_emi!$L$14:$L$21&amp;"|"&amp;Calculate_cap_emi!$I$14:$I$21,
        Calculate_cap_emi!$AG$14:$AG$21, "Not found", 0)</f>
        <v>1771.875</v>
      </c>
      <c r="P139" s="8">
        <f t="shared" si="8"/>
        <v>3786.7969251336899</v>
      </c>
    </row>
    <row r="140" spans="1:16" x14ac:dyDescent="0.3">
      <c r="A140" s="5"/>
      <c r="B140" s="5" t="str">
        <f t="shared" si="6"/>
        <v>Mod-Nom</v>
      </c>
      <c r="C140" s="5" t="s">
        <v>39</v>
      </c>
      <c r="D140" s="5" t="str">
        <f t="shared" si="5"/>
        <v>Nom</v>
      </c>
      <c r="E140" s="5" t="s">
        <v>11</v>
      </c>
      <c r="F140" s="5" t="s">
        <v>57</v>
      </c>
      <c r="G140" s="5" t="s">
        <v>57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_xlfn.SWITCH(K140,200,LOOKUP(J140,embodied_original!$C$14:$N$14,embodied_original!$C$16:$N$16) + _xlfn.XLOOKUP(B140&amp;"|"&amp;E140,
        Calculate_cap_emi!$L$14:$L$21&amp;"|"&amp;Calculate_cap_emi!$I$14:$I$21,
        Calculate_cap_emi!$AG$14:$AG$21, "Not found", 0), LOOKUP(K140,embodied_original!$C$20:$D$20,embodied_original!$C$22:$D$22) + LOOKUP(J140,embodied_original!$C$14:$N$14,embodied_original!$C$16:$N$16) + _xlfn.XLOOKUP(B140&amp;"|"&amp;E140,
        Calculate_cap_emi!$L$14:$L$21&amp;"|"&amp;Calculate_cap_emi!$I$14:$I$21,
        Calculate_cap_emi!$AG$14:$AG$21, "Not found", 0))</f>
        <v>3786.7969251336899</v>
      </c>
      <c r="M140" s="8">
        <f>LOOKUP(J140,embodied_original!$C$14:$N$14,embodied_original!$C$16:$N$16)</f>
        <v>1585.3764705882354</v>
      </c>
      <c r="N140" s="8" cm="1">
        <f t="array" ref="N140">_xlfn.SWITCH(K140,200,0,LOOKUP(K140,embodied_original!$C$20:$D$20,embodied_original!$C$22:$D$22))</f>
        <v>429.54545454545456</v>
      </c>
      <c r="O140" s="5" cm="1">
        <f t="array" ref="O140">_xlfn.XLOOKUP(B140&amp;"|"&amp;E140,
        Calculate_cap_emi!$L$14:$L$21&amp;"|"&amp;Calculate_cap_emi!$I$14:$I$21,
        Calculate_cap_emi!$AG$14:$AG$21, "Not found", 0)</f>
        <v>1771.875</v>
      </c>
      <c r="P140" s="8">
        <f t="shared" si="8"/>
        <v>3786.7969251336899</v>
      </c>
    </row>
    <row r="141" spans="1:16" x14ac:dyDescent="0.3">
      <c r="A141" s="5"/>
      <c r="B141" s="5" t="str">
        <f t="shared" si="6"/>
        <v>Mod-Nom</v>
      </c>
      <c r="C141" s="5" t="s">
        <v>39</v>
      </c>
      <c r="D141" s="5" t="str">
        <f t="shared" si="5"/>
        <v>Nom</v>
      </c>
      <c r="E141" s="5" t="s">
        <v>11</v>
      </c>
      <c r="F141" s="5" t="s">
        <v>57</v>
      </c>
      <c r="G141" s="5" t="s">
        <v>57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_xlfn.SWITCH(K141,200,LOOKUP(J141,embodied_original!$C$14:$N$14,embodied_original!$C$16:$N$16) + _xlfn.XLOOKUP(B141&amp;"|"&amp;E141,
        Calculate_cap_emi!$L$14:$L$21&amp;"|"&amp;Calculate_cap_emi!$I$14:$I$21,
        Calculate_cap_emi!$AG$14:$AG$21, "Not found", 0), LOOKUP(K141,embodied_original!$C$20:$D$20,embodied_original!$C$22:$D$22) + LOOKUP(J141,embodied_original!$C$14:$N$14,embodied_original!$C$16:$N$16) + _xlfn.XLOOKUP(B141&amp;"|"&amp;E141,
        Calculate_cap_emi!$L$14:$L$21&amp;"|"&amp;Calculate_cap_emi!$I$14:$I$21,
        Calculate_cap_emi!$AG$14:$AG$21, "Not found", 0))</f>
        <v>3786.7969251336899</v>
      </c>
      <c r="M141" s="8">
        <f>LOOKUP(J141,embodied_original!$C$14:$N$14,embodied_original!$C$16:$N$16)</f>
        <v>1585.3764705882354</v>
      </c>
      <c r="N141" s="8" cm="1">
        <f t="array" ref="N141">_xlfn.SWITCH(K141,200,0,LOOKUP(K141,embodied_original!$C$20:$D$20,embodied_original!$C$22:$D$22))</f>
        <v>429.54545454545456</v>
      </c>
      <c r="O141" s="5" cm="1">
        <f t="array" ref="O141">_xlfn.XLOOKUP(B141&amp;"|"&amp;E141,
        Calculate_cap_emi!$L$14:$L$21&amp;"|"&amp;Calculate_cap_emi!$I$14:$I$21,
        Calculate_cap_emi!$AG$14:$AG$21, "Not found", 0)</f>
        <v>1771.875</v>
      </c>
      <c r="P141" s="8">
        <f t="shared" si="8"/>
        <v>3786.7969251336899</v>
      </c>
    </row>
    <row r="142" spans="1:16" x14ac:dyDescent="0.3">
      <c r="A142" s="5"/>
      <c r="B142" s="5" t="str">
        <f t="shared" si="6"/>
        <v>Mod-Nom</v>
      </c>
      <c r="C142" s="5" t="s">
        <v>39</v>
      </c>
      <c r="D142" s="5" t="str">
        <f t="shared" si="5"/>
        <v>Nom</v>
      </c>
      <c r="E142" s="5" t="s">
        <v>11</v>
      </c>
      <c r="F142" s="5" t="s">
        <v>57</v>
      </c>
      <c r="G142" s="5" t="s">
        <v>57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_xlfn.SWITCH(K142,200,LOOKUP(J142,embodied_original!$C$14:$N$14,embodied_original!$C$16:$N$16) + _xlfn.XLOOKUP(B142&amp;"|"&amp;E142,
        Calculate_cap_emi!$L$14:$L$21&amp;"|"&amp;Calculate_cap_emi!$I$14:$I$21,
        Calculate_cap_emi!$AG$14:$AG$21, "Not found", 0), LOOKUP(K142,embodied_original!$C$20:$D$20,embodied_original!$C$22:$D$22) + LOOKUP(J142,embodied_original!$C$14:$N$14,embodied_original!$C$16:$N$16) + _xlfn.XLOOKUP(B142&amp;"|"&amp;E142,
        Calculate_cap_emi!$L$14:$L$21&amp;"|"&amp;Calculate_cap_emi!$I$14:$I$21,
        Calculate_cap_emi!$AG$14:$AG$21, "Not found", 0))</f>
        <v>4437.7969251336899</v>
      </c>
      <c r="M142" s="8">
        <f>LOOKUP(J142,embodied_original!$C$14:$N$14,embodied_original!$C$16:$N$16)</f>
        <v>2236.3764705882354</v>
      </c>
      <c r="N142" s="8" cm="1">
        <f t="array" ref="N142">_xlfn.SWITCH(K142,200,0,LOOKUP(K142,embodied_original!$C$20:$D$20,embodied_original!$C$22:$D$22))</f>
        <v>429.54545454545456</v>
      </c>
      <c r="O142" s="5" cm="1">
        <f t="array" ref="O142">_xlfn.XLOOKUP(B142&amp;"|"&amp;E142,
        Calculate_cap_emi!$L$14:$L$21&amp;"|"&amp;Calculate_cap_emi!$I$14:$I$21,
        Calculate_cap_emi!$AG$14:$AG$21, "Not found", 0)</f>
        <v>1771.875</v>
      </c>
      <c r="P142" s="8">
        <f t="shared" si="8"/>
        <v>4437.7969251336899</v>
      </c>
    </row>
    <row r="143" spans="1:16" x14ac:dyDescent="0.3">
      <c r="A143" s="5"/>
      <c r="B143" s="5" t="str">
        <f t="shared" ref="B143" si="18">CONCATENATE(C143, "-", "Nom")</f>
        <v>Mod-Nom</v>
      </c>
      <c r="C143" s="5" t="s">
        <v>39</v>
      </c>
      <c r="D143" s="5" t="str">
        <f t="shared" ref="D143" si="19">_xlfn.TEXTAFTER(B143, "-", 1)</f>
        <v>Nom</v>
      </c>
      <c r="E143" s="5" t="s">
        <v>11</v>
      </c>
      <c r="F143" s="5" t="s">
        <v>59</v>
      </c>
      <c r="G143" s="5" t="s">
        <v>59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_xlfn.SWITCH(K143,200,LOOKUP(J143,embodied_original!$C$14:$N$14,embodied_original!$C$16:$N$16) + _xlfn.XLOOKUP(B143&amp;"|"&amp;E143,
        Calculate_cap_emi!$L$14:$L$21&amp;"|"&amp;Calculate_cap_emi!$I$14:$I$21,
        Calculate_cap_emi!$AG$14:$AG$21, "Not found", 0), LOOKUP(K143,embodied_original!$C$20:$D$20,embodied_original!$C$22:$D$22) + LOOKUP(J143,embodied_original!$C$14:$N$14,embodied_original!$C$16:$N$16) + _xlfn.XLOOKUP(B143&amp;"|"&amp;E143,
        Calculate_cap_emi!$L$14:$L$21&amp;"|"&amp;Calculate_cap_emi!$I$14:$I$21,
        Calculate_cap_emi!$AG$14:$AG$21, "Not found", 0))</f>
        <v>4502.7060160427809</v>
      </c>
      <c r="M143" s="8">
        <f>LOOKUP(J143,embodied_original!$C$14:$N$14,embodied_original!$C$16:$N$16)</f>
        <v>1585.3764705882354</v>
      </c>
      <c r="N143" s="8" cm="1">
        <f t="array" ref="N143">_xlfn.SWITCH(K143,200,0,LOOKUP(K143,embodied_original!$C$20:$D$20,embodied_original!$C$22:$D$22))</f>
        <v>1145.4545454545455</v>
      </c>
      <c r="O143" s="5" cm="1">
        <f t="array" ref="O143">_xlfn.XLOOKUP(B143&amp;"|"&amp;E143,
        Calculate_cap_emi!$L$14:$L$21&amp;"|"&amp;Calculate_cap_emi!$I$14:$I$21,
        Calculate_cap_emi!$AG$14:$AG$21, "Not found", 0)</f>
        <v>1771.875</v>
      </c>
      <c r="P143" s="8">
        <f t="shared" si="8"/>
        <v>4502.7060160427809</v>
      </c>
    </row>
    <row r="144" spans="1:16" x14ac:dyDescent="0.3">
      <c r="A144" s="5"/>
      <c r="B144" s="5" t="str">
        <f t="shared" si="6"/>
        <v>Mod-Nom</v>
      </c>
      <c r="C144" s="5" t="s">
        <v>39</v>
      </c>
      <c r="D144" s="5" t="str">
        <f t="shared" si="5"/>
        <v>Nom</v>
      </c>
      <c r="E144" s="5" t="s">
        <v>11</v>
      </c>
      <c r="F144" s="5" t="s">
        <v>59</v>
      </c>
      <c r="G144" s="5" t="s">
        <v>59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_xlfn.SWITCH(K144,200,LOOKUP(J144,embodied_original!$C$14:$N$14,embodied_original!$C$16:$N$16) + _xlfn.XLOOKUP(B144&amp;"|"&amp;E144,
        Calculate_cap_emi!$L$14:$L$21&amp;"|"&amp;Calculate_cap_emi!$I$14:$I$21,
        Calculate_cap_emi!$AG$14:$AG$21, "Not found", 0), LOOKUP(K144,embodied_original!$C$20:$D$20,embodied_original!$C$22:$D$22) + LOOKUP(J144,embodied_original!$C$14:$N$14,embodied_original!$C$16:$N$16) + _xlfn.XLOOKUP(B144&amp;"|"&amp;E144,
        Calculate_cap_emi!$L$14:$L$21&amp;"|"&amp;Calculate_cap_emi!$I$14:$I$21,
        Calculate_cap_emi!$AG$14:$AG$21, "Not found", 0))</f>
        <v>4502.7060160427809</v>
      </c>
      <c r="M144" s="8">
        <f>LOOKUP(J144,embodied_original!$C$14:$N$14,embodied_original!$C$16:$N$16)</f>
        <v>1585.3764705882354</v>
      </c>
      <c r="N144" s="8" cm="1">
        <f t="array" ref="N144">_xlfn.SWITCH(K144,200,0,LOOKUP(K144,embodied_original!$C$20:$D$20,embodied_original!$C$22:$D$22))</f>
        <v>1145.4545454545455</v>
      </c>
      <c r="O144" s="5" cm="1">
        <f t="array" ref="O144">_xlfn.XLOOKUP(B144&amp;"|"&amp;E144,
        Calculate_cap_emi!$L$14:$L$21&amp;"|"&amp;Calculate_cap_emi!$I$14:$I$21,
        Calculate_cap_emi!$AG$14:$AG$21, "Not found", 0)</f>
        <v>1771.875</v>
      </c>
      <c r="P144" s="8">
        <f t="shared" si="8"/>
        <v>4502.7060160427809</v>
      </c>
    </row>
    <row r="145" spans="1:16" x14ac:dyDescent="0.3">
      <c r="A145" s="5"/>
      <c r="B145" s="5" t="str">
        <f t="shared" si="6"/>
        <v>Mod-Nom</v>
      </c>
      <c r="C145" s="5" t="s">
        <v>39</v>
      </c>
      <c r="D145" s="5" t="str">
        <f t="shared" ref="D145:D195" si="20">_xlfn.TEXTAFTER(B145, "-", 1)</f>
        <v>Nom</v>
      </c>
      <c r="E145" s="5" t="s">
        <v>11</v>
      </c>
      <c r="F145" s="5" t="s">
        <v>59</v>
      </c>
      <c r="G145" s="5" t="s">
        <v>59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_xlfn.SWITCH(K145,200,LOOKUP(J145,embodied_original!$C$14:$N$14,embodied_original!$C$16:$N$16) + _xlfn.XLOOKUP(B145&amp;"|"&amp;E145,
        Calculate_cap_emi!$L$14:$L$21&amp;"|"&amp;Calculate_cap_emi!$I$14:$I$21,
        Calculate_cap_emi!$AG$14:$AG$21, "Not found", 0), LOOKUP(K145,embodied_original!$C$20:$D$20,embodied_original!$C$22:$D$22) + LOOKUP(J145,embodied_original!$C$14:$N$14,embodied_original!$C$16:$N$16) + _xlfn.XLOOKUP(B145&amp;"|"&amp;E145,
        Calculate_cap_emi!$L$14:$L$21&amp;"|"&amp;Calculate_cap_emi!$I$14:$I$21,
        Calculate_cap_emi!$AG$14:$AG$21, "Not found", 0))</f>
        <v>4502.7060160427809</v>
      </c>
      <c r="M145" s="8">
        <f>LOOKUP(J145,embodied_original!$C$14:$N$14,embodied_original!$C$16:$N$16)</f>
        <v>1585.3764705882354</v>
      </c>
      <c r="N145" s="8" cm="1">
        <f t="array" ref="N145">_xlfn.SWITCH(K145,200,0,LOOKUP(K145,embodied_original!$C$20:$D$20,embodied_original!$C$22:$D$22))</f>
        <v>1145.4545454545455</v>
      </c>
      <c r="O145" s="5" cm="1">
        <f t="array" ref="O145">_xlfn.XLOOKUP(B145&amp;"|"&amp;E145,
        Calculate_cap_emi!$L$14:$L$21&amp;"|"&amp;Calculate_cap_emi!$I$14:$I$21,
        Calculate_cap_emi!$AG$14:$AG$21, "Not found", 0)</f>
        <v>1771.875</v>
      </c>
      <c r="P145" s="8">
        <f t="shared" si="8"/>
        <v>4502.7060160427809</v>
      </c>
    </row>
    <row r="146" spans="1:16" x14ac:dyDescent="0.3">
      <c r="A146" s="5"/>
      <c r="B146" s="5" t="str">
        <f t="shared" si="6"/>
        <v>Mod-Nom</v>
      </c>
      <c r="C146" s="5" t="s">
        <v>39</v>
      </c>
      <c r="D146" s="5" t="str">
        <f t="shared" si="20"/>
        <v>Nom</v>
      </c>
      <c r="E146" s="5" t="s">
        <v>11</v>
      </c>
      <c r="F146" s="5" t="s">
        <v>59</v>
      </c>
      <c r="G146" s="5" t="s">
        <v>59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_xlfn.SWITCH(K146,200,LOOKUP(J146,embodied_original!$C$14:$N$14,embodied_original!$C$16:$N$16) + _xlfn.XLOOKUP(B146&amp;"|"&amp;E146,
        Calculate_cap_emi!$L$14:$L$21&amp;"|"&amp;Calculate_cap_emi!$I$14:$I$21,
        Calculate_cap_emi!$AG$14:$AG$21, "Not found", 0), LOOKUP(K146,embodied_original!$C$20:$D$20,embodied_original!$C$22:$D$22) + LOOKUP(J146,embodied_original!$C$14:$N$14,embodied_original!$C$16:$N$16) + _xlfn.XLOOKUP(B146&amp;"|"&amp;E146,
        Calculate_cap_emi!$L$14:$L$21&amp;"|"&amp;Calculate_cap_emi!$I$14:$I$21,
        Calculate_cap_emi!$AG$14:$AG$21, "Not found", 0))</f>
        <v>4962.2354278074872</v>
      </c>
      <c r="M146" s="8">
        <f>LOOKUP(J146,embodied_original!$C$14:$N$14,embodied_original!$C$16:$N$16)</f>
        <v>2044.9058823529413</v>
      </c>
      <c r="N146" s="8" cm="1">
        <f t="array" ref="N146">_xlfn.SWITCH(K146,200,0,LOOKUP(K146,embodied_original!$C$20:$D$20,embodied_original!$C$22:$D$22))</f>
        <v>1145.4545454545455</v>
      </c>
      <c r="O146" s="5" cm="1">
        <f t="array" ref="O146">_xlfn.XLOOKUP(B146&amp;"|"&amp;E146,
        Calculate_cap_emi!$L$14:$L$21&amp;"|"&amp;Calculate_cap_emi!$I$14:$I$21,
        Calculate_cap_emi!$AG$14:$AG$21, "Not found", 0)</f>
        <v>1771.875</v>
      </c>
      <c r="P146" s="8">
        <f t="shared" si="8"/>
        <v>4962.2354278074872</v>
      </c>
    </row>
    <row r="147" spans="1:16" x14ac:dyDescent="0.3">
      <c r="A147" s="5"/>
      <c r="B147" s="5" t="str">
        <f t="shared" si="6"/>
        <v>Mod-Nom</v>
      </c>
      <c r="C147" s="5" t="s">
        <v>39</v>
      </c>
      <c r="D147" s="5" t="str">
        <f t="shared" si="20"/>
        <v>Nom</v>
      </c>
      <c r="E147" s="5" t="s">
        <v>11</v>
      </c>
      <c r="F147" s="5" t="s">
        <v>59</v>
      </c>
      <c r="G147" s="5" t="s">
        <v>59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_xlfn.SWITCH(K147,200,LOOKUP(J147,embodied_original!$C$14:$N$14,embodied_original!$C$16:$N$16) + _xlfn.XLOOKUP(B147&amp;"|"&amp;E147,
        Calculate_cap_emi!$L$14:$L$21&amp;"|"&amp;Calculate_cap_emi!$I$14:$I$21,
        Calculate_cap_emi!$AG$14:$AG$21, "Not found", 0), LOOKUP(K147,embodied_original!$C$20:$D$20,embodied_original!$C$22:$D$22) + LOOKUP(J147,embodied_original!$C$14:$N$14,embodied_original!$C$16:$N$16) + _xlfn.XLOOKUP(B147&amp;"|"&amp;E147,
        Calculate_cap_emi!$L$14:$L$21&amp;"|"&amp;Calculate_cap_emi!$I$14:$I$21,
        Calculate_cap_emi!$AG$14:$AG$21, "Not found", 0))</f>
        <v>5153.7060160427809</v>
      </c>
      <c r="M147" s="8">
        <f>LOOKUP(J147,embodied_original!$C$14:$N$14,embodied_original!$C$16:$N$16)</f>
        <v>2236.3764705882354</v>
      </c>
      <c r="N147" s="8" cm="1">
        <f t="array" ref="N147">_xlfn.SWITCH(K147,200,0,LOOKUP(K147,embodied_original!$C$20:$D$20,embodied_original!$C$22:$D$22))</f>
        <v>1145.4545454545455</v>
      </c>
      <c r="O147" s="5" cm="1">
        <f t="array" ref="O147">_xlfn.XLOOKUP(B147&amp;"|"&amp;E147,
        Calculate_cap_emi!$L$14:$L$21&amp;"|"&amp;Calculate_cap_emi!$I$14:$I$21,
        Calculate_cap_emi!$AG$14:$AG$21, "Not found", 0)</f>
        <v>1771.875</v>
      </c>
      <c r="P147" s="8">
        <f t="shared" si="8"/>
        <v>5153.7060160427809</v>
      </c>
    </row>
    <row r="148" spans="1:16" x14ac:dyDescent="0.3">
      <c r="A148" s="5"/>
      <c r="B148" s="5" t="str">
        <f>CONCATENATE(C148, "-", "H1")</f>
        <v>Mass-H1</v>
      </c>
      <c r="C148" s="5" t="s">
        <v>38</v>
      </c>
      <c r="D148" s="5" t="str">
        <f t="shared" si="20"/>
        <v>H1</v>
      </c>
      <c r="E148" s="5" t="s">
        <v>3</v>
      </c>
      <c r="F148" s="5" t="s">
        <v>56</v>
      </c>
      <c r="G148" s="5" t="s">
        <v>56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_xlfn.SWITCH(K148,200,LOOKUP(J148,embodied_original!$C$14:$N$14,embodied_original!$C$16:$N$16) + _xlfn.XLOOKUP(B148&amp;"|"&amp;E148,
        Calculate_cap_emi!$L$14:$L$21&amp;"|"&amp;Calculate_cap_emi!$I$14:$I$21,
        Calculate_cap_emi!$AG$14:$AG$21, "Not found", 0), LOOKUP(K148,embodied_original!$C$20:$D$20,embodied_original!$C$22:$D$22) + LOOKUP(J148,embodied_original!$C$14:$N$14,embodied_original!$C$16:$N$16) + _xlfn.XLOOKUP(B148&amp;"|"&amp;E148,
        Calculate_cap_emi!$L$14:$L$21&amp;"|"&amp;Calculate_cap_emi!$I$14:$I$21,
        Calculate_cap_emi!$AG$14:$AG$21, "Not found", 0))</f>
        <v>2622.2514705882354</v>
      </c>
      <c r="M148" s="8">
        <f>LOOKUP(J148,embodied_original!$C$14:$N$14,embodied_original!$C$16:$N$16)</f>
        <v>1585.3764705882354</v>
      </c>
      <c r="N148" s="8" cm="1">
        <f t="array" ref="N148">_xlfn.SWITCH(K148,200,0,LOOKUP(K148,embodied_original!$C$20:$D$20,embodied_original!$C$22:$D$22))</f>
        <v>0</v>
      </c>
      <c r="O148" s="5" cm="1">
        <f t="array" ref="O148">_xlfn.XLOOKUP(B148&amp;"|"&amp;E148,
        Calculate_cap_emi!$L$14:$L$21&amp;"|"&amp;Calculate_cap_emi!$I$14:$I$21,
        Calculate_cap_emi!$AG$14:$AG$21, "Not found", 0)</f>
        <v>1036.875</v>
      </c>
      <c r="P148" s="8">
        <f>SUM(M148:O148)</f>
        <v>2622.2514705882354</v>
      </c>
    </row>
    <row r="149" spans="1:16" x14ac:dyDescent="0.3">
      <c r="A149" s="5"/>
      <c r="B149" s="5" t="str">
        <f t="shared" ref="B149:B186" si="21">CONCATENATE(C149, "-", "H1")</f>
        <v>Mass-H1</v>
      </c>
      <c r="C149" s="5" t="s">
        <v>38</v>
      </c>
      <c r="D149" s="5" t="str">
        <f t="shared" si="20"/>
        <v>H1</v>
      </c>
      <c r="E149" s="5" t="s">
        <v>3</v>
      </c>
      <c r="F149" s="5" t="s">
        <v>56</v>
      </c>
      <c r="G149" s="5" t="s">
        <v>56</v>
      </c>
      <c r="H149" s="5">
        <v>11.2</v>
      </c>
      <c r="I149" s="5"/>
      <c r="J149" s="5">
        <f t="shared" ref="J149:J195" si="22">_xlfn.CEILING.MATH(H149,1)</f>
        <v>12</v>
      </c>
      <c r="K149" s="5">
        <v>200</v>
      </c>
      <c r="L149" s="8" cm="1">
        <f t="array" ref="L149">_xlfn.SWITCH(K149,200,LOOKUP(J149,embodied_original!$C$14:$N$14,embodied_original!$C$16:$N$16) + _xlfn.XLOOKUP(B149&amp;"|"&amp;E149,
        Calculate_cap_emi!$L$14:$L$21&amp;"|"&amp;Calculate_cap_emi!$I$14:$I$21,
        Calculate_cap_emi!$AG$14:$AG$21, "Not found", 0), LOOKUP(K149,embodied_original!$C$20:$D$20,embodied_original!$C$22:$D$22) + LOOKUP(J149,embodied_original!$C$14:$N$14,embodied_original!$C$16:$N$16) + _xlfn.XLOOKUP(B149&amp;"|"&amp;E149,
        Calculate_cap_emi!$L$14:$L$21&amp;"|"&amp;Calculate_cap_emi!$I$14:$I$21,
        Calculate_cap_emi!$AG$14:$AG$21, "Not found", 0))</f>
        <v>3081.7808823529413</v>
      </c>
      <c r="M149" s="8">
        <f>LOOKUP(J149,embodied_original!$C$14:$N$14,embodied_original!$C$16:$N$16)</f>
        <v>2044.9058823529413</v>
      </c>
      <c r="N149" s="8" cm="1">
        <f t="array" ref="N149">_xlfn.SWITCH(K149,200,0,LOOKUP(K149,embodied_original!$C$20:$D$20,embodied_original!$C$22:$D$22))</f>
        <v>0</v>
      </c>
      <c r="O149" s="5" cm="1">
        <f t="array" ref="O149">_xlfn.XLOOKUP(B149&amp;"|"&amp;E149,
        Calculate_cap_emi!$L$14:$L$21&amp;"|"&amp;Calculate_cap_emi!$I$14:$I$21,
        Calculate_cap_emi!$AG$14:$AG$21, "Not found", 0)</f>
        <v>1036.875</v>
      </c>
      <c r="P149" s="8">
        <f t="shared" ref="P149:P195" si="23">SUM(M149:O149)</f>
        <v>3081.7808823529413</v>
      </c>
    </row>
    <row r="150" spans="1:16" x14ac:dyDescent="0.3">
      <c r="A150" s="5"/>
      <c r="B150" s="5" t="str">
        <f t="shared" si="21"/>
        <v>Mass-H1</v>
      </c>
      <c r="C150" s="5" t="s">
        <v>38</v>
      </c>
      <c r="D150" s="5" t="str">
        <f t="shared" si="20"/>
        <v>H1</v>
      </c>
      <c r="E150" s="5" t="s">
        <v>3</v>
      </c>
      <c r="F150" s="5" t="s">
        <v>56</v>
      </c>
      <c r="G150" s="5" t="s">
        <v>56</v>
      </c>
      <c r="H150" s="5">
        <v>14</v>
      </c>
      <c r="I150" s="5"/>
      <c r="J150" s="5">
        <f t="shared" si="22"/>
        <v>14</v>
      </c>
      <c r="K150" s="5">
        <v>200</v>
      </c>
      <c r="L150" s="8" cm="1">
        <f t="array" ref="L150">_xlfn.SWITCH(K150,200,LOOKUP(J150,embodied_original!$C$14:$N$14,embodied_original!$C$16:$N$16) + _xlfn.XLOOKUP(B150&amp;"|"&amp;E150,
        Calculate_cap_emi!$L$14:$L$21&amp;"|"&amp;Calculate_cap_emi!$I$14:$I$21,
        Calculate_cap_emi!$AG$14:$AG$21, "Not found", 0), LOOKUP(K150,embodied_original!$C$20:$D$20,embodied_original!$C$22:$D$22) + LOOKUP(J150,embodied_original!$C$14:$N$14,embodied_original!$C$16:$N$16) + _xlfn.XLOOKUP(B150&amp;"|"&amp;E150,
        Calculate_cap_emi!$L$14:$L$21&amp;"|"&amp;Calculate_cap_emi!$I$14:$I$21,
        Calculate_cap_emi!$AG$14:$AG$21, "Not found", 0))</f>
        <v>3273.2514705882354</v>
      </c>
      <c r="M150" s="8">
        <f>LOOKUP(J150,embodied_original!$C$14:$N$14,embodied_original!$C$16:$N$16)</f>
        <v>2236.3764705882354</v>
      </c>
      <c r="N150" s="8" cm="1">
        <f t="array" ref="N150">_xlfn.SWITCH(K150,200,0,LOOKUP(K150,embodied_original!$C$20:$D$20,embodied_original!$C$22:$D$22))</f>
        <v>0</v>
      </c>
      <c r="O150" s="5" cm="1">
        <f t="array" ref="O150">_xlfn.XLOOKUP(B150&amp;"|"&amp;E150,
        Calculate_cap_emi!$L$14:$L$21&amp;"|"&amp;Calculate_cap_emi!$I$14:$I$21,
        Calculate_cap_emi!$AG$14:$AG$21, "Not found", 0)</f>
        <v>1036.875</v>
      </c>
      <c r="P150" s="8">
        <f t="shared" si="23"/>
        <v>3273.2514705882354</v>
      </c>
    </row>
    <row r="151" spans="1:16" x14ac:dyDescent="0.3">
      <c r="A151" s="5"/>
      <c r="B151" s="5" t="str">
        <f t="shared" si="21"/>
        <v>Mass-H1</v>
      </c>
      <c r="C151" s="5" t="s">
        <v>38</v>
      </c>
      <c r="D151" s="5" t="str">
        <f t="shared" si="20"/>
        <v>H1</v>
      </c>
      <c r="E151" s="5" t="s">
        <v>3</v>
      </c>
      <c r="F151" s="5" t="s">
        <v>57</v>
      </c>
      <c r="G151" s="5" t="s">
        <v>57</v>
      </c>
      <c r="H151" s="5">
        <v>5</v>
      </c>
      <c r="I151" s="5"/>
      <c r="J151" s="5">
        <f t="shared" si="22"/>
        <v>5</v>
      </c>
      <c r="K151" s="5">
        <v>500</v>
      </c>
      <c r="L151" s="8" cm="1">
        <f t="array" ref="L151">_xlfn.SWITCH(K151,200,LOOKUP(J151,embodied_original!$C$14:$N$14,embodied_original!$C$16:$N$16) + _xlfn.XLOOKUP(B151&amp;"|"&amp;E151,
        Calculate_cap_emi!$L$14:$L$21&amp;"|"&amp;Calculate_cap_emi!$I$14:$I$21,
        Calculate_cap_emi!$AG$14:$AG$21, "Not found", 0), LOOKUP(K151,embodied_original!$C$20:$D$20,embodied_original!$C$22:$D$22) + LOOKUP(J151,embodied_original!$C$14:$N$14,embodied_original!$C$16:$N$16) + _xlfn.XLOOKUP(B151&amp;"|"&amp;E151,
        Calculate_cap_emi!$L$14:$L$21&amp;"|"&amp;Calculate_cap_emi!$I$14:$I$21,
        Calculate_cap_emi!$AG$14:$AG$21, "Not found", 0))</f>
        <v>3051.7969251336899</v>
      </c>
      <c r="M151" s="8">
        <f>LOOKUP(J151,embodied_original!$C$14:$N$14,embodied_original!$C$16:$N$16)</f>
        <v>1585.3764705882354</v>
      </c>
      <c r="N151" s="8" cm="1">
        <f t="array" ref="N151">_xlfn.SWITCH(K151,200,0,LOOKUP(K151,embodied_original!$C$20:$D$20,embodied_original!$C$22:$D$22))</f>
        <v>429.54545454545456</v>
      </c>
      <c r="O151" s="5" cm="1">
        <f t="array" ref="O151">_xlfn.XLOOKUP(B151&amp;"|"&amp;E151,
        Calculate_cap_emi!$L$14:$L$21&amp;"|"&amp;Calculate_cap_emi!$I$14:$I$21,
        Calculate_cap_emi!$AG$14:$AG$21, "Not found", 0)</f>
        <v>1036.875</v>
      </c>
      <c r="P151" s="8">
        <f t="shared" si="23"/>
        <v>3051.7969251336899</v>
      </c>
    </row>
    <row r="152" spans="1:16" x14ac:dyDescent="0.3">
      <c r="A152" s="5"/>
      <c r="B152" s="5" t="str">
        <f t="shared" si="21"/>
        <v>Mass-H1</v>
      </c>
      <c r="C152" s="5" t="s">
        <v>38</v>
      </c>
      <c r="D152" s="5" t="str">
        <f t="shared" si="20"/>
        <v>H1</v>
      </c>
      <c r="E152" s="5" t="s">
        <v>3</v>
      </c>
      <c r="F152" s="5" t="s">
        <v>57</v>
      </c>
      <c r="G152" s="5" t="s">
        <v>57</v>
      </c>
      <c r="H152" s="5">
        <v>6</v>
      </c>
      <c r="I152" s="5"/>
      <c r="J152" s="5">
        <f t="shared" si="22"/>
        <v>6</v>
      </c>
      <c r="K152" s="5">
        <v>500</v>
      </c>
      <c r="L152" s="8" cm="1">
        <f t="array" ref="L152">_xlfn.SWITCH(K152,200,LOOKUP(J152,embodied_original!$C$14:$N$14,embodied_original!$C$16:$N$16) + _xlfn.XLOOKUP(B152&amp;"|"&amp;E152,
        Calculate_cap_emi!$L$14:$L$21&amp;"|"&amp;Calculate_cap_emi!$I$14:$I$21,
        Calculate_cap_emi!$AG$14:$AG$21, "Not found", 0), LOOKUP(K152,embodied_original!$C$20:$D$20,embodied_original!$C$22:$D$22) + LOOKUP(J152,embodied_original!$C$14:$N$14,embodied_original!$C$16:$N$16) + _xlfn.XLOOKUP(B152&amp;"|"&amp;E152,
        Calculate_cap_emi!$L$14:$L$21&amp;"|"&amp;Calculate_cap_emi!$I$14:$I$21,
        Calculate_cap_emi!$AG$14:$AG$21, "Not found", 0))</f>
        <v>3051.7969251336899</v>
      </c>
      <c r="M152" s="8">
        <f>LOOKUP(J152,embodied_original!$C$14:$N$14,embodied_original!$C$16:$N$16)</f>
        <v>1585.3764705882354</v>
      </c>
      <c r="N152" s="8" cm="1">
        <f t="array" ref="N152">_xlfn.SWITCH(K152,200,0,LOOKUP(K152,embodied_original!$C$20:$D$20,embodied_original!$C$22:$D$22))</f>
        <v>429.54545454545456</v>
      </c>
      <c r="O152" s="5" cm="1">
        <f t="array" ref="O152">_xlfn.XLOOKUP(B152&amp;"|"&amp;E152,
        Calculate_cap_emi!$L$14:$L$21&amp;"|"&amp;Calculate_cap_emi!$I$14:$I$21,
        Calculate_cap_emi!$AG$14:$AG$21, "Not found", 0)</f>
        <v>1036.875</v>
      </c>
      <c r="P152" s="8">
        <f t="shared" si="23"/>
        <v>3051.7969251336899</v>
      </c>
    </row>
    <row r="153" spans="1:16" x14ac:dyDescent="0.3">
      <c r="A153" s="5"/>
      <c r="B153" s="5" t="str">
        <f t="shared" si="21"/>
        <v>Mass-H1</v>
      </c>
      <c r="C153" s="5" t="s">
        <v>38</v>
      </c>
      <c r="D153" s="5" t="str">
        <f t="shared" si="20"/>
        <v>H1</v>
      </c>
      <c r="E153" s="5" t="s">
        <v>3</v>
      </c>
      <c r="F153" s="5" t="s">
        <v>57</v>
      </c>
      <c r="G153" s="5" t="s">
        <v>57</v>
      </c>
      <c r="H153" s="5">
        <v>8.5</v>
      </c>
      <c r="I153" s="5"/>
      <c r="J153" s="5">
        <f t="shared" si="22"/>
        <v>9</v>
      </c>
      <c r="K153" s="5">
        <v>500</v>
      </c>
      <c r="L153" s="8" cm="1">
        <f t="array" ref="L153">_xlfn.SWITCH(K153,200,LOOKUP(J153,embodied_original!$C$14:$N$14,embodied_original!$C$16:$N$16) + _xlfn.XLOOKUP(B153&amp;"|"&amp;E153,
        Calculate_cap_emi!$L$14:$L$21&amp;"|"&amp;Calculate_cap_emi!$I$14:$I$21,
        Calculate_cap_emi!$AG$14:$AG$21, "Not found", 0), LOOKUP(K153,embodied_original!$C$20:$D$20,embodied_original!$C$22:$D$22) + LOOKUP(J153,embodied_original!$C$14:$N$14,embodied_original!$C$16:$N$16) + _xlfn.XLOOKUP(B153&amp;"|"&amp;E153,
        Calculate_cap_emi!$L$14:$L$21&amp;"|"&amp;Calculate_cap_emi!$I$14:$I$21,
        Calculate_cap_emi!$AG$14:$AG$21, "Not found", 0))</f>
        <v>3051.7969251336899</v>
      </c>
      <c r="M153" s="8">
        <f>LOOKUP(J153,embodied_original!$C$14:$N$14,embodied_original!$C$16:$N$16)</f>
        <v>1585.3764705882354</v>
      </c>
      <c r="N153" s="8" cm="1">
        <f t="array" ref="N153">_xlfn.SWITCH(K153,200,0,LOOKUP(K153,embodied_original!$C$20:$D$20,embodied_original!$C$22:$D$22))</f>
        <v>429.54545454545456</v>
      </c>
      <c r="O153" s="5" cm="1">
        <f t="array" ref="O153">_xlfn.XLOOKUP(B153&amp;"|"&amp;E153,
        Calculate_cap_emi!$L$14:$L$21&amp;"|"&amp;Calculate_cap_emi!$I$14:$I$21,
        Calculate_cap_emi!$AG$14:$AG$21, "Not found", 0)</f>
        <v>1036.875</v>
      </c>
      <c r="P153" s="8">
        <f t="shared" si="23"/>
        <v>3051.7969251336899</v>
      </c>
    </row>
    <row r="154" spans="1:16" x14ac:dyDescent="0.3">
      <c r="A154" s="5"/>
      <c r="B154" s="5" t="str">
        <f t="shared" si="21"/>
        <v>Mass-H1</v>
      </c>
      <c r="C154" s="5" t="s">
        <v>38</v>
      </c>
      <c r="D154" s="5" t="str">
        <f t="shared" si="20"/>
        <v>H1</v>
      </c>
      <c r="E154" s="5" t="s">
        <v>3</v>
      </c>
      <c r="F154" s="5" t="s">
        <v>57</v>
      </c>
      <c r="G154" s="5" t="s">
        <v>57</v>
      </c>
      <c r="H154" s="5">
        <v>14</v>
      </c>
      <c r="I154" s="5"/>
      <c r="J154" s="5">
        <f t="shared" si="22"/>
        <v>14</v>
      </c>
      <c r="K154" s="5">
        <v>500</v>
      </c>
      <c r="L154" s="8" cm="1">
        <f t="array" ref="L154">_xlfn.SWITCH(K154,200,LOOKUP(J154,embodied_original!$C$14:$N$14,embodied_original!$C$16:$N$16) + _xlfn.XLOOKUP(B154&amp;"|"&amp;E154,
        Calculate_cap_emi!$L$14:$L$21&amp;"|"&amp;Calculate_cap_emi!$I$14:$I$21,
        Calculate_cap_emi!$AG$14:$AG$21, "Not found", 0), LOOKUP(K154,embodied_original!$C$20:$D$20,embodied_original!$C$22:$D$22) + LOOKUP(J154,embodied_original!$C$14:$N$14,embodied_original!$C$16:$N$16) + _xlfn.XLOOKUP(B154&amp;"|"&amp;E154,
        Calculate_cap_emi!$L$14:$L$21&amp;"|"&amp;Calculate_cap_emi!$I$14:$I$21,
        Calculate_cap_emi!$AG$14:$AG$21, "Not found", 0))</f>
        <v>3702.7969251336899</v>
      </c>
      <c r="M154" s="8">
        <f>LOOKUP(J154,embodied_original!$C$14:$N$14,embodied_original!$C$16:$N$16)</f>
        <v>2236.3764705882354</v>
      </c>
      <c r="N154" s="8" cm="1">
        <f t="array" ref="N154">_xlfn.SWITCH(K154,200,0,LOOKUP(K154,embodied_original!$C$20:$D$20,embodied_original!$C$22:$D$22))</f>
        <v>429.54545454545456</v>
      </c>
      <c r="O154" s="5" cm="1">
        <f t="array" ref="O154">_xlfn.XLOOKUP(B154&amp;"|"&amp;E154,
        Calculate_cap_emi!$L$14:$L$21&amp;"|"&amp;Calculate_cap_emi!$I$14:$I$21,
        Calculate_cap_emi!$AG$14:$AG$21, "Not found", 0)</f>
        <v>1036.875</v>
      </c>
      <c r="P154" s="8">
        <f t="shared" si="23"/>
        <v>3702.7969251336899</v>
      </c>
    </row>
    <row r="155" spans="1:16" x14ac:dyDescent="0.3">
      <c r="A155" s="5"/>
      <c r="B155" s="5" t="str">
        <f t="shared" si="21"/>
        <v>Mass-H1</v>
      </c>
      <c r="C155" s="5" t="s">
        <v>38</v>
      </c>
      <c r="D155" s="5" t="str">
        <f t="shared" si="20"/>
        <v>H1</v>
      </c>
      <c r="E155" s="5" t="s">
        <v>3</v>
      </c>
      <c r="F155" s="5" t="s">
        <v>59</v>
      </c>
      <c r="G155" s="5" t="s">
        <v>59</v>
      </c>
      <c r="H155" s="5">
        <v>5</v>
      </c>
      <c r="I155" s="5"/>
      <c r="J155" s="5">
        <f t="shared" si="22"/>
        <v>5</v>
      </c>
      <c r="K155" s="5">
        <v>1000</v>
      </c>
      <c r="L155" s="8" cm="1">
        <f t="array" ref="L155">_xlfn.SWITCH(K155,200,LOOKUP(J155,embodied_original!$C$14:$N$14,embodied_original!$C$16:$N$16) + _xlfn.XLOOKUP(B155&amp;"|"&amp;E155,
        Calculate_cap_emi!$L$14:$L$21&amp;"|"&amp;Calculate_cap_emi!$I$14:$I$21,
        Calculate_cap_emi!$AG$14:$AG$21, "Not found", 0), LOOKUP(K155,embodied_original!$C$20:$D$20,embodied_original!$C$22:$D$22) + LOOKUP(J155,embodied_original!$C$14:$N$14,embodied_original!$C$16:$N$16) + _xlfn.XLOOKUP(B155&amp;"|"&amp;E155,
        Calculate_cap_emi!$L$14:$L$21&amp;"|"&amp;Calculate_cap_emi!$I$14:$I$21,
        Calculate_cap_emi!$AG$14:$AG$21, "Not found", 0))</f>
        <v>3767.7060160427809</v>
      </c>
      <c r="M155" s="8">
        <f>LOOKUP(J155,embodied_original!$C$14:$N$14,embodied_original!$C$16:$N$16)</f>
        <v>1585.3764705882354</v>
      </c>
      <c r="N155" s="8" cm="1">
        <f t="array" ref="N155">_xlfn.SWITCH(K155,200,0,LOOKUP(K155,embodied_original!$C$20:$D$20,embodied_original!$C$22:$D$22))</f>
        <v>1145.4545454545455</v>
      </c>
      <c r="O155" s="5" cm="1">
        <f t="array" ref="O155">_xlfn.XLOOKUP(B155&amp;"|"&amp;E155,
        Calculate_cap_emi!$L$14:$L$21&amp;"|"&amp;Calculate_cap_emi!$I$14:$I$21,
        Calculate_cap_emi!$AG$14:$AG$21, "Not found", 0)</f>
        <v>1036.875</v>
      </c>
      <c r="P155" s="8">
        <f t="shared" si="23"/>
        <v>3767.7060160427809</v>
      </c>
    </row>
    <row r="156" spans="1:16" x14ac:dyDescent="0.3">
      <c r="A156" s="5"/>
      <c r="B156" s="5" t="str">
        <f t="shared" si="21"/>
        <v>Mass-H1</v>
      </c>
      <c r="C156" s="5" t="s">
        <v>38</v>
      </c>
      <c r="D156" s="5" t="str">
        <f t="shared" si="20"/>
        <v>H1</v>
      </c>
      <c r="E156" s="5" t="s">
        <v>3</v>
      </c>
      <c r="F156" s="5" t="s">
        <v>59</v>
      </c>
      <c r="G156" s="5" t="s">
        <v>59</v>
      </c>
      <c r="H156" s="5">
        <v>6</v>
      </c>
      <c r="I156" s="5"/>
      <c r="J156" s="5">
        <f t="shared" si="22"/>
        <v>6</v>
      </c>
      <c r="K156" s="5">
        <v>1000</v>
      </c>
      <c r="L156" s="8" cm="1">
        <f t="array" ref="L156">_xlfn.SWITCH(K156,200,LOOKUP(J156,embodied_original!$C$14:$N$14,embodied_original!$C$16:$N$16) + _xlfn.XLOOKUP(B156&amp;"|"&amp;E156,
        Calculate_cap_emi!$L$14:$L$21&amp;"|"&amp;Calculate_cap_emi!$I$14:$I$21,
        Calculate_cap_emi!$AG$14:$AG$21, "Not found", 0), LOOKUP(K156,embodied_original!$C$20:$D$20,embodied_original!$C$22:$D$22) + LOOKUP(J156,embodied_original!$C$14:$N$14,embodied_original!$C$16:$N$16) + _xlfn.XLOOKUP(B156&amp;"|"&amp;E156,
        Calculate_cap_emi!$L$14:$L$21&amp;"|"&amp;Calculate_cap_emi!$I$14:$I$21,
        Calculate_cap_emi!$AG$14:$AG$21, "Not found", 0))</f>
        <v>3767.7060160427809</v>
      </c>
      <c r="M156" s="8">
        <f>LOOKUP(J156,embodied_original!$C$14:$N$14,embodied_original!$C$16:$N$16)</f>
        <v>1585.3764705882354</v>
      </c>
      <c r="N156" s="8" cm="1">
        <f t="array" ref="N156">_xlfn.SWITCH(K156,200,0,LOOKUP(K156,embodied_original!$C$20:$D$20,embodied_original!$C$22:$D$22))</f>
        <v>1145.4545454545455</v>
      </c>
      <c r="O156" s="5" cm="1">
        <f t="array" ref="O156">_xlfn.XLOOKUP(B156&amp;"|"&amp;E156,
        Calculate_cap_emi!$L$14:$L$21&amp;"|"&amp;Calculate_cap_emi!$I$14:$I$21,
        Calculate_cap_emi!$AG$14:$AG$21, "Not found", 0)</f>
        <v>1036.875</v>
      </c>
      <c r="P156" s="8">
        <f t="shared" si="23"/>
        <v>3767.7060160427809</v>
      </c>
    </row>
    <row r="157" spans="1:16" x14ac:dyDescent="0.3">
      <c r="A157" s="5"/>
      <c r="B157" s="5" t="str">
        <f t="shared" si="21"/>
        <v>Mass-H1</v>
      </c>
      <c r="C157" s="5" t="s">
        <v>38</v>
      </c>
      <c r="D157" s="5" t="str">
        <f t="shared" si="20"/>
        <v>H1</v>
      </c>
      <c r="E157" s="5" t="s">
        <v>3</v>
      </c>
      <c r="F157" s="5" t="s">
        <v>59</v>
      </c>
      <c r="G157" s="5" t="s">
        <v>59</v>
      </c>
      <c r="H157" s="5">
        <v>8.5</v>
      </c>
      <c r="I157" s="5"/>
      <c r="J157" s="5">
        <f t="shared" si="22"/>
        <v>9</v>
      </c>
      <c r="K157" s="5">
        <v>1000</v>
      </c>
      <c r="L157" s="8" cm="1">
        <f t="array" ref="L157">_xlfn.SWITCH(K157,200,LOOKUP(J157,embodied_original!$C$14:$N$14,embodied_original!$C$16:$N$16) + _xlfn.XLOOKUP(B157&amp;"|"&amp;E157,
        Calculate_cap_emi!$L$14:$L$21&amp;"|"&amp;Calculate_cap_emi!$I$14:$I$21,
        Calculate_cap_emi!$AG$14:$AG$21, "Not found", 0), LOOKUP(K157,embodied_original!$C$20:$D$20,embodied_original!$C$22:$D$22) + LOOKUP(J157,embodied_original!$C$14:$N$14,embodied_original!$C$16:$N$16) + _xlfn.XLOOKUP(B157&amp;"|"&amp;E157,
        Calculate_cap_emi!$L$14:$L$21&amp;"|"&amp;Calculate_cap_emi!$I$14:$I$21,
        Calculate_cap_emi!$AG$14:$AG$21, "Not found", 0))</f>
        <v>3767.7060160427809</v>
      </c>
      <c r="M157" s="8">
        <f>LOOKUP(J157,embodied_original!$C$14:$N$14,embodied_original!$C$16:$N$16)</f>
        <v>1585.3764705882354</v>
      </c>
      <c r="N157" s="8" cm="1">
        <f t="array" ref="N157">_xlfn.SWITCH(K157,200,0,LOOKUP(K157,embodied_original!$C$20:$D$20,embodied_original!$C$22:$D$22))</f>
        <v>1145.4545454545455</v>
      </c>
      <c r="O157" s="5" cm="1">
        <f t="array" ref="O157">_xlfn.XLOOKUP(B157&amp;"|"&amp;E157,
        Calculate_cap_emi!$L$14:$L$21&amp;"|"&amp;Calculate_cap_emi!$I$14:$I$21,
        Calculate_cap_emi!$AG$14:$AG$21, "Not found", 0)</f>
        <v>1036.875</v>
      </c>
      <c r="P157" s="8">
        <f t="shared" si="23"/>
        <v>3767.7060160427809</v>
      </c>
    </row>
    <row r="158" spans="1:16" x14ac:dyDescent="0.3">
      <c r="A158" s="5"/>
      <c r="B158" s="5" t="str">
        <f t="shared" si="21"/>
        <v>Mass-H1</v>
      </c>
      <c r="C158" s="5" t="s">
        <v>38</v>
      </c>
      <c r="D158" s="5" t="str">
        <f t="shared" si="20"/>
        <v>H1</v>
      </c>
      <c r="E158" s="5" t="s">
        <v>3</v>
      </c>
      <c r="F158" s="5" t="s">
        <v>59</v>
      </c>
      <c r="G158" s="5" t="s">
        <v>59</v>
      </c>
      <c r="H158" s="5">
        <v>11.2</v>
      </c>
      <c r="I158" s="5"/>
      <c r="J158" s="5">
        <f t="shared" si="22"/>
        <v>12</v>
      </c>
      <c r="K158" s="5">
        <v>1000</v>
      </c>
      <c r="L158" s="8" cm="1">
        <f t="array" ref="L158">_xlfn.SWITCH(K158,200,LOOKUP(J158,embodied_original!$C$14:$N$14,embodied_original!$C$16:$N$16) + _xlfn.XLOOKUP(B158&amp;"|"&amp;E158,
        Calculate_cap_emi!$L$14:$L$21&amp;"|"&amp;Calculate_cap_emi!$I$14:$I$21,
        Calculate_cap_emi!$AG$14:$AG$21, "Not found", 0), LOOKUP(K158,embodied_original!$C$20:$D$20,embodied_original!$C$22:$D$22) + LOOKUP(J158,embodied_original!$C$14:$N$14,embodied_original!$C$16:$N$16) + _xlfn.XLOOKUP(B158&amp;"|"&amp;E158,
        Calculate_cap_emi!$L$14:$L$21&amp;"|"&amp;Calculate_cap_emi!$I$14:$I$21,
        Calculate_cap_emi!$AG$14:$AG$21, "Not found", 0))</f>
        <v>4227.2354278074872</v>
      </c>
      <c r="M158" s="8">
        <f>LOOKUP(J158,embodied_original!$C$14:$N$14,embodied_original!$C$16:$N$16)</f>
        <v>2044.9058823529413</v>
      </c>
      <c r="N158" s="8" cm="1">
        <f t="array" ref="N158">_xlfn.SWITCH(K158,200,0,LOOKUP(K158,embodied_original!$C$20:$D$20,embodied_original!$C$22:$D$22))</f>
        <v>1145.4545454545455</v>
      </c>
      <c r="O158" s="5" cm="1">
        <f t="array" ref="O158">_xlfn.XLOOKUP(B158&amp;"|"&amp;E158,
        Calculate_cap_emi!$L$14:$L$21&amp;"|"&amp;Calculate_cap_emi!$I$14:$I$21,
        Calculate_cap_emi!$AG$14:$AG$21, "Not found", 0)</f>
        <v>1036.875</v>
      </c>
      <c r="P158" s="8">
        <f t="shared" si="23"/>
        <v>4227.2354278074872</v>
      </c>
    </row>
    <row r="159" spans="1:16" x14ac:dyDescent="0.3">
      <c r="A159" s="5"/>
      <c r="B159" s="5" t="str">
        <f t="shared" si="21"/>
        <v>Mass-H1</v>
      </c>
      <c r="C159" s="5" t="s">
        <v>38</v>
      </c>
      <c r="D159" s="5" t="str">
        <f t="shared" si="20"/>
        <v>H1</v>
      </c>
      <c r="E159" s="5" t="s">
        <v>3</v>
      </c>
      <c r="F159" s="5" t="s">
        <v>59</v>
      </c>
      <c r="G159" s="5" t="s">
        <v>59</v>
      </c>
      <c r="H159" s="5">
        <v>14</v>
      </c>
      <c r="I159" s="5"/>
      <c r="J159" s="5">
        <f t="shared" si="22"/>
        <v>14</v>
      </c>
      <c r="K159" s="5">
        <v>1000</v>
      </c>
      <c r="L159" s="8" cm="1">
        <f t="array" ref="L159">_xlfn.SWITCH(K159,200,LOOKUP(J159,embodied_original!$C$14:$N$14,embodied_original!$C$16:$N$16) + _xlfn.XLOOKUP(B159&amp;"|"&amp;E159,
        Calculate_cap_emi!$L$14:$L$21&amp;"|"&amp;Calculate_cap_emi!$I$14:$I$21,
        Calculate_cap_emi!$AG$14:$AG$21, "Not found", 0), LOOKUP(K159,embodied_original!$C$20:$D$20,embodied_original!$C$22:$D$22) + LOOKUP(J159,embodied_original!$C$14:$N$14,embodied_original!$C$16:$N$16) + _xlfn.XLOOKUP(B159&amp;"|"&amp;E159,
        Calculate_cap_emi!$L$14:$L$21&amp;"|"&amp;Calculate_cap_emi!$I$14:$I$21,
        Calculate_cap_emi!$AG$14:$AG$21, "Not found", 0))</f>
        <v>4418.7060160427809</v>
      </c>
      <c r="M159" s="8">
        <f>LOOKUP(J159,embodied_original!$C$14:$N$14,embodied_original!$C$16:$N$16)</f>
        <v>2236.3764705882354</v>
      </c>
      <c r="N159" s="8" cm="1">
        <f t="array" ref="N159">_xlfn.SWITCH(K159,200,0,LOOKUP(K159,embodied_original!$C$20:$D$20,embodied_original!$C$22:$D$22))</f>
        <v>1145.4545454545455</v>
      </c>
      <c r="O159" s="5" cm="1">
        <f t="array" ref="O159">_xlfn.XLOOKUP(B159&amp;"|"&amp;E159,
        Calculate_cap_emi!$L$14:$L$21&amp;"|"&amp;Calculate_cap_emi!$I$14:$I$21,
        Calculate_cap_emi!$AG$14:$AG$21, "Not found", 0)</f>
        <v>1036.875</v>
      </c>
      <c r="P159" s="8">
        <f t="shared" si="23"/>
        <v>4418.7060160427809</v>
      </c>
    </row>
    <row r="160" spans="1:16" x14ac:dyDescent="0.3">
      <c r="A160" s="5"/>
      <c r="B160" s="5" t="str">
        <f t="shared" si="21"/>
        <v>Mod-H1</v>
      </c>
      <c r="C160" s="5" t="s">
        <v>39</v>
      </c>
      <c r="D160" s="5" t="str">
        <f t="shared" si="20"/>
        <v>H1</v>
      </c>
      <c r="E160" s="5" t="s">
        <v>3</v>
      </c>
      <c r="F160" s="5" t="s">
        <v>56</v>
      </c>
      <c r="G160" s="5" t="s">
        <v>56</v>
      </c>
      <c r="H160" s="5">
        <v>8.5</v>
      </c>
      <c r="I160" s="5"/>
      <c r="J160" s="5">
        <f t="shared" si="22"/>
        <v>9</v>
      </c>
      <c r="K160" s="5">
        <v>200</v>
      </c>
      <c r="L160" s="8" cm="1">
        <f t="array" ref="L160">_xlfn.SWITCH(K160,200,LOOKUP(J160,embodied_original!$C$14:$N$14,embodied_original!$C$16:$N$16) + _xlfn.XLOOKUP(B160&amp;"|"&amp;E160,
        Calculate_cap_emi!$L$14:$L$21&amp;"|"&amp;Calculate_cap_emi!$I$14:$I$21,
        Calculate_cap_emi!$AG$14:$AG$21, "Not found", 0), LOOKUP(K160,embodied_original!$C$20:$D$20,embodied_original!$C$22:$D$22) + LOOKUP(J160,embodied_original!$C$14:$N$14,embodied_original!$C$16:$N$16) + _xlfn.XLOOKUP(B160&amp;"|"&amp;E160,
        Calculate_cap_emi!$L$14:$L$21&amp;"|"&amp;Calculate_cap_emi!$I$14:$I$21,
        Calculate_cap_emi!$AG$14:$AG$21, "Not found", 0))</f>
        <v>3101.3139705882354</v>
      </c>
      <c r="M160" s="8">
        <f>LOOKUP(J160,embodied_original!$C$14:$N$14,embodied_original!$C$16:$N$16)</f>
        <v>1585.3764705882354</v>
      </c>
      <c r="N160" s="8" cm="1">
        <f t="array" ref="N160">_xlfn.SWITCH(K160,200,0,LOOKUP(K160,embodied_original!$C$20:$D$20,embodied_original!$C$22:$D$22))</f>
        <v>0</v>
      </c>
      <c r="O160" s="5" cm="1">
        <f t="array" ref="O160">_xlfn.XLOOKUP(B160&amp;"|"&amp;E160,
        Calculate_cap_emi!$L$14:$L$21&amp;"|"&amp;Calculate_cap_emi!$I$14:$I$21,
        Calculate_cap_emi!$AG$14:$AG$21, "Not found", 0)</f>
        <v>1515.9375</v>
      </c>
      <c r="P160" s="8">
        <f t="shared" si="23"/>
        <v>3101.3139705882354</v>
      </c>
    </row>
    <row r="161" spans="1:16" x14ac:dyDescent="0.3">
      <c r="A161" s="5"/>
      <c r="B161" s="5" t="str">
        <f t="shared" si="21"/>
        <v>Mod-H1</v>
      </c>
      <c r="C161" s="5" t="s">
        <v>39</v>
      </c>
      <c r="D161" s="5" t="str">
        <f t="shared" si="20"/>
        <v>H1</v>
      </c>
      <c r="E161" s="5" t="s">
        <v>3</v>
      </c>
      <c r="F161" s="5" t="s">
        <v>56</v>
      </c>
      <c r="G161" s="5" t="s">
        <v>56</v>
      </c>
      <c r="H161" s="5">
        <v>11.2</v>
      </c>
      <c r="I161" s="5"/>
      <c r="J161" s="5">
        <f t="shared" si="22"/>
        <v>12</v>
      </c>
      <c r="K161" s="5">
        <v>200</v>
      </c>
      <c r="L161" s="8" cm="1">
        <f t="array" ref="L161">_xlfn.SWITCH(K161,200,LOOKUP(J161,embodied_original!$C$14:$N$14,embodied_original!$C$16:$N$16) + _xlfn.XLOOKUP(B161&amp;"|"&amp;E161,
        Calculate_cap_emi!$L$14:$L$21&amp;"|"&amp;Calculate_cap_emi!$I$14:$I$21,
        Calculate_cap_emi!$AG$14:$AG$21, "Not found", 0), LOOKUP(K161,embodied_original!$C$20:$D$20,embodied_original!$C$22:$D$22) + LOOKUP(J161,embodied_original!$C$14:$N$14,embodied_original!$C$16:$N$16) + _xlfn.XLOOKUP(B161&amp;"|"&amp;E161,
        Calculate_cap_emi!$L$14:$L$21&amp;"|"&amp;Calculate_cap_emi!$I$14:$I$21,
        Calculate_cap_emi!$AG$14:$AG$21, "Not found", 0))</f>
        <v>3560.8433823529413</v>
      </c>
      <c r="M161" s="8">
        <f>LOOKUP(J161,embodied_original!$C$14:$N$14,embodied_original!$C$16:$N$16)</f>
        <v>2044.9058823529413</v>
      </c>
      <c r="N161" s="8" cm="1">
        <f t="array" ref="N161">_xlfn.SWITCH(K161,200,0,LOOKUP(K161,embodied_original!$C$20:$D$20,embodied_original!$C$22:$D$22))</f>
        <v>0</v>
      </c>
      <c r="O161" s="5" cm="1">
        <f t="array" ref="O161">_xlfn.XLOOKUP(B161&amp;"|"&amp;E161,
        Calculate_cap_emi!$L$14:$L$21&amp;"|"&amp;Calculate_cap_emi!$I$14:$I$21,
        Calculate_cap_emi!$AG$14:$AG$21, "Not found", 0)</f>
        <v>1515.9375</v>
      </c>
      <c r="P161" s="8">
        <f t="shared" si="23"/>
        <v>3560.8433823529413</v>
      </c>
    </row>
    <row r="162" spans="1:16" x14ac:dyDescent="0.3">
      <c r="A162" s="5"/>
      <c r="B162" s="5" t="str">
        <f t="shared" si="21"/>
        <v>Mod-H1</v>
      </c>
      <c r="C162" s="5" t="s">
        <v>39</v>
      </c>
      <c r="D162" s="5" t="str">
        <f t="shared" si="20"/>
        <v>H1</v>
      </c>
      <c r="E162" s="5" t="s">
        <v>3</v>
      </c>
      <c r="F162" s="5" t="s">
        <v>56</v>
      </c>
      <c r="G162" s="5" t="s">
        <v>56</v>
      </c>
      <c r="H162" s="5">
        <v>14</v>
      </c>
      <c r="I162" s="5"/>
      <c r="J162" s="5">
        <f t="shared" si="22"/>
        <v>14</v>
      </c>
      <c r="K162" s="5">
        <v>200</v>
      </c>
      <c r="L162" s="8" cm="1">
        <f t="array" ref="L162">_xlfn.SWITCH(K162,200,LOOKUP(J162,embodied_original!$C$14:$N$14,embodied_original!$C$16:$N$16) + _xlfn.XLOOKUP(B162&amp;"|"&amp;E162,
        Calculate_cap_emi!$L$14:$L$21&amp;"|"&amp;Calculate_cap_emi!$I$14:$I$21,
        Calculate_cap_emi!$AG$14:$AG$21, "Not found", 0), LOOKUP(K162,embodied_original!$C$20:$D$20,embodied_original!$C$22:$D$22) + LOOKUP(J162,embodied_original!$C$14:$N$14,embodied_original!$C$16:$N$16) + _xlfn.XLOOKUP(B162&amp;"|"&amp;E162,
        Calculate_cap_emi!$L$14:$L$21&amp;"|"&amp;Calculate_cap_emi!$I$14:$I$21,
        Calculate_cap_emi!$AG$14:$AG$21, "Not found", 0))</f>
        <v>3752.3139705882354</v>
      </c>
      <c r="M162" s="8">
        <f>LOOKUP(J162,embodied_original!$C$14:$N$14,embodied_original!$C$16:$N$16)</f>
        <v>2236.3764705882354</v>
      </c>
      <c r="N162" s="8" cm="1">
        <f t="array" ref="N162">_xlfn.SWITCH(K162,200,0,LOOKUP(K162,embodied_original!$C$20:$D$20,embodied_original!$C$22:$D$22))</f>
        <v>0</v>
      </c>
      <c r="O162" s="5" cm="1">
        <f t="array" ref="O162">_xlfn.XLOOKUP(B162&amp;"|"&amp;E162,
        Calculate_cap_emi!$L$14:$L$21&amp;"|"&amp;Calculate_cap_emi!$I$14:$I$21,
        Calculate_cap_emi!$AG$14:$AG$21, "Not found", 0)</f>
        <v>1515.9375</v>
      </c>
      <c r="P162" s="8">
        <f t="shared" si="23"/>
        <v>3752.3139705882354</v>
      </c>
    </row>
    <row r="163" spans="1:16" x14ac:dyDescent="0.3">
      <c r="A163" s="5"/>
      <c r="B163" s="5" t="str">
        <f t="shared" si="21"/>
        <v>Mod-H1</v>
      </c>
      <c r="C163" s="5" t="s">
        <v>39</v>
      </c>
      <c r="D163" s="5" t="str">
        <f t="shared" si="20"/>
        <v>H1</v>
      </c>
      <c r="E163" s="5" t="s">
        <v>3</v>
      </c>
      <c r="F163" s="5" t="s">
        <v>57</v>
      </c>
      <c r="G163" s="5" t="s">
        <v>57</v>
      </c>
      <c r="H163" s="5">
        <v>5</v>
      </c>
      <c r="I163" s="5"/>
      <c r="J163" s="5">
        <f t="shared" si="22"/>
        <v>5</v>
      </c>
      <c r="K163" s="5">
        <v>500</v>
      </c>
      <c r="L163" s="8" cm="1">
        <f t="array" ref="L163">_xlfn.SWITCH(K163,200,LOOKUP(J163,embodied_original!$C$14:$N$14,embodied_original!$C$16:$N$16) + _xlfn.XLOOKUP(B163&amp;"|"&amp;E163,
        Calculate_cap_emi!$L$14:$L$21&amp;"|"&amp;Calculate_cap_emi!$I$14:$I$21,
        Calculate_cap_emi!$AG$14:$AG$21, "Not found", 0), LOOKUP(K163,embodied_original!$C$20:$D$20,embodied_original!$C$22:$D$22) + LOOKUP(J163,embodied_original!$C$14:$N$14,embodied_original!$C$16:$N$16) + _xlfn.XLOOKUP(B163&amp;"|"&amp;E163,
        Calculate_cap_emi!$L$14:$L$21&amp;"|"&amp;Calculate_cap_emi!$I$14:$I$21,
        Calculate_cap_emi!$AG$14:$AG$21, "Not found", 0))</f>
        <v>3530.8594251336899</v>
      </c>
      <c r="M163" s="8">
        <f>LOOKUP(J163,embodied_original!$C$14:$N$14,embodied_original!$C$16:$N$16)</f>
        <v>1585.3764705882354</v>
      </c>
      <c r="N163" s="8" cm="1">
        <f t="array" ref="N163">_xlfn.SWITCH(K163,200,0,LOOKUP(K163,embodied_original!$C$20:$D$20,embodied_original!$C$22:$D$22))</f>
        <v>429.54545454545456</v>
      </c>
      <c r="O163" s="5" cm="1">
        <f t="array" ref="O163">_xlfn.XLOOKUP(B163&amp;"|"&amp;E163,
        Calculate_cap_emi!$L$14:$L$21&amp;"|"&amp;Calculate_cap_emi!$I$14:$I$21,
        Calculate_cap_emi!$AG$14:$AG$21, "Not found", 0)</f>
        <v>1515.9375</v>
      </c>
      <c r="P163" s="8">
        <f t="shared" si="23"/>
        <v>3530.8594251336899</v>
      </c>
    </row>
    <row r="164" spans="1:16" x14ac:dyDescent="0.3">
      <c r="A164" s="5"/>
      <c r="B164" s="5" t="str">
        <f t="shared" si="21"/>
        <v>Mod-H1</v>
      </c>
      <c r="C164" s="5" t="s">
        <v>39</v>
      </c>
      <c r="D164" s="5" t="str">
        <f t="shared" si="20"/>
        <v>H1</v>
      </c>
      <c r="E164" s="5" t="s">
        <v>3</v>
      </c>
      <c r="F164" s="5" t="s">
        <v>57</v>
      </c>
      <c r="G164" s="5" t="s">
        <v>57</v>
      </c>
      <c r="H164" s="5">
        <v>6</v>
      </c>
      <c r="I164" s="5"/>
      <c r="J164" s="5">
        <f t="shared" si="22"/>
        <v>6</v>
      </c>
      <c r="K164" s="5">
        <v>500</v>
      </c>
      <c r="L164" s="8" cm="1">
        <f t="array" ref="L164">_xlfn.SWITCH(K164,200,LOOKUP(J164,embodied_original!$C$14:$N$14,embodied_original!$C$16:$N$16) + _xlfn.XLOOKUP(B164&amp;"|"&amp;E164,
        Calculate_cap_emi!$L$14:$L$21&amp;"|"&amp;Calculate_cap_emi!$I$14:$I$21,
        Calculate_cap_emi!$AG$14:$AG$21, "Not found", 0), LOOKUP(K164,embodied_original!$C$20:$D$20,embodied_original!$C$22:$D$22) + LOOKUP(J164,embodied_original!$C$14:$N$14,embodied_original!$C$16:$N$16) + _xlfn.XLOOKUP(B164&amp;"|"&amp;E164,
        Calculate_cap_emi!$L$14:$L$21&amp;"|"&amp;Calculate_cap_emi!$I$14:$I$21,
        Calculate_cap_emi!$AG$14:$AG$21, "Not found", 0))</f>
        <v>3530.8594251336899</v>
      </c>
      <c r="M164" s="8">
        <f>LOOKUP(J164,embodied_original!$C$14:$N$14,embodied_original!$C$16:$N$16)</f>
        <v>1585.3764705882354</v>
      </c>
      <c r="N164" s="8" cm="1">
        <f t="array" ref="N164">_xlfn.SWITCH(K164,200,0,LOOKUP(K164,embodied_original!$C$20:$D$20,embodied_original!$C$22:$D$22))</f>
        <v>429.54545454545456</v>
      </c>
      <c r="O164" s="5" cm="1">
        <f t="array" ref="O164">_xlfn.XLOOKUP(B164&amp;"|"&amp;E164,
        Calculate_cap_emi!$L$14:$L$21&amp;"|"&amp;Calculate_cap_emi!$I$14:$I$21,
        Calculate_cap_emi!$AG$14:$AG$21, "Not found", 0)</f>
        <v>1515.9375</v>
      </c>
      <c r="P164" s="8">
        <f t="shared" si="23"/>
        <v>3530.8594251336899</v>
      </c>
    </row>
    <row r="165" spans="1:16" x14ac:dyDescent="0.3">
      <c r="A165" s="5"/>
      <c r="B165" s="5" t="str">
        <f t="shared" si="21"/>
        <v>Mod-H1</v>
      </c>
      <c r="C165" s="5" t="s">
        <v>39</v>
      </c>
      <c r="D165" s="5" t="str">
        <f t="shared" si="20"/>
        <v>H1</v>
      </c>
      <c r="E165" s="5" t="s">
        <v>3</v>
      </c>
      <c r="F165" s="5" t="s">
        <v>57</v>
      </c>
      <c r="G165" s="5" t="s">
        <v>57</v>
      </c>
      <c r="H165" s="5">
        <v>8.5</v>
      </c>
      <c r="I165" s="5"/>
      <c r="J165" s="5">
        <f t="shared" si="22"/>
        <v>9</v>
      </c>
      <c r="K165" s="5">
        <v>500</v>
      </c>
      <c r="L165" s="8" cm="1">
        <f t="array" ref="L165">_xlfn.SWITCH(K165,200,LOOKUP(J165,embodied_original!$C$14:$N$14,embodied_original!$C$16:$N$16) + _xlfn.XLOOKUP(B165&amp;"|"&amp;E165,
        Calculate_cap_emi!$L$14:$L$21&amp;"|"&amp;Calculate_cap_emi!$I$14:$I$21,
        Calculate_cap_emi!$AG$14:$AG$21, "Not found", 0), LOOKUP(K165,embodied_original!$C$20:$D$20,embodied_original!$C$22:$D$22) + LOOKUP(J165,embodied_original!$C$14:$N$14,embodied_original!$C$16:$N$16) + _xlfn.XLOOKUP(B165&amp;"|"&amp;E165,
        Calculate_cap_emi!$L$14:$L$21&amp;"|"&amp;Calculate_cap_emi!$I$14:$I$21,
        Calculate_cap_emi!$AG$14:$AG$21, "Not found", 0))</f>
        <v>3530.8594251336899</v>
      </c>
      <c r="M165" s="8">
        <f>LOOKUP(J165,embodied_original!$C$14:$N$14,embodied_original!$C$16:$N$16)</f>
        <v>1585.3764705882354</v>
      </c>
      <c r="N165" s="8" cm="1">
        <f t="array" ref="N165">_xlfn.SWITCH(K165,200,0,LOOKUP(K165,embodied_original!$C$20:$D$20,embodied_original!$C$22:$D$22))</f>
        <v>429.54545454545456</v>
      </c>
      <c r="O165" s="5" cm="1">
        <f t="array" ref="O165">_xlfn.XLOOKUP(B165&amp;"|"&amp;E165,
        Calculate_cap_emi!$L$14:$L$21&amp;"|"&amp;Calculate_cap_emi!$I$14:$I$21,
        Calculate_cap_emi!$AG$14:$AG$21, "Not found", 0)</f>
        <v>1515.9375</v>
      </c>
      <c r="P165" s="8">
        <f t="shared" si="23"/>
        <v>3530.8594251336899</v>
      </c>
    </row>
    <row r="166" spans="1:16" x14ac:dyDescent="0.3">
      <c r="A166" s="5"/>
      <c r="B166" s="5" t="str">
        <f t="shared" si="21"/>
        <v>Mod-H1</v>
      </c>
      <c r="C166" s="5" t="s">
        <v>39</v>
      </c>
      <c r="D166" s="5" t="str">
        <f t="shared" si="20"/>
        <v>H1</v>
      </c>
      <c r="E166" s="5" t="s">
        <v>3</v>
      </c>
      <c r="F166" s="5" t="s">
        <v>57</v>
      </c>
      <c r="G166" s="5" t="s">
        <v>57</v>
      </c>
      <c r="H166" s="5">
        <v>14</v>
      </c>
      <c r="I166" s="5"/>
      <c r="J166" s="5">
        <f t="shared" si="22"/>
        <v>14</v>
      </c>
      <c r="K166" s="5">
        <v>500</v>
      </c>
      <c r="L166" s="8" cm="1">
        <f t="array" ref="L166">_xlfn.SWITCH(K166,200,LOOKUP(J166,embodied_original!$C$14:$N$14,embodied_original!$C$16:$N$16) + _xlfn.XLOOKUP(B166&amp;"|"&amp;E166,
        Calculate_cap_emi!$L$14:$L$21&amp;"|"&amp;Calculate_cap_emi!$I$14:$I$21,
        Calculate_cap_emi!$AG$14:$AG$21, "Not found", 0), LOOKUP(K166,embodied_original!$C$20:$D$20,embodied_original!$C$22:$D$22) + LOOKUP(J166,embodied_original!$C$14:$N$14,embodied_original!$C$16:$N$16) + _xlfn.XLOOKUP(B166&amp;"|"&amp;E166,
        Calculate_cap_emi!$L$14:$L$21&amp;"|"&amp;Calculate_cap_emi!$I$14:$I$21,
        Calculate_cap_emi!$AG$14:$AG$21, "Not found", 0))</f>
        <v>4181.8594251336899</v>
      </c>
      <c r="M166" s="8">
        <f>LOOKUP(J166,embodied_original!$C$14:$N$14,embodied_original!$C$16:$N$16)</f>
        <v>2236.3764705882354</v>
      </c>
      <c r="N166" s="8" cm="1">
        <f t="array" ref="N166">_xlfn.SWITCH(K166,200,0,LOOKUP(K166,embodied_original!$C$20:$D$20,embodied_original!$C$22:$D$22))</f>
        <v>429.54545454545456</v>
      </c>
      <c r="O166" s="5" cm="1">
        <f t="array" ref="O166">_xlfn.XLOOKUP(B166&amp;"|"&amp;E166,
        Calculate_cap_emi!$L$14:$L$21&amp;"|"&amp;Calculate_cap_emi!$I$14:$I$21,
        Calculate_cap_emi!$AG$14:$AG$21, "Not found", 0)</f>
        <v>1515.9375</v>
      </c>
      <c r="P166" s="8">
        <f t="shared" si="23"/>
        <v>4181.8594251336899</v>
      </c>
    </row>
    <row r="167" spans="1:16" x14ac:dyDescent="0.3">
      <c r="A167" s="5"/>
      <c r="B167" s="5" t="str">
        <f t="shared" si="21"/>
        <v>Mod-H1</v>
      </c>
      <c r="C167" s="5" t="s">
        <v>39</v>
      </c>
      <c r="D167" s="5" t="str">
        <f t="shared" si="20"/>
        <v>H1</v>
      </c>
      <c r="E167" s="5" t="s">
        <v>3</v>
      </c>
      <c r="F167" s="5" t="s">
        <v>59</v>
      </c>
      <c r="G167" s="5" t="s">
        <v>59</v>
      </c>
      <c r="H167" s="5">
        <v>5</v>
      </c>
      <c r="I167" s="5"/>
      <c r="J167" s="5">
        <f t="shared" si="22"/>
        <v>5</v>
      </c>
      <c r="K167" s="5">
        <v>1000</v>
      </c>
      <c r="L167" s="8" cm="1">
        <f t="array" ref="L167">_xlfn.SWITCH(K167,200,LOOKUP(J167,embodied_original!$C$14:$N$14,embodied_original!$C$16:$N$16) + _xlfn.XLOOKUP(B167&amp;"|"&amp;E167,
        Calculate_cap_emi!$L$14:$L$21&amp;"|"&amp;Calculate_cap_emi!$I$14:$I$21,
        Calculate_cap_emi!$AG$14:$AG$21, "Not found", 0), LOOKUP(K167,embodied_original!$C$20:$D$20,embodied_original!$C$22:$D$22) + LOOKUP(J167,embodied_original!$C$14:$N$14,embodied_original!$C$16:$N$16) + _xlfn.XLOOKUP(B167&amp;"|"&amp;E167,
        Calculate_cap_emi!$L$14:$L$21&amp;"|"&amp;Calculate_cap_emi!$I$14:$I$21,
        Calculate_cap_emi!$AG$14:$AG$21, "Not found", 0))</f>
        <v>4246.7685160427809</v>
      </c>
      <c r="M167" s="8">
        <f>LOOKUP(J167,embodied_original!$C$14:$N$14,embodied_original!$C$16:$N$16)</f>
        <v>1585.3764705882354</v>
      </c>
      <c r="N167" s="8" cm="1">
        <f t="array" ref="N167">_xlfn.SWITCH(K167,200,0,LOOKUP(K167,embodied_original!$C$20:$D$20,embodied_original!$C$22:$D$22))</f>
        <v>1145.4545454545455</v>
      </c>
      <c r="O167" s="5" cm="1">
        <f t="array" ref="O167">_xlfn.XLOOKUP(B167&amp;"|"&amp;E167,
        Calculate_cap_emi!$L$14:$L$21&amp;"|"&amp;Calculate_cap_emi!$I$14:$I$21,
        Calculate_cap_emi!$AG$14:$AG$21, "Not found", 0)</f>
        <v>1515.9375</v>
      </c>
      <c r="P167" s="8">
        <f t="shared" si="23"/>
        <v>4246.7685160427809</v>
      </c>
    </row>
    <row r="168" spans="1:16" x14ac:dyDescent="0.3">
      <c r="A168" s="5"/>
      <c r="B168" s="5" t="str">
        <f t="shared" si="21"/>
        <v>Mod-H1</v>
      </c>
      <c r="C168" s="5" t="s">
        <v>39</v>
      </c>
      <c r="D168" s="5" t="str">
        <f t="shared" si="20"/>
        <v>H1</v>
      </c>
      <c r="E168" s="5" t="s">
        <v>3</v>
      </c>
      <c r="F168" s="5" t="s">
        <v>59</v>
      </c>
      <c r="G168" s="5" t="s">
        <v>59</v>
      </c>
      <c r="H168" s="5">
        <v>6</v>
      </c>
      <c r="I168" s="5"/>
      <c r="J168" s="5">
        <f t="shared" si="22"/>
        <v>6</v>
      </c>
      <c r="K168" s="5">
        <v>1000</v>
      </c>
      <c r="L168" s="8" cm="1">
        <f t="array" ref="L168">_xlfn.SWITCH(K168,200,LOOKUP(J168,embodied_original!$C$14:$N$14,embodied_original!$C$16:$N$16) + _xlfn.XLOOKUP(B168&amp;"|"&amp;E168,
        Calculate_cap_emi!$L$14:$L$21&amp;"|"&amp;Calculate_cap_emi!$I$14:$I$21,
        Calculate_cap_emi!$AG$14:$AG$21, "Not found", 0), LOOKUP(K168,embodied_original!$C$20:$D$20,embodied_original!$C$22:$D$22) + LOOKUP(J168,embodied_original!$C$14:$N$14,embodied_original!$C$16:$N$16) + _xlfn.XLOOKUP(B168&amp;"|"&amp;E168,
        Calculate_cap_emi!$L$14:$L$21&amp;"|"&amp;Calculate_cap_emi!$I$14:$I$21,
        Calculate_cap_emi!$AG$14:$AG$21, "Not found", 0))</f>
        <v>4246.7685160427809</v>
      </c>
      <c r="M168" s="8">
        <f>LOOKUP(J168,embodied_original!$C$14:$N$14,embodied_original!$C$16:$N$16)</f>
        <v>1585.3764705882354</v>
      </c>
      <c r="N168" s="8" cm="1">
        <f t="array" ref="N168">_xlfn.SWITCH(K168,200,0,LOOKUP(K168,embodied_original!$C$20:$D$20,embodied_original!$C$22:$D$22))</f>
        <v>1145.4545454545455</v>
      </c>
      <c r="O168" s="5" cm="1">
        <f t="array" ref="O168">_xlfn.XLOOKUP(B168&amp;"|"&amp;E168,
        Calculate_cap_emi!$L$14:$L$21&amp;"|"&amp;Calculate_cap_emi!$I$14:$I$21,
        Calculate_cap_emi!$AG$14:$AG$21, "Not found", 0)</f>
        <v>1515.9375</v>
      </c>
      <c r="P168" s="8">
        <f t="shared" si="23"/>
        <v>4246.7685160427809</v>
      </c>
    </row>
    <row r="169" spans="1:16" x14ac:dyDescent="0.3">
      <c r="A169" s="5"/>
      <c r="B169" s="5" t="str">
        <f t="shared" si="21"/>
        <v>Mod-H1</v>
      </c>
      <c r="C169" s="5" t="s">
        <v>39</v>
      </c>
      <c r="D169" s="5" t="str">
        <f t="shared" si="20"/>
        <v>H1</v>
      </c>
      <c r="E169" s="5" t="s">
        <v>3</v>
      </c>
      <c r="F169" s="5" t="s">
        <v>59</v>
      </c>
      <c r="G169" s="5" t="s">
        <v>59</v>
      </c>
      <c r="H169" s="5">
        <v>8.5</v>
      </c>
      <c r="I169" s="5"/>
      <c r="J169" s="5">
        <f t="shared" si="22"/>
        <v>9</v>
      </c>
      <c r="K169" s="5">
        <v>1000</v>
      </c>
      <c r="L169" s="8" cm="1">
        <f t="array" ref="L169">_xlfn.SWITCH(K169,200,LOOKUP(J169,embodied_original!$C$14:$N$14,embodied_original!$C$16:$N$16) + _xlfn.XLOOKUP(B169&amp;"|"&amp;E169,
        Calculate_cap_emi!$L$14:$L$21&amp;"|"&amp;Calculate_cap_emi!$I$14:$I$21,
        Calculate_cap_emi!$AG$14:$AG$21, "Not found", 0), LOOKUP(K169,embodied_original!$C$20:$D$20,embodied_original!$C$22:$D$22) + LOOKUP(J169,embodied_original!$C$14:$N$14,embodied_original!$C$16:$N$16) + _xlfn.XLOOKUP(B169&amp;"|"&amp;E169,
        Calculate_cap_emi!$L$14:$L$21&amp;"|"&amp;Calculate_cap_emi!$I$14:$I$21,
        Calculate_cap_emi!$AG$14:$AG$21, "Not found", 0))</f>
        <v>4246.7685160427809</v>
      </c>
      <c r="M169" s="8">
        <f>LOOKUP(J169,embodied_original!$C$14:$N$14,embodied_original!$C$16:$N$16)</f>
        <v>1585.3764705882354</v>
      </c>
      <c r="N169" s="8" cm="1">
        <f t="array" ref="N169">_xlfn.SWITCH(K169,200,0,LOOKUP(K169,embodied_original!$C$20:$D$20,embodied_original!$C$22:$D$22))</f>
        <v>1145.4545454545455</v>
      </c>
      <c r="O169" s="5" cm="1">
        <f t="array" ref="O169">_xlfn.XLOOKUP(B169&amp;"|"&amp;E169,
        Calculate_cap_emi!$L$14:$L$21&amp;"|"&amp;Calculate_cap_emi!$I$14:$I$21,
        Calculate_cap_emi!$AG$14:$AG$21, "Not found", 0)</f>
        <v>1515.9375</v>
      </c>
      <c r="P169" s="8">
        <f t="shared" si="23"/>
        <v>4246.7685160427809</v>
      </c>
    </row>
    <row r="170" spans="1:16" x14ac:dyDescent="0.3">
      <c r="A170" s="5"/>
      <c r="B170" s="5" t="str">
        <f t="shared" si="21"/>
        <v>Mod-H1</v>
      </c>
      <c r="C170" s="5" t="s">
        <v>39</v>
      </c>
      <c r="D170" s="5" t="str">
        <f t="shared" si="20"/>
        <v>H1</v>
      </c>
      <c r="E170" s="5" t="s">
        <v>3</v>
      </c>
      <c r="F170" s="5" t="s">
        <v>59</v>
      </c>
      <c r="G170" s="5" t="s">
        <v>59</v>
      </c>
      <c r="H170" s="5">
        <v>11.2</v>
      </c>
      <c r="I170" s="5"/>
      <c r="J170" s="5">
        <f t="shared" si="22"/>
        <v>12</v>
      </c>
      <c r="K170" s="5">
        <v>1000</v>
      </c>
      <c r="L170" s="8" cm="1">
        <f t="array" ref="L170">_xlfn.SWITCH(K170,200,LOOKUP(J170,embodied_original!$C$14:$N$14,embodied_original!$C$16:$N$16) + _xlfn.XLOOKUP(B170&amp;"|"&amp;E170,
        Calculate_cap_emi!$L$14:$L$21&amp;"|"&amp;Calculate_cap_emi!$I$14:$I$21,
        Calculate_cap_emi!$AG$14:$AG$21, "Not found", 0), LOOKUP(K170,embodied_original!$C$20:$D$20,embodied_original!$C$22:$D$22) + LOOKUP(J170,embodied_original!$C$14:$N$14,embodied_original!$C$16:$N$16) + _xlfn.XLOOKUP(B170&amp;"|"&amp;E170,
        Calculate_cap_emi!$L$14:$L$21&amp;"|"&amp;Calculate_cap_emi!$I$14:$I$21,
        Calculate_cap_emi!$AG$14:$AG$21, "Not found", 0))</f>
        <v>4706.2979278074872</v>
      </c>
      <c r="M170" s="8">
        <f>LOOKUP(J170,embodied_original!$C$14:$N$14,embodied_original!$C$16:$N$16)</f>
        <v>2044.9058823529413</v>
      </c>
      <c r="N170" s="8" cm="1">
        <f t="array" ref="N170">_xlfn.SWITCH(K170,200,0,LOOKUP(K170,embodied_original!$C$20:$D$20,embodied_original!$C$22:$D$22))</f>
        <v>1145.4545454545455</v>
      </c>
      <c r="O170" s="5" cm="1">
        <f t="array" ref="O170">_xlfn.XLOOKUP(B170&amp;"|"&amp;E170,
        Calculate_cap_emi!$L$14:$L$21&amp;"|"&amp;Calculate_cap_emi!$I$14:$I$21,
        Calculate_cap_emi!$AG$14:$AG$21, "Not found", 0)</f>
        <v>1515.9375</v>
      </c>
      <c r="P170" s="8">
        <f t="shared" si="23"/>
        <v>4706.2979278074872</v>
      </c>
    </row>
    <row r="171" spans="1:16" x14ac:dyDescent="0.3">
      <c r="A171" s="5"/>
      <c r="B171" s="5" t="str">
        <f t="shared" si="21"/>
        <v>Mod-H1</v>
      </c>
      <c r="C171" s="5" t="s">
        <v>39</v>
      </c>
      <c r="D171" s="5" t="str">
        <f t="shared" si="20"/>
        <v>H1</v>
      </c>
      <c r="E171" s="5" t="s">
        <v>3</v>
      </c>
      <c r="F171" s="5" t="s">
        <v>59</v>
      </c>
      <c r="G171" s="5" t="s">
        <v>59</v>
      </c>
      <c r="H171" s="5">
        <v>14</v>
      </c>
      <c r="I171" s="5"/>
      <c r="J171" s="5">
        <f t="shared" si="22"/>
        <v>14</v>
      </c>
      <c r="K171" s="5">
        <v>1000</v>
      </c>
      <c r="L171" s="8" cm="1">
        <f t="array" ref="L171">_xlfn.SWITCH(K171,200,LOOKUP(J171,embodied_original!$C$14:$N$14,embodied_original!$C$16:$N$16) + _xlfn.XLOOKUP(B171&amp;"|"&amp;E171,
        Calculate_cap_emi!$L$14:$L$21&amp;"|"&amp;Calculate_cap_emi!$I$14:$I$21,
        Calculate_cap_emi!$AG$14:$AG$21, "Not found", 0), LOOKUP(K171,embodied_original!$C$20:$D$20,embodied_original!$C$22:$D$22) + LOOKUP(J171,embodied_original!$C$14:$N$14,embodied_original!$C$16:$N$16) + _xlfn.XLOOKUP(B171&amp;"|"&amp;E171,
        Calculate_cap_emi!$L$14:$L$21&amp;"|"&amp;Calculate_cap_emi!$I$14:$I$21,
        Calculate_cap_emi!$AG$14:$AG$21, "Not found", 0))</f>
        <v>4897.7685160427809</v>
      </c>
      <c r="M171" s="8">
        <f>LOOKUP(J171,embodied_original!$C$14:$N$14,embodied_original!$C$16:$N$16)</f>
        <v>2236.3764705882354</v>
      </c>
      <c r="N171" s="8" cm="1">
        <f t="array" ref="N171">_xlfn.SWITCH(K171,200,0,LOOKUP(K171,embodied_original!$C$20:$D$20,embodied_original!$C$22:$D$22))</f>
        <v>1145.4545454545455</v>
      </c>
      <c r="O171" s="5" cm="1">
        <f t="array" ref="O171">_xlfn.XLOOKUP(B171&amp;"|"&amp;E171,
        Calculate_cap_emi!$L$14:$L$21&amp;"|"&amp;Calculate_cap_emi!$I$14:$I$21,
        Calculate_cap_emi!$AG$14:$AG$21, "Not found", 0)</f>
        <v>1515.9375</v>
      </c>
      <c r="P171" s="8">
        <f t="shared" si="23"/>
        <v>4897.7685160427809</v>
      </c>
    </row>
    <row r="172" spans="1:16" x14ac:dyDescent="0.3">
      <c r="A172" s="5"/>
      <c r="B172" s="5" t="str">
        <f t="shared" si="21"/>
        <v>Mass-H1</v>
      </c>
      <c r="C172" s="5" t="s">
        <v>38</v>
      </c>
      <c r="D172" s="5" t="str">
        <f t="shared" si="20"/>
        <v>H1</v>
      </c>
      <c r="E172" s="5" t="s">
        <v>11</v>
      </c>
      <c r="F172" s="5" t="s">
        <v>56</v>
      </c>
      <c r="G172" s="5" t="s">
        <v>56</v>
      </c>
      <c r="H172" s="5">
        <v>8.5</v>
      </c>
      <c r="I172" s="5"/>
      <c r="J172" s="5">
        <f t="shared" si="22"/>
        <v>9</v>
      </c>
      <c r="K172" s="5">
        <v>200</v>
      </c>
      <c r="L172" s="8" cm="1">
        <f t="array" ref="L172">_xlfn.SWITCH(K172,200,LOOKUP(J172,embodied_original!$C$14:$N$14,embodied_original!$C$16:$N$16) + _xlfn.XLOOKUP(B172&amp;"|"&amp;E172,
        Calculate_cap_emi!$L$14:$L$21&amp;"|"&amp;Calculate_cap_emi!$I$14:$I$21,
        Calculate_cap_emi!$AG$14:$AG$21, "Not found", 0), LOOKUP(K172,embodied_original!$C$20:$D$20,embodied_original!$C$22:$D$22) + LOOKUP(J172,embodied_original!$C$14:$N$14,embodied_original!$C$16:$N$16) + _xlfn.XLOOKUP(B172&amp;"|"&amp;E172,
        Calculate_cap_emi!$L$14:$L$21&amp;"|"&amp;Calculate_cap_emi!$I$14:$I$21,
        Calculate_cap_emi!$AG$14:$AG$21, "Not found", 0))</f>
        <v>2622.2514705882354</v>
      </c>
      <c r="M172" s="8">
        <f>LOOKUP(J172,embodied_original!$C$14:$N$14,embodied_original!$C$16:$N$16)</f>
        <v>1585.3764705882354</v>
      </c>
      <c r="N172" s="8" cm="1">
        <f t="array" ref="N172">_xlfn.SWITCH(K172,200,0,LOOKUP(K172,embodied_original!$C$20:$D$20,embodied_original!$C$22:$D$22))</f>
        <v>0</v>
      </c>
      <c r="O172" s="5" cm="1">
        <f t="array" ref="O172">_xlfn.XLOOKUP(B172&amp;"|"&amp;E172,
        Calculate_cap_emi!$L$14:$L$21&amp;"|"&amp;Calculate_cap_emi!$I$14:$I$21,
        Calculate_cap_emi!$AG$14:$AG$21, "Not found", 0)</f>
        <v>1036.875</v>
      </c>
      <c r="P172" s="8">
        <f t="shared" si="23"/>
        <v>2622.2514705882354</v>
      </c>
    </row>
    <row r="173" spans="1:16" x14ac:dyDescent="0.3">
      <c r="A173" s="5"/>
      <c r="B173" s="5" t="str">
        <f t="shared" si="21"/>
        <v>Mass-H1</v>
      </c>
      <c r="C173" s="5" t="s">
        <v>38</v>
      </c>
      <c r="D173" s="5" t="str">
        <f t="shared" si="20"/>
        <v>H1</v>
      </c>
      <c r="E173" s="5" t="s">
        <v>11</v>
      </c>
      <c r="F173" s="5" t="s">
        <v>56</v>
      </c>
      <c r="G173" s="5" t="s">
        <v>56</v>
      </c>
      <c r="H173" s="5">
        <v>11.2</v>
      </c>
      <c r="I173" s="5"/>
      <c r="J173" s="5">
        <f t="shared" si="22"/>
        <v>12</v>
      </c>
      <c r="K173" s="5">
        <v>200</v>
      </c>
      <c r="L173" s="8" cm="1">
        <f t="array" ref="L173">_xlfn.SWITCH(K173,200,LOOKUP(J173,embodied_original!$C$14:$N$14,embodied_original!$C$16:$N$16) + _xlfn.XLOOKUP(B173&amp;"|"&amp;E173,
        Calculate_cap_emi!$L$14:$L$21&amp;"|"&amp;Calculate_cap_emi!$I$14:$I$21,
        Calculate_cap_emi!$AG$14:$AG$21, "Not found", 0), LOOKUP(K173,embodied_original!$C$20:$D$20,embodied_original!$C$22:$D$22) + LOOKUP(J173,embodied_original!$C$14:$N$14,embodied_original!$C$16:$N$16) + _xlfn.XLOOKUP(B173&amp;"|"&amp;E173,
        Calculate_cap_emi!$L$14:$L$21&amp;"|"&amp;Calculate_cap_emi!$I$14:$I$21,
        Calculate_cap_emi!$AG$14:$AG$21, "Not found", 0))</f>
        <v>3081.7808823529413</v>
      </c>
      <c r="M173" s="8">
        <f>LOOKUP(J173,embodied_original!$C$14:$N$14,embodied_original!$C$16:$N$16)</f>
        <v>2044.9058823529413</v>
      </c>
      <c r="N173" s="8" cm="1">
        <f t="array" ref="N173">_xlfn.SWITCH(K173,200,0,LOOKUP(K173,embodied_original!$C$20:$D$20,embodied_original!$C$22:$D$22))</f>
        <v>0</v>
      </c>
      <c r="O173" s="5" cm="1">
        <f t="array" ref="O173">_xlfn.XLOOKUP(B173&amp;"|"&amp;E173,
        Calculate_cap_emi!$L$14:$L$21&amp;"|"&amp;Calculate_cap_emi!$I$14:$I$21,
        Calculate_cap_emi!$AG$14:$AG$21, "Not found", 0)</f>
        <v>1036.875</v>
      </c>
      <c r="P173" s="8">
        <f t="shared" si="23"/>
        <v>3081.7808823529413</v>
      </c>
    </row>
    <row r="174" spans="1:16" x14ac:dyDescent="0.3">
      <c r="A174" s="5"/>
      <c r="B174" s="5" t="str">
        <f t="shared" si="21"/>
        <v>Mass-H1</v>
      </c>
      <c r="C174" s="5" t="s">
        <v>38</v>
      </c>
      <c r="D174" s="5" t="str">
        <f t="shared" si="20"/>
        <v>H1</v>
      </c>
      <c r="E174" s="5" t="s">
        <v>11</v>
      </c>
      <c r="F174" s="5" t="s">
        <v>56</v>
      </c>
      <c r="G174" s="5" t="s">
        <v>56</v>
      </c>
      <c r="H174" s="5">
        <v>14</v>
      </c>
      <c r="I174" s="5"/>
      <c r="J174" s="5">
        <f t="shared" si="22"/>
        <v>14</v>
      </c>
      <c r="K174" s="5">
        <v>200</v>
      </c>
      <c r="L174" s="8" cm="1">
        <f t="array" ref="L174">_xlfn.SWITCH(K174,200,LOOKUP(J174,embodied_original!$C$14:$N$14,embodied_original!$C$16:$N$16) + _xlfn.XLOOKUP(B174&amp;"|"&amp;E174,
        Calculate_cap_emi!$L$14:$L$21&amp;"|"&amp;Calculate_cap_emi!$I$14:$I$21,
        Calculate_cap_emi!$AG$14:$AG$21, "Not found", 0), LOOKUP(K174,embodied_original!$C$20:$D$20,embodied_original!$C$22:$D$22) + LOOKUP(J174,embodied_original!$C$14:$N$14,embodied_original!$C$16:$N$16) + _xlfn.XLOOKUP(B174&amp;"|"&amp;E174,
        Calculate_cap_emi!$L$14:$L$21&amp;"|"&amp;Calculate_cap_emi!$I$14:$I$21,
        Calculate_cap_emi!$AG$14:$AG$21, "Not found", 0))</f>
        <v>3273.2514705882354</v>
      </c>
      <c r="M174" s="8">
        <f>LOOKUP(J174,embodied_original!$C$14:$N$14,embodied_original!$C$16:$N$16)</f>
        <v>2236.3764705882354</v>
      </c>
      <c r="N174" s="8" cm="1">
        <f t="array" ref="N174">_xlfn.SWITCH(K174,200,0,LOOKUP(K174,embodied_original!$C$20:$D$20,embodied_original!$C$22:$D$22))</f>
        <v>0</v>
      </c>
      <c r="O174" s="5" cm="1">
        <f t="array" ref="O174">_xlfn.XLOOKUP(B174&amp;"|"&amp;E174,
        Calculate_cap_emi!$L$14:$L$21&amp;"|"&amp;Calculate_cap_emi!$I$14:$I$21,
        Calculate_cap_emi!$AG$14:$AG$21, "Not found", 0)</f>
        <v>1036.875</v>
      </c>
      <c r="P174" s="8">
        <f t="shared" si="23"/>
        <v>3273.2514705882354</v>
      </c>
    </row>
    <row r="175" spans="1:16" x14ac:dyDescent="0.3">
      <c r="A175" s="5"/>
      <c r="B175" s="5" t="str">
        <f t="shared" si="21"/>
        <v>Mass-H1</v>
      </c>
      <c r="C175" s="5" t="s">
        <v>38</v>
      </c>
      <c r="D175" s="5" t="str">
        <f t="shared" si="20"/>
        <v>H1</v>
      </c>
      <c r="E175" s="5" t="s">
        <v>11</v>
      </c>
      <c r="F175" s="5" t="s">
        <v>57</v>
      </c>
      <c r="G175" s="5" t="s">
        <v>57</v>
      </c>
      <c r="H175" s="5">
        <v>5</v>
      </c>
      <c r="I175" s="5"/>
      <c r="J175" s="5">
        <f t="shared" si="22"/>
        <v>5</v>
      </c>
      <c r="K175" s="5">
        <v>500</v>
      </c>
      <c r="L175" s="8" cm="1">
        <f t="array" ref="L175">_xlfn.SWITCH(K175,200,LOOKUP(J175,embodied_original!$C$14:$N$14,embodied_original!$C$16:$N$16) + _xlfn.XLOOKUP(B175&amp;"|"&amp;E175,
        Calculate_cap_emi!$L$14:$L$21&amp;"|"&amp;Calculate_cap_emi!$I$14:$I$21,
        Calculate_cap_emi!$AG$14:$AG$21, "Not found", 0), LOOKUP(K175,embodied_original!$C$20:$D$20,embodied_original!$C$22:$D$22) + LOOKUP(J175,embodied_original!$C$14:$N$14,embodied_original!$C$16:$N$16) + _xlfn.XLOOKUP(B175&amp;"|"&amp;E175,
        Calculate_cap_emi!$L$14:$L$21&amp;"|"&amp;Calculate_cap_emi!$I$14:$I$21,
        Calculate_cap_emi!$AG$14:$AG$21, "Not found", 0))</f>
        <v>3051.7969251336899</v>
      </c>
      <c r="M175" s="8">
        <f>LOOKUP(J175,embodied_original!$C$14:$N$14,embodied_original!$C$16:$N$16)</f>
        <v>1585.3764705882354</v>
      </c>
      <c r="N175" s="8" cm="1">
        <f t="array" ref="N175">_xlfn.SWITCH(K175,200,0,LOOKUP(K175,embodied_original!$C$20:$D$20,embodied_original!$C$22:$D$22))</f>
        <v>429.54545454545456</v>
      </c>
      <c r="O175" s="5" cm="1">
        <f t="array" ref="O175">_xlfn.XLOOKUP(B175&amp;"|"&amp;E175,
        Calculate_cap_emi!$L$14:$L$21&amp;"|"&amp;Calculate_cap_emi!$I$14:$I$21,
        Calculate_cap_emi!$AG$14:$AG$21, "Not found", 0)</f>
        <v>1036.875</v>
      </c>
      <c r="P175" s="8">
        <f t="shared" si="23"/>
        <v>3051.7969251336899</v>
      </c>
    </row>
    <row r="176" spans="1:16" x14ac:dyDescent="0.3">
      <c r="A176" s="5"/>
      <c r="B176" s="5" t="str">
        <f t="shared" si="21"/>
        <v>Mass-H1</v>
      </c>
      <c r="C176" s="5" t="s">
        <v>38</v>
      </c>
      <c r="D176" s="5" t="str">
        <f t="shared" si="20"/>
        <v>H1</v>
      </c>
      <c r="E176" s="5" t="s">
        <v>11</v>
      </c>
      <c r="F176" s="5" t="s">
        <v>57</v>
      </c>
      <c r="G176" s="5" t="s">
        <v>57</v>
      </c>
      <c r="H176" s="5">
        <v>6</v>
      </c>
      <c r="I176" s="5"/>
      <c r="J176" s="5">
        <f t="shared" si="22"/>
        <v>6</v>
      </c>
      <c r="K176" s="5">
        <v>500</v>
      </c>
      <c r="L176" s="8" cm="1">
        <f t="array" ref="L176">_xlfn.SWITCH(K176,200,LOOKUP(J176,embodied_original!$C$14:$N$14,embodied_original!$C$16:$N$16) + _xlfn.XLOOKUP(B176&amp;"|"&amp;E176,
        Calculate_cap_emi!$L$14:$L$21&amp;"|"&amp;Calculate_cap_emi!$I$14:$I$21,
        Calculate_cap_emi!$AG$14:$AG$21, "Not found", 0), LOOKUP(K176,embodied_original!$C$20:$D$20,embodied_original!$C$22:$D$22) + LOOKUP(J176,embodied_original!$C$14:$N$14,embodied_original!$C$16:$N$16) + _xlfn.XLOOKUP(B176&amp;"|"&amp;E176,
        Calculate_cap_emi!$L$14:$L$21&amp;"|"&amp;Calculate_cap_emi!$I$14:$I$21,
        Calculate_cap_emi!$AG$14:$AG$21, "Not found", 0))</f>
        <v>3051.7969251336899</v>
      </c>
      <c r="M176" s="8">
        <f>LOOKUP(J176,embodied_original!$C$14:$N$14,embodied_original!$C$16:$N$16)</f>
        <v>1585.3764705882354</v>
      </c>
      <c r="N176" s="8" cm="1">
        <f t="array" ref="N176">_xlfn.SWITCH(K176,200,0,LOOKUP(K176,embodied_original!$C$20:$D$20,embodied_original!$C$22:$D$22))</f>
        <v>429.54545454545456</v>
      </c>
      <c r="O176" s="5" cm="1">
        <f t="array" ref="O176">_xlfn.XLOOKUP(B176&amp;"|"&amp;E176,
        Calculate_cap_emi!$L$14:$L$21&amp;"|"&amp;Calculate_cap_emi!$I$14:$I$21,
        Calculate_cap_emi!$AG$14:$AG$21, "Not found", 0)</f>
        <v>1036.875</v>
      </c>
      <c r="P176" s="8">
        <f t="shared" si="23"/>
        <v>3051.7969251336899</v>
      </c>
    </row>
    <row r="177" spans="1:16" x14ac:dyDescent="0.3">
      <c r="A177" s="5"/>
      <c r="B177" s="5" t="str">
        <f t="shared" si="21"/>
        <v>Mass-H1</v>
      </c>
      <c r="C177" s="5" t="s">
        <v>38</v>
      </c>
      <c r="D177" s="5" t="str">
        <f t="shared" si="20"/>
        <v>H1</v>
      </c>
      <c r="E177" s="5" t="s">
        <v>11</v>
      </c>
      <c r="F177" s="5" t="s">
        <v>57</v>
      </c>
      <c r="G177" s="5" t="s">
        <v>57</v>
      </c>
      <c r="H177" s="5">
        <v>8.5</v>
      </c>
      <c r="I177" s="5"/>
      <c r="J177" s="5">
        <f t="shared" si="22"/>
        <v>9</v>
      </c>
      <c r="K177" s="5">
        <v>500</v>
      </c>
      <c r="L177" s="8" cm="1">
        <f t="array" ref="L177">_xlfn.SWITCH(K177,200,LOOKUP(J177,embodied_original!$C$14:$N$14,embodied_original!$C$16:$N$16) + _xlfn.XLOOKUP(B177&amp;"|"&amp;E177,
        Calculate_cap_emi!$L$14:$L$21&amp;"|"&amp;Calculate_cap_emi!$I$14:$I$21,
        Calculate_cap_emi!$AG$14:$AG$21, "Not found", 0), LOOKUP(K177,embodied_original!$C$20:$D$20,embodied_original!$C$22:$D$22) + LOOKUP(J177,embodied_original!$C$14:$N$14,embodied_original!$C$16:$N$16) + _xlfn.XLOOKUP(B177&amp;"|"&amp;E177,
        Calculate_cap_emi!$L$14:$L$21&amp;"|"&amp;Calculate_cap_emi!$I$14:$I$21,
        Calculate_cap_emi!$AG$14:$AG$21, "Not found", 0))</f>
        <v>3051.7969251336899</v>
      </c>
      <c r="M177" s="8">
        <f>LOOKUP(J177,embodied_original!$C$14:$N$14,embodied_original!$C$16:$N$16)</f>
        <v>1585.3764705882354</v>
      </c>
      <c r="N177" s="8" cm="1">
        <f t="array" ref="N177">_xlfn.SWITCH(K177,200,0,LOOKUP(K177,embodied_original!$C$20:$D$20,embodied_original!$C$22:$D$22))</f>
        <v>429.54545454545456</v>
      </c>
      <c r="O177" s="5" cm="1">
        <f t="array" ref="O177">_xlfn.XLOOKUP(B177&amp;"|"&amp;E177,
        Calculate_cap_emi!$L$14:$L$21&amp;"|"&amp;Calculate_cap_emi!$I$14:$I$21,
        Calculate_cap_emi!$AG$14:$AG$21, "Not found", 0)</f>
        <v>1036.875</v>
      </c>
      <c r="P177" s="8">
        <f t="shared" si="23"/>
        <v>3051.7969251336899</v>
      </c>
    </row>
    <row r="178" spans="1:16" x14ac:dyDescent="0.3">
      <c r="A178" s="5"/>
      <c r="B178" s="5" t="str">
        <f t="shared" si="21"/>
        <v>Mass-H1</v>
      </c>
      <c r="C178" s="5" t="s">
        <v>38</v>
      </c>
      <c r="D178" s="5" t="str">
        <f t="shared" si="20"/>
        <v>H1</v>
      </c>
      <c r="E178" s="5" t="s">
        <v>11</v>
      </c>
      <c r="F178" s="5" t="s">
        <v>57</v>
      </c>
      <c r="G178" s="5" t="s">
        <v>57</v>
      </c>
      <c r="H178" s="5">
        <v>14</v>
      </c>
      <c r="I178" s="5"/>
      <c r="J178" s="5">
        <f t="shared" si="22"/>
        <v>14</v>
      </c>
      <c r="K178" s="5">
        <v>500</v>
      </c>
      <c r="L178" s="8" cm="1">
        <f t="array" ref="L178">_xlfn.SWITCH(K178,200,LOOKUP(J178,embodied_original!$C$14:$N$14,embodied_original!$C$16:$N$16) + _xlfn.XLOOKUP(B178&amp;"|"&amp;E178,
        Calculate_cap_emi!$L$14:$L$21&amp;"|"&amp;Calculate_cap_emi!$I$14:$I$21,
        Calculate_cap_emi!$AG$14:$AG$21, "Not found", 0), LOOKUP(K178,embodied_original!$C$20:$D$20,embodied_original!$C$22:$D$22) + LOOKUP(J178,embodied_original!$C$14:$N$14,embodied_original!$C$16:$N$16) + _xlfn.XLOOKUP(B178&amp;"|"&amp;E178,
        Calculate_cap_emi!$L$14:$L$21&amp;"|"&amp;Calculate_cap_emi!$I$14:$I$21,
        Calculate_cap_emi!$AG$14:$AG$21, "Not found", 0))</f>
        <v>3702.7969251336899</v>
      </c>
      <c r="M178" s="8">
        <f>LOOKUP(J178,embodied_original!$C$14:$N$14,embodied_original!$C$16:$N$16)</f>
        <v>2236.3764705882354</v>
      </c>
      <c r="N178" s="8" cm="1">
        <f t="array" ref="N178">_xlfn.SWITCH(K178,200,0,LOOKUP(K178,embodied_original!$C$20:$D$20,embodied_original!$C$22:$D$22))</f>
        <v>429.54545454545456</v>
      </c>
      <c r="O178" s="5" cm="1">
        <f t="array" ref="O178">_xlfn.XLOOKUP(B178&amp;"|"&amp;E178,
        Calculate_cap_emi!$L$14:$L$21&amp;"|"&amp;Calculate_cap_emi!$I$14:$I$21,
        Calculate_cap_emi!$AG$14:$AG$21, "Not found", 0)</f>
        <v>1036.875</v>
      </c>
      <c r="P178" s="8">
        <f t="shared" si="23"/>
        <v>3702.7969251336899</v>
      </c>
    </row>
    <row r="179" spans="1:16" x14ac:dyDescent="0.3">
      <c r="A179" s="5"/>
      <c r="B179" s="5" t="str">
        <f t="shared" si="21"/>
        <v>Mass-H1</v>
      </c>
      <c r="C179" s="5" t="s">
        <v>38</v>
      </c>
      <c r="D179" s="5" t="str">
        <f t="shared" si="20"/>
        <v>H1</v>
      </c>
      <c r="E179" s="5" t="s">
        <v>11</v>
      </c>
      <c r="F179" s="5" t="s">
        <v>59</v>
      </c>
      <c r="G179" s="5" t="s">
        <v>59</v>
      </c>
      <c r="H179" s="5">
        <v>5</v>
      </c>
      <c r="I179" s="5"/>
      <c r="J179" s="5">
        <f t="shared" si="22"/>
        <v>5</v>
      </c>
      <c r="K179" s="5">
        <v>1000</v>
      </c>
      <c r="L179" s="8" cm="1">
        <f t="array" ref="L179">_xlfn.SWITCH(K179,200,LOOKUP(J179,embodied_original!$C$14:$N$14,embodied_original!$C$16:$N$16) + _xlfn.XLOOKUP(B179&amp;"|"&amp;E179,
        Calculate_cap_emi!$L$14:$L$21&amp;"|"&amp;Calculate_cap_emi!$I$14:$I$21,
        Calculate_cap_emi!$AG$14:$AG$21, "Not found", 0), LOOKUP(K179,embodied_original!$C$20:$D$20,embodied_original!$C$22:$D$22) + LOOKUP(J179,embodied_original!$C$14:$N$14,embodied_original!$C$16:$N$16) + _xlfn.XLOOKUP(B179&amp;"|"&amp;E179,
        Calculate_cap_emi!$L$14:$L$21&amp;"|"&amp;Calculate_cap_emi!$I$14:$I$21,
        Calculate_cap_emi!$AG$14:$AG$21, "Not found", 0))</f>
        <v>3767.7060160427809</v>
      </c>
      <c r="M179" s="8">
        <f>LOOKUP(J179,embodied_original!$C$14:$N$14,embodied_original!$C$16:$N$16)</f>
        <v>1585.3764705882354</v>
      </c>
      <c r="N179" s="8" cm="1">
        <f t="array" ref="N179">_xlfn.SWITCH(K179,200,0,LOOKUP(K179,embodied_original!$C$20:$D$20,embodied_original!$C$22:$D$22))</f>
        <v>1145.4545454545455</v>
      </c>
      <c r="O179" s="5" cm="1">
        <f t="array" ref="O179">_xlfn.XLOOKUP(B179&amp;"|"&amp;E179,
        Calculate_cap_emi!$L$14:$L$21&amp;"|"&amp;Calculate_cap_emi!$I$14:$I$21,
        Calculate_cap_emi!$AG$14:$AG$21, "Not found", 0)</f>
        <v>1036.875</v>
      </c>
      <c r="P179" s="8">
        <f t="shared" si="23"/>
        <v>3767.7060160427809</v>
      </c>
    </row>
    <row r="180" spans="1:16" x14ac:dyDescent="0.3">
      <c r="A180" s="5"/>
      <c r="B180" s="5" t="str">
        <f t="shared" si="21"/>
        <v>Mass-H1</v>
      </c>
      <c r="C180" s="5" t="s">
        <v>38</v>
      </c>
      <c r="D180" s="5" t="str">
        <f t="shared" si="20"/>
        <v>H1</v>
      </c>
      <c r="E180" s="5" t="s">
        <v>11</v>
      </c>
      <c r="F180" s="5" t="s">
        <v>59</v>
      </c>
      <c r="G180" s="5" t="s">
        <v>59</v>
      </c>
      <c r="H180" s="5">
        <v>6</v>
      </c>
      <c r="I180" s="5"/>
      <c r="J180" s="5">
        <f t="shared" si="22"/>
        <v>6</v>
      </c>
      <c r="K180" s="5">
        <v>1000</v>
      </c>
      <c r="L180" s="8" cm="1">
        <f t="array" ref="L180">_xlfn.SWITCH(K180,200,LOOKUP(J180,embodied_original!$C$14:$N$14,embodied_original!$C$16:$N$16) + _xlfn.XLOOKUP(B180&amp;"|"&amp;E180,
        Calculate_cap_emi!$L$14:$L$21&amp;"|"&amp;Calculate_cap_emi!$I$14:$I$21,
        Calculate_cap_emi!$AG$14:$AG$21, "Not found", 0), LOOKUP(K180,embodied_original!$C$20:$D$20,embodied_original!$C$22:$D$22) + LOOKUP(J180,embodied_original!$C$14:$N$14,embodied_original!$C$16:$N$16) + _xlfn.XLOOKUP(B180&amp;"|"&amp;E180,
        Calculate_cap_emi!$L$14:$L$21&amp;"|"&amp;Calculate_cap_emi!$I$14:$I$21,
        Calculate_cap_emi!$AG$14:$AG$21, "Not found", 0))</f>
        <v>3767.7060160427809</v>
      </c>
      <c r="M180" s="8">
        <f>LOOKUP(J180,embodied_original!$C$14:$N$14,embodied_original!$C$16:$N$16)</f>
        <v>1585.3764705882354</v>
      </c>
      <c r="N180" s="8" cm="1">
        <f t="array" ref="N180">_xlfn.SWITCH(K180,200,0,LOOKUP(K180,embodied_original!$C$20:$D$20,embodied_original!$C$22:$D$22))</f>
        <v>1145.4545454545455</v>
      </c>
      <c r="O180" s="5" cm="1">
        <f t="array" ref="O180">_xlfn.XLOOKUP(B180&amp;"|"&amp;E180,
        Calculate_cap_emi!$L$14:$L$21&amp;"|"&amp;Calculate_cap_emi!$I$14:$I$21,
        Calculate_cap_emi!$AG$14:$AG$21, "Not found", 0)</f>
        <v>1036.875</v>
      </c>
      <c r="P180" s="8">
        <f t="shared" si="23"/>
        <v>3767.7060160427809</v>
      </c>
    </row>
    <row r="181" spans="1:16" x14ac:dyDescent="0.3">
      <c r="A181" s="5"/>
      <c r="B181" s="5" t="str">
        <f t="shared" si="21"/>
        <v>Mass-H1</v>
      </c>
      <c r="C181" s="5" t="s">
        <v>38</v>
      </c>
      <c r="D181" s="5" t="str">
        <f t="shared" si="20"/>
        <v>H1</v>
      </c>
      <c r="E181" s="5" t="s">
        <v>11</v>
      </c>
      <c r="F181" s="5" t="s">
        <v>59</v>
      </c>
      <c r="G181" s="5" t="s">
        <v>59</v>
      </c>
      <c r="H181" s="5">
        <v>8.5</v>
      </c>
      <c r="I181" s="5"/>
      <c r="J181" s="5">
        <f t="shared" si="22"/>
        <v>9</v>
      </c>
      <c r="K181" s="5">
        <v>1000</v>
      </c>
      <c r="L181" s="8" cm="1">
        <f t="array" ref="L181">_xlfn.SWITCH(K181,200,LOOKUP(J181,embodied_original!$C$14:$N$14,embodied_original!$C$16:$N$16) + _xlfn.XLOOKUP(B181&amp;"|"&amp;E181,
        Calculate_cap_emi!$L$14:$L$21&amp;"|"&amp;Calculate_cap_emi!$I$14:$I$21,
        Calculate_cap_emi!$AG$14:$AG$21, "Not found", 0), LOOKUP(K181,embodied_original!$C$20:$D$20,embodied_original!$C$22:$D$22) + LOOKUP(J181,embodied_original!$C$14:$N$14,embodied_original!$C$16:$N$16) + _xlfn.XLOOKUP(B181&amp;"|"&amp;E181,
        Calculate_cap_emi!$L$14:$L$21&amp;"|"&amp;Calculate_cap_emi!$I$14:$I$21,
        Calculate_cap_emi!$AG$14:$AG$21, "Not found", 0))</f>
        <v>3767.7060160427809</v>
      </c>
      <c r="M181" s="8">
        <f>LOOKUP(J181,embodied_original!$C$14:$N$14,embodied_original!$C$16:$N$16)</f>
        <v>1585.3764705882354</v>
      </c>
      <c r="N181" s="8" cm="1">
        <f t="array" ref="N181">_xlfn.SWITCH(K181,200,0,LOOKUP(K181,embodied_original!$C$20:$D$20,embodied_original!$C$22:$D$22))</f>
        <v>1145.4545454545455</v>
      </c>
      <c r="O181" s="5" cm="1">
        <f t="array" ref="O181">_xlfn.XLOOKUP(B181&amp;"|"&amp;E181,
        Calculate_cap_emi!$L$14:$L$21&amp;"|"&amp;Calculate_cap_emi!$I$14:$I$21,
        Calculate_cap_emi!$AG$14:$AG$21, "Not found", 0)</f>
        <v>1036.875</v>
      </c>
      <c r="P181" s="8">
        <f t="shared" si="23"/>
        <v>3767.7060160427809</v>
      </c>
    </row>
    <row r="182" spans="1:16" x14ac:dyDescent="0.3">
      <c r="A182" s="5"/>
      <c r="B182" s="5" t="str">
        <f t="shared" si="21"/>
        <v>Mass-H1</v>
      </c>
      <c r="C182" s="5" t="s">
        <v>38</v>
      </c>
      <c r="D182" s="5" t="str">
        <f t="shared" si="20"/>
        <v>H1</v>
      </c>
      <c r="E182" s="5" t="s">
        <v>11</v>
      </c>
      <c r="F182" s="5" t="s">
        <v>59</v>
      </c>
      <c r="G182" s="5" t="s">
        <v>59</v>
      </c>
      <c r="H182" s="5">
        <v>11.2</v>
      </c>
      <c r="I182" s="5"/>
      <c r="J182" s="5">
        <f t="shared" si="22"/>
        <v>12</v>
      </c>
      <c r="K182" s="5">
        <v>1000</v>
      </c>
      <c r="L182" s="8" cm="1">
        <f t="array" ref="L182">_xlfn.SWITCH(K182,200,LOOKUP(J182,embodied_original!$C$14:$N$14,embodied_original!$C$16:$N$16) + _xlfn.XLOOKUP(B182&amp;"|"&amp;E182,
        Calculate_cap_emi!$L$14:$L$21&amp;"|"&amp;Calculate_cap_emi!$I$14:$I$21,
        Calculate_cap_emi!$AG$14:$AG$21, "Not found", 0), LOOKUP(K182,embodied_original!$C$20:$D$20,embodied_original!$C$22:$D$22) + LOOKUP(J182,embodied_original!$C$14:$N$14,embodied_original!$C$16:$N$16) + _xlfn.XLOOKUP(B182&amp;"|"&amp;E182,
        Calculate_cap_emi!$L$14:$L$21&amp;"|"&amp;Calculate_cap_emi!$I$14:$I$21,
        Calculate_cap_emi!$AG$14:$AG$21, "Not found", 0))</f>
        <v>4227.2354278074872</v>
      </c>
      <c r="M182" s="8">
        <f>LOOKUP(J182,embodied_original!$C$14:$N$14,embodied_original!$C$16:$N$16)</f>
        <v>2044.9058823529413</v>
      </c>
      <c r="N182" s="8" cm="1">
        <f t="array" ref="N182">_xlfn.SWITCH(K182,200,0,LOOKUP(K182,embodied_original!$C$20:$D$20,embodied_original!$C$22:$D$22))</f>
        <v>1145.4545454545455</v>
      </c>
      <c r="O182" s="5" cm="1">
        <f t="array" ref="O182">_xlfn.XLOOKUP(B182&amp;"|"&amp;E182,
        Calculate_cap_emi!$L$14:$L$21&amp;"|"&amp;Calculate_cap_emi!$I$14:$I$21,
        Calculate_cap_emi!$AG$14:$AG$21, "Not found", 0)</f>
        <v>1036.875</v>
      </c>
      <c r="P182" s="8">
        <f t="shared" si="23"/>
        <v>4227.2354278074872</v>
      </c>
    </row>
    <row r="183" spans="1:16" x14ac:dyDescent="0.3">
      <c r="A183" s="5"/>
      <c r="B183" s="5" t="str">
        <f t="shared" si="21"/>
        <v>Mass-H1</v>
      </c>
      <c r="C183" s="5" t="s">
        <v>38</v>
      </c>
      <c r="D183" s="5" t="str">
        <f t="shared" si="20"/>
        <v>H1</v>
      </c>
      <c r="E183" s="5" t="s">
        <v>11</v>
      </c>
      <c r="F183" s="5" t="s">
        <v>59</v>
      </c>
      <c r="G183" s="5" t="s">
        <v>59</v>
      </c>
      <c r="H183" s="5">
        <v>14</v>
      </c>
      <c r="I183" s="5"/>
      <c r="J183" s="5">
        <f t="shared" si="22"/>
        <v>14</v>
      </c>
      <c r="K183" s="5">
        <v>1000</v>
      </c>
      <c r="L183" s="8" cm="1">
        <f t="array" ref="L183">_xlfn.SWITCH(K183,200,LOOKUP(J183,embodied_original!$C$14:$N$14,embodied_original!$C$16:$N$16) + _xlfn.XLOOKUP(B183&amp;"|"&amp;E183,
        Calculate_cap_emi!$L$14:$L$21&amp;"|"&amp;Calculate_cap_emi!$I$14:$I$21,
        Calculate_cap_emi!$AG$14:$AG$21, "Not found", 0), LOOKUP(K183,embodied_original!$C$20:$D$20,embodied_original!$C$22:$D$22) + LOOKUP(J183,embodied_original!$C$14:$N$14,embodied_original!$C$16:$N$16) + _xlfn.XLOOKUP(B183&amp;"|"&amp;E183,
        Calculate_cap_emi!$L$14:$L$21&amp;"|"&amp;Calculate_cap_emi!$I$14:$I$21,
        Calculate_cap_emi!$AG$14:$AG$21, "Not found", 0))</f>
        <v>4418.7060160427809</v>
      </c>
      <c r="M183" s="8">
        <f>LOOKUP(J183,embodied_original!$C$14:$N$14,embodied_original!$C$16:$N$16)</f>
        <v>2236.3764705882354</v>
      </c>
      <c r="N183" s="8" cm="1">
        <f t="array" ref="N183">_xlfn.SWITCH(K183,200,0,LOOKUP(K183,embodied_original!$C$20:$D$20,embodied_original!$C$22:$D$22))</f>
        <v>1145.4545454545455</v>
      </c>
      <c r="O183" s="5" cm="1">
        <f t="array" ref="O183">_xlfn.XLOOKUP(B183&amp;"|"&amp;E183,
        Calculate_cap_emi!$L$14:$L$21&amp;"|"&amp;Calculate_cap_emi!$I$14:$I$21,
        Calculate_cap_emi!$AG$14:$AG$21, "Not found", 0)</f>
        <v>1036.875</v>
      </c>
      <c r="P183" s="8">
        <f t="shared" si="23"/>
        <v>4418.7060160427809</v>
      </c>
    </row>
    <row r="184" spans="1:16" x14ac:dyDescent="0.3">
      <c r="A184" s="5"/>
      <c r="B184" s="5" t="str">
        <f t="shared" si="21"/>
        <v>Mod-H1</v>
      </c>
      <c r="C184" s="5" t="s">
        <v>39</v>
      </c>
      <c r="D184" s="5" t="str">
        <f t="shared" si="20"/>
        <v>H1</v>
      </c>
      <c r="E184" s="5" t="s">
        <v>11</v>
      </c>
      <c r="F184" s="5" t="s">
        <v>56</v>
      </c>
      <c r="G184" s="5" t="s">
        <v>56</v>
      </c>
      <c r="H184" s="5">
        <v>8.5</v>
      </c>
      <c r="I184" s="5"/>
      <c r="J184" s="5">
        <f t="shared" si="22"/>
        <v>9</v>
      </c>
      <c r="K184" s="5">
        <v>200</v>
      </c>
      <c r="L184" s="8" cm="1">
        <f t="array" ref="L184">_xlfn.SWITCH(K184,200,LOOKUP(J184,embodied_original!$C$14:$N$14,embodied_original!$C$16:$N$16) + _xlfn.XLOOKUP(B184&amp;"|"&amp;E184,
        Calculate_cap_emi!$L$14:$L$21&amp;"|"&amp;Calculate_cap_emi!$I$14:$I$21,
        Calculate_cap_emi!$AG$14:$AG$21, "Not found", 0), LOOKUP(K184,embodied_original!$C$20:$D$20,embodied_original!$C$22:$D$22) + LOOKUP(J184,embodied_original!$C$14:$N$14,embodied_original!$C$16:$N$16) + _xlfn.XLOOKUP(B184&amp;"|"&amp;E184,
        Calculate_cap_emi!$L$14:$L$21&amp;"|"&amp;Calculate_cap_emi!$I$14:$I$21,
        Calculate_cap_emi!$AG$14:$AG$21, "Not found", 0))</f>
        <v>3239.1264705882354</v>
      </c>
      <c r="M184" s="8">
        <f>LOOKUP(J184,embodied_original!$C$14:$N$14,embodied_original!$C$16:$N$16)</f>
        <v>1585.3764705882354</v>
      </c>
      <c r="N184" s="8" cm="1">
        <f t="array" ref="N184">_xlfn.SWITCH(K184,200,0,LOOKUP(K184,embodied_original!$C$20:$D$20,embodied_original!$C$22:$D$22))</f>
        <v>0</v>
      </c>
      <c r="O184" s="5" cm="1">
        <f t="array" ref="O184">_xlfn.XLOOKUP(B184&amp;"|"&amp;E184,
        Calculate_cap_emi!$L$14:$L$21&amp;"|"&amp;Calculate_cap_emi!$I$14:$I$21,
        Calculate_cap_emi!$AG$14:$AG$21, "Not found", 0)</f>
        <v>1653.75</v>
      </c>
      <c r="P184" s="8">
        <f t="shared" si="23"/>
        <v>3239.1264705882354</v>
      </c>
    </row>
    <row r="185" spans="1:16" x14ac:dyDescent="0.3">
      <c r="A185" s="5"/>
      <c r="B185" s="5" t="str">
        <f t="shared" si="21"/>
        <v>Mod-H1</v>
      </c>
      <c r="C185" s="5" t="s">
        <v>39</v>
      </c>
      <c r="D185" s="5" t="str">
        <f t="shared" si="20"/>
        <v>H1</v>
      </c>
      <c r="E185" s="5" t="s">
        <v>11</v>
      </c>
      <c r="F185" s="5" t="s">
        <v>56</v>
      </c>
      <c r="G185" s="5" t="s">
        <v>56</v>
      </c>
      <c r="H185" s="5">
        <v>11.2</v>
      </c>
      <c r="I185" s="5"/>
      <c r="J185" s="5">
        <f t="shared" si="22"/>
        <v>12</v>
      </c>
      <c r="K185" s="5">
        <v>200</v>
      </c>
      <c r="L185" s="8" cm="1">
        <f t="array" ref="L185">_xlfn.SWITCH(K185,200,LOOKUP(J185,embodied_original!$C$14:$N$14,embodied_original!$C$16:$N$16) + _xlfn.XLOOKUP(B185&amp;"|"&amp;E185,
        Calculate_cap_emi!$L$14:$L$21&amp;"|"&amp;Calculate_cap_emi!$I$14:$I$21,
        Calculate_cap_emi!$AG$14:$AG$21, "Not found", 0), LOOKUP(K185,embodied_original!$C$20:$D$20,embodied_original!$C$22:$D$22) + LOOKUP(J185,embodied_original!$C$14:$N$14,embodied_original!$C$16:$N$16) + _xlfn.XLOOKUP(B185&amp;"|"&amp;E185,
        Calculate_cap_emi!$L$14:$L$21&amp;"|"&amp;Calculate_cap_emi!$I$14:$I$21,
        Calculate_cap_emi!$AG$14:$AG$21, "Not found", 0))</f>
        <v>3698.6558823529413</v>
      </c>
      <c r="M185" s="8">
        <f>LOOKUP(J185,embodied_original!$C$14:$N$14,embodied_original!$C$16:$N$16)</f>
        <v>2044.9058823529413</v>
      </c>
      <c r="N185" s="8" cm="1">
        <f t="array" ref="N185">_xlfn.SWITCH(K185,200,0,LOOKUP(K185,embodied_original!$C$20:$D$20,embodied_original!$C$22:$D$22))</f>
        <v>0</v>
      </c>
      <c r="O185" s="5" cm="1">
        <f t="array" ref="O185">_xlfn.XLOOKUP(B185&amp;"|"&amp;E185,
        Calculate_cap_emi!$L$14:$L$21&amp;"|"&amp;Calculate_cap_emi!$I$14:$I$21,
        Calculate_cap_emi!$AG$14:$AG$21, "Not found", 0)</f>
        <v>1653.75</v>
      </c>
      <c r="P185" s="8">
        <f t="shared" si="23"/>
        <v>3698.6558823529413</v>
      </c>
    </row>
    <row r="186" spans="1:16" x14ac:dyDescent="0.3">
      <c r="A186" s="5"/>
      <c r="B186" s="5" t="str">
        <f t="shared" si="21"/>
        <v>Mod-H1</v>
      </c>
      <c r="C186" s="5" t="s">
        <v>39</v>
      </c>
      <c r="D186" s="5" t="str">
        <f t="shared" si="20"/>
        <v>H1</v>
      </c>
      <c r="E186" s="5" t="s">
        <v>11</v>
      </c>
      <c r="F186" s="5" t="s">
        <v>56</v>
      </c>
      <c r="G186" s="5" t="s">
        <v>56</v>
      </c>
      <c r="H186" s="5">
        <v>14</v>
      </c>
      <c r="I186" s="5"/>
      <c r="J186" s="5">
        <f t="shared" si="22"/>
        <v>14</v>
      </c>
      <c r="K186" s="5">
        <v>200</v>
      </c>
      <c r="L186" s="8" cm="1">
        <f t="array" ref="L186">_xlfn.SWITCH(K186,200,LOOKUP(J186,embodied_original!$C$14:$N$14,embodied_original!$C$16:$N$16) + _xlfn.XLOOKUP(B186&amp;"|"&amp;E186,
        Calculate_cap_emi!$L$14:$L$21&amp;"|"&amp;Calculate_cap_emi!$I$14:$I$21,
        Calculate_cap_emi!$AG$14:$AG$21, "Not found", 0), LOOKUP(K186,embodied_original!$C$20:$D$20,embodied_original!$C$22:$D$22) + LOOKUP(J186,embodied_original!$C$14:$N$14,embodied_original!$C$16:$N$16) + _xlfn.XLOOKUP(B186&amp;"|"&amp;E186,
        Calculate_cap_emi!$L$14:$L$21&amp;"|"&amp;Calculate_cap_emi!$I$14:$I$21,
        Calculate_cap_emi!$AG$14:$AG$21, "Not found", 0))</f>
        <v>3890.1264705882354</v>
      </c>
      <c r="M186" s="8">
        <f>LOOKUP(J186,embodied_original!$C$14:$N$14,embodied_original!$C$16:$N$16)</f>
        <v>2236.3764705882354</v>
      </c>
      <c r="N186" s="8" cm="1">
        <f t="array" ref="N186">_xlfn.SWITCH(K186,200,0,LOOKUP(K186,embodied_original!$C$20:$D$20,embodied_original!$C$22:$D$22))</f>
        <v>0</v>
      </c>
      <c r="O186" s="5" cm="1">
        <f t="array" ref="O186">_xlfn.XLOOKUP(B186&amp;"|"&amp;E186,
        Calculate_cap_emi!$L$14:$L$21&amp;"|"&amp;Calculate_cap_emi!$I$14:$I$21,
        Calculate_cap_emi!$AG$14:$AG$21, "Not found", 0)</f>
        <v>1653.75</v>
      </c>
      <c r="P186" s="8">
        <f t="shared" si="23"/>
        <v>3890.1264705882354</v>
      </c>
    </row>
    <row r="187" spans="1:16" x14ac:dyDescent="0.3">
      <c r="A187" s="5"/>
      <c r="B187" s="5" t="str">
        <f>CONCATENATE(C187, "-", "H1")</f>
        <v>Mod-H1</v>
      </c>
      <c r="C187" s="5" t="s">
        <v>39</v>
      </c>
      <c r="D187" s="5" t="str">
        <f>_xlfn.TEXTAFTER(B187, "-", 1)</f>
        <v>H1</v>
      </c>
      <c r="E187" s="5" t="s">
        <v>11</v>
      </c>
      <c r="F187" s="5" t="s">
        <v>57</v>
      </c>
      <c r="G187" s="5" t="s">
        <v>57</v>
      </c>
      <c r="H187" s="5">
        <v>5</v>
      </c>
      <c r="I187" s="5"/>
      <c r="J187" s="5">
        <f t="shared" si="22"/>
        <v>5</v>
      </c>
      <c r="K187" s="5">
        <v>500</v>
      </c>
      <c r="L187" s="8" cm="1">
        <f t="array" ref="L187">_xlfn.SWITCH(K187,200,LOOKUP(J187,embodied_original!$C$14:$N$14,embodied_original!$C$16:$N$16) + _xlfn.XLOOKUP(B187&amp;"|"&amp;E187,
        Calculate_cap_emi!$L$14:$L$21&amp;"|"&amp;Calculate_cap_emi!$I$14:$I$21,
        Calculate_cap_emi!$AG$14:$AG$21, "Not found", 0), LOOKUP(K187,embodied_original!$C$20:$D$20,embodied_original!$C$22:$D$22) + LOOKUP(J187,embodied_original!$C$14:$N$14,embodied_original!$C$16:$N$16) + _xlfn.XLOOKUP(B187&amp;"|"&amp;E187,
        Calculate_cap_emi!$L$14:$L$21&amp;"|"&amp;Calculate_cap_emi!$I$14:$I$21,
        Calculate_cap_emi!$AG$14:$AG$21, "Not found", 0))</f>
        <v>3668.6719251336899</v>
      </c>
      <c r="M187" s="8">
        <f>LOOKUP(J187,embodied_original!$C$14:$N$14,embodied_original!$C$16:$N$16)</f>
        <v>1585.3764705882354</v>
      </c>
      <c r="N187" s="8" cm="1">
        <f t="array" ref="N187">_xlfn.SWITCH(K187,200,0,LOOKUP(K187,embodied_original!$C$20:$D$20,embodied_original!$C$22:$D$22))</f>
        <v>429.54545454545456</v>
      </c>
      <c r="O187" s="5" cm="1">
        <f t="array" ref="O187">_xlfn.XLOOKUP(B187&amp;"|"&amp;E187,
        Calculate_cap_emi!$L$14:$L$21&amp;"|"&amp;Calculate_cap_emi!$I$14:$I$21,
        Calculate_cap_emi!$AG$14:$AG$21, "Not found", 0)</f>
        <v>1653.75</v>
      </c>
      <c r="P187" s="8">
        <f t="shared" si="23"/>
        <v>3668.6719251336899</v>
      </c>
    </row>
    <row r="188" spans="1:16" x14ac:dyDescent="0.3">
      <c r="A188" s="5"/>
      <c r="B188" s="5" t="str">
        <f t="shared" ref="B188:B195" si="24">CONCATENATE(C188, "-", "H1")</f>
        <v>Mod-H1</v>
      </c>
      <c r="C188" s="5" t="s">
        <v>39</v>
      </c>
      <c r="D188" s="5" t="str">
        <f t="shared" si="20"/>
        <v>H1</v>
      </c>
      <c r="E188" s="5" t="s">
        <v>11</v>
      </c>
      <c r="F188" s="5" t="s">
        <v>57</v>
      </c>
      <c r="G188" s="5" t="s">
        <v>57</v>
      </c>
      <c r="H188" s="5">
        <v>6</v>
      </c>
      <c r="I188" s="5"/>
      <c r="J188" s="5">
        <f t="shared" si="22"/>
        <v>6</v>
      </c>
      <c r="K188" s="5">
        <v>500</v>
      </c>
      <c r="L188" s="8" cm="1">
        <f t="array" ref="L188">_xlfn.SWITCH(K188,200,LOOKUP(J188,embodied_original!$C$14:$N$14,embodied_original!$C$16:$N$16) + _xlfn.XLOOKUP(B188&amp;"|"&amp;E188,
        Calculate_cap_emi!$L$14:$L$21&amp;"|"&amp;Calculate_cap_emi!$I$14:$I$21,
        Calculate_cap_emi!$AG$14:$AG$21, "Not found", 0), LOOKUP(K188,embodied_original!$C$20:$D$20,embodied_original!$C$22:$D$22) + LOOKUP(J188,embodied_original!$C$14:$N$14,embodied_original!$C$16:$N$16) + _xlfn.XLOOKUP(B188&amp;"|"&amp;E188,
        Calculate_cap_emi!$L$14:$L$21&amp;"|"&amp;Calculate_cap_emi!$I$14:$I$21,
        Calculate_cap_emi!$AG$14:$AG$21, "Not found", 0))</f>
        <v>3668.6719251336899</v>
      </c>
      <c r="M188" s="8">
        <f>LOOKUP(J188,embodied_original!$C$14:$N$14,embodied_original!$C$16:$N$16)</f>
        <v>1585.3764705882354</v>
      </c>
      <c r="N188" s="8" cm="1">
        <f t="array" ref="N188">_xlfn.SWITCH(K188,200,0,LOOKUP(K188,embodied_original!$C$20:$D$20,embodied_original!$C$22:$D$22))</f>
        <v>429.54545454545456</v>
      </c>
      <c r="O188" s="5" cm="1">
        <f t="array" ref="O188">_xlfn.XLOOKUP(B188&amp;"|"&amp;E188,
        Calculate_cap_emi!$L$14:$L$21&amp;"|"&amp;Calculate_cap_emi!$I$14:$I$21,
        Calculate_cap_emi!$AG$14:$AG$21, "Not found", 0)</f>
        <v>1653.75</v>
      </c>
      <c r="P188" s="8">
        <f t="shared" si="23"/>
        <v>3668.6719251336899</v>
      </c>
    </row>
    <row r="189" spans="1:16" x14ac:dyDescent="0.3">
      <c r="A189" s="5"/>
      <c r="B189" s="5" t="str">
        <f t="shared" si="24"/>
        <v>Mod-H1</v>
      </c>
      <c r="C189" s="5" t="s">
        <v>39</v>
      </c>
      <c r="D189" s="5" t="str">
        <f t="shared" si="20"/>
        <v>H1</v>
      </c>
      <c r="E189" s="5" t="s">
        <v>11</v>
      </c>
      <c r="F189" s="5" t="s">
        <v>57</v>
      </c>
      <c r="G189" s="5" t="s">
        <v>57</v>
      </c>
      <c r="H189" s="5">
        <v>8.5</v>
      </c>
      <c r="I189" s="5"/>
      <c r="J189" s="5">
        <f t="shared" si="22"/>
        <v>9</v>
      </c>
      <c r="K189" s="5">
        <v>500</v>
      </c>
      <c r="L189" s="8" cm="1">
        <f t="array" ref="L189">_xlfn.SWITCH(K189,200,LOOKUP(J189,embodied_original!$C$14:$N$14,embodied_original!$C$16:$N$16) + _xlfn.XLOOKUP(B189&amp;"|"&amp;E189,
        Calculate_cap_emi!$L$14:$L$21&amp;"|"&amp;Calculate_cap_emi!$I$14:$I$21,
        Calculate_cap_emi!$AG$14:$AG$21, "Not found", 0), LOOKUP(K189,embodied_original!$C$20:$D$20,embodied_original!$C$22:$D$22) + LOOKUP(J189,embodied_original!$C$14:$N$14,embodied_original!$C$16:$N$16) + _xlfn.XLOOKUP(B189&amp;"|"&amp;E189,
        Calculate_cap_emi!$L$14:$L$21&amp;"|"&amp;Calculate_cap_emi!$I$14:$I$21,
        Calculate_cap_emi!$AG$14:$AG$21, "Not found", 0))</f>
        <v>3668.6719251336899</v>
      </c>
      <c r="M189" s="8">
        <f>LOOKUP(J189,embodied_original!$C$14:$N$14,embodied_original!$C$16:$N$16)</f>
        <v>1585.3764705882354</v>
      </c>
      <c r="N189" s="8" cm="1">
        <f t="array" ref="N189">_xlfn.SWITCH(K189,200,0,LOOKUP(K189,embodied_original!$C$20:$D$20,embodied_original!$C$22:$D$22))</f>
        <v>429.54545454545456</v>
      </c>
      <c r="O189" s="5" cm="1">
        <f t="array" ref="O189">_xlfn.XLOOKUP(B189&amp;"|"&amp;E189,
        Calculate_cap_emi!$L$14:$L$21&amp;"|"&amp;Calculate_cap_emi!$I$14:$I$21,
        Calculate_cap_emi!$AG$14:$AG$21, "Not found", 0)</f>
        <v>1653.75</v>
      </c>
      <c r="P189" s="8">
        <f t="shared" si="23"/>
        <v>3668.6719251336899</v>
      </c>
    </row>
    <row r="190" spans="1:16" x14ac:dyDescent="0.3">
      <c r="A190" s="5"/>
      <c r="B190" s="5" t="str">
        <f t="shared" si="24"/>
        <v>Mod-H1</v>
      </c>
      <c r="C190" s="5" t="s">
        <v>39</v>
      </c>
      <c r="D190" s="5" t="str">
        <f>_xlfn.TEXTAFTER(B190, "-", 1)</f>
        <v>H1</v>
      </c>
      <c r="E190" s="5" t="s">
        <v>11</v>
      </c>
      <c r="F190" s="5" t="s">
        <v>57</v>
      </c>
      <c r="G190" s="5" t="s">
        <v>57</v>
      </c>
      <c r="H190" s="5">
        <v>14</v>
      </c>
      <c r="I190" s="5"/>
      <c r="J190" s="5">
        <f t="shared" si="22"/>
        <v>14</v>
      </c>
      <c r="K190" s="5">
        <v>500</v>
      </c>
      <c r="L190" s="8" cm="1">
        <f t="array" ref="L190">_xlfn.SWITCH(K190,200,LOOKUP(J190,embodied_original!$C$14:$N$14,embodied_original!$C$16:$N$16) + _xlfn.XLOOKUP(B190&amp;"|"&amp;E190,
        Calculate_cap_emi!$L$14:$L$21&amp;"|"&amp;Calculate_cap_emi!$I$14:$I$21,
        Calculate_cap_emi!$AG$14:$AG$21, "Not found", 0), LOOKUP(K190,embodied_original!$C$20:$D$20,embodied_original!$C$22:$D$22) + LOOKUP(J190,embodied_original!$C$14:$N$14,embodied_original!$C$16:$N$16) + _xlfn.XLOOKUP(B190&amp;"|"&amp;E190,
        Calculate_cap_emi!$L$14:$L$21&amp;"|"&amp;Calculate_cap_emi!$I$14:$I$21,
        Calculate_cap_emi!$AG$14:$AG$21, "Not found", 0))</f>
        <v>4319.6719251336899</v>
      </c>
      <c r="M190" s="8">
        <f>LOOKUP(J190,embodied_original!$C$14:$N$14,embodied_original!$C$16:$N$16)</f>
        <v>2236.3764705882354</v>
      </c>
      <c r="N190" s="8" cm="1">
        <f t="array" ref="N190">_xlfn.SWITCH(K190,200,0,LOOKUP(K190,embodied_original!$C$20:$D$20,embodied_original!$C$22:$D$22))</f>
        <v>429.54545454545456</v>
      </c>
      <c r="O190" s="5" cm="1">
        <f t="array" ref="O190">_xlfn.XLOOKUP(B190&amp;"|"&amp;E190,
        Calculate_cap_emi!$L$14:$L$21&amp;"|"&amp;Calculate_cap_emi!$I$14:$I$21,
        Calculate_cap_emi!$AG$14:$AG$21, "Not found", 0)</f>
        <v>1653.75</v>
      </c>
      <c r="P190" s="8">
        <f t="shared" si="23"/>
        <v>4319.6719251336899</v>
      </c>
    </row>
    <row r="191" spans="1:16" x14ac:dyDescent="0.3">
      <c r="A191" s="5"/>
      <c r="B191" s="5" t="str">
        <f t="shared" si="24"/>
        <v>Mod-H1</v>
      </c>
      <c r="C191" s="5" t="s">
        <v>39</v>
      </c>
      <c r="D191" s="5" t="str">
        <f t="shared" si="20"/>
        <v>H1</v>
      </c>
      <c r="E191" s="5" t="s">
        <v>11</v>
      </c>
      <c r="F191" s="5" t="s">
        <v>59</v>
      </c>
      <c r="G191" s="5" t="s">
        <v>59</v>
      </c>
      <c r="H191" s="5">
        <v>5</v>
      </c>
      <c r="I191" s="5"/>
      <c r="J191" s="5">
        <f t="shared" si="22"/>
        <v>5</v>
      </c>
      <c r="K191" s="5">
        <v>1000</v>
      </c>
      <c r="L191" s="8" cm="1">
        <f t="array" ref="L191">_xlfn.SWITCH(K191,200,LOOKUP(J191,embodied_original!$C$14:$N$14,embodied_original!$C$16:$N$16) + _xlfn.XLOOKUP(B191&amp;"|"&amp;E191,
        Calculate_cap_emi!$L$14:$L$21&amp;"|"&amp;Calculate_cap_emi!$I$14:$I$21,
        Calculate_cap_emi!$AG$14:$AG$21, "Not found", 0), LOOKUP(K191,embodied_original!$C$20:$D$20,embodied_original!$C$22:$D$22) + LOOKUP(J191,embodied_original!$C$14:$N$14,embodied_original!$C$16:$N$16) + _xlfn.XLOOKUP(B191&amp;"|"&amp;E191,
        Calculate_cap_emi!$L$14:$L$21&amp;"|"&amp;Calculate_cap_emi!$I$14:$I$21,
        Calculate_cap_emi!$AG$14:$AG$21, "Not found", 0))</f>
        <v>4384.5810160427809</v>
      </c>
      <c r="M191" s="8">
        <f>LOOKUP(J191,embodied_original!$C$14:$N$14,embodied_original!$C$16:$N$16)</f>
        <v>1585.3764705882354</v>
      </c>
      <c r="N191" s="8" cm="1">
        <f t="array" ref="N191">_xlfn.SWITCH(K191,200,0,LOOKUP(K191,embodied_original!$C$20:$D$20,embodied_original!$C$22:$D$22))</f>
        <v>1145.4545454545455</v>
      </c>
      <c r="O191" s="5" cm="1">
        <f t="array" ref="O191">_xlfn.XLOOKUP(B191&amp;"|"&amp;E191,
        Calculate_cap_emi!$L$14:$L$21&amp;"|"&amp;Calculate_cap_emi!$I$14:$I$21,
        Calculate_cap_emi!$AG$14:$AG$21, "Not found", 0)</f>
        <v>1653.75</v>
      </c>
      <c r="P191" s="8">
        <f t="shared" si="23"/>
        <v>4384.5810160427809</v>
      </c>
    </row>
    <row r="192" spans="1:16" x14ac:dyDescent="0.3">
      <c r="A192" s="5"/>
      <c r="B192" s="5" t="str">
        <f t="shared" si="24"/>
        <v>Mod-H1</v>
      </c>
      <c r="C192" s="5" t="s">
        <v>39</v>
      </c>
      <c r="D192" s="5" t="str">
        <f t="shared" si="20"/>
        <v>H1</v>
      </c>
      <c r="E192" s="5" t="s">
        <v>11</v>
      </c>
      <c r="F192" s="5" t="s">
        <v>59</v>
      </c>
      <c r="G192" s="5" t="s">
        <v>59</v>
      </c>
      <c r="H192" s="5">
        <v>6</v>
      </c>
      <c r="I192" s="5"/>
      <c r="J192" s="5">
        <f t="shared" si="22"/>
        <v>6</v>
      </c>
      <c r="K192" s="5">
        <v>1000</v>
      </c>
      <c r="L192" s="8" cm="1">
        <f t="array" ref="L192">_xlfn.SWITCH(K192,200,LOOKUP(J192,embodied_original!$C$14:$N$14,embodied_original!$C$16:$N$16) + _xlfn.XLOOKUP(B192&amp;"|"&amp;E192,
        Calculate_cap_emi!$L$14:$L$21&amp;"|"&amp;Calculate_cap_emi!$I$14:$I$21,
        Calculate_cap_emi!$AG$14:$AG$21, "Not found", 0), LOOKUP(K192,embodied_original!$C$20:$D$20,embodied_original!$C$22:$D$22) + LOOKUP(J192,embodied_original!$C$14:$N$14,embodied_original!$C$16:$N$16) + _xlfn.XLOOKUP(B192&amp;"|"&amp;E192,
        Calculate_cap_emi!$L$14:$L$21&amp;"|"&amp;Calculate_cap_emi!$I$14:$I$21,
        Calculate_cap_emi!$AG$14:$AG$21, "Not found", 0))</f>
        <v>4384.5810160427809</v>
      </c>
      <c r="M192" s="8">
        <f>LOOKUP(J192,embodied_original!$C$14:$N$14,embodied_original!$C$16:$N$16)</f>
        <v>1585.3764705882354</v>
      </c>
      <c r="N192" s="8" cm="1">
        <f t="array" ref="N192">_xlfn.SWITCH(K192,200,0,LOOKUP(K192,embodied_original!$C$20:$D$20,embodied_original!$C$22:$D$22))</f>
        <v>1145.4545454545455</v>
      </c>
      <c r="O192" s="5" cm="1">
        <f t="array" ref="O192">_xlfn.XLOOKUP(B192&amp;"|"&amp;E192,
        Calculate_cap_emi!$L$14:$L$21&amp;"|"&amp;Calculate_cap_emi!$I$14:$I$21,
        Calculate_cap_emi!$AG$14:$AG$21, "Not found", 0)</f>
        <v>1653.75</v>
      </c>
      <c r="P192" s="8">
        <f t="shared" si="23"/>
        <v>4384.5810160427809</v>
      </c>
    </row>
    <row r="193" spans="1:16" x14ac:dyDescent="0.3">
      <c r="A193" s="5"/>
      <c r="B193" s="5" t="str">
        <f t="shared" si="24"/>
        <v>Mod-H1</v>
      </c>
      <c r="C193" s="5" t="s">
        <v>39</v>
      </c>
      <c r="D193" s="5" t="str">
        <f t="shared" si="20"/>
        <v>H1</v>
      </c>
      <c r="E193" s="5" t="s">
        <v>11</v>
      </c>
      <c r="F193" s="5" t="s">
        <v>59</v>
      </c>
      <c r="G193" s="5" t="s">
        <v>59</v>
      </c>
      <c r="H193" s="5">
        <v>8.5</v>
      </c>
      <c r="I193" s="5"/>
      <c r="J193" s="5">
        <f t="shared" si="22"/>
        <v>9</v>
      </c>
      <c r="K193" s="5">
        <v>1000</v>
      </c>
      <c r="L193" s="8" cm="1">
        <f t="array" ref="L193">_xlfn.SWITCH(K193,200,LOOKUP(J193,embodied_original!$C$14:$N$14,embodied_original!$C$16:$N$16) + _xlfn.XLOOKUP(B193&amp;"|"&amp;E193,
        Calculate_cap_emi!$L$14:$L$21&amp;"|"&amp;Calculate_cap_emi!$I$14:$I$21,
        Calculate_cap_emi!$AG$14:$AG$21, "Not found", 0), LOOKUP(K193,embodied_original!$C$20:$D$20,embodied_original!$C$22:$D$22) + LOOKUP(J193,embodied_original!$C$14:$N$14,embodied_original!$C$16:$N$16) + _xlfn.XLOOKUP(B193&amp;"|"&amp;E193,
        Calculate_cap_emi!$L$14:$L$21&amp;"|"&amp;Calculate_cap_emi!$I$14:$I$21,
        Calculate_cap_emi!$AG$14:$AG$21, "Not found", 0))</f>
        <v>4384.5810160427809</v>
      </c>
      <c r="M193" s="8">
        <f>LOOKUP(J193,embodied_original!$C$14:$N$14,embodied_original!$C$16:$N$16)</f>
        <v>1585.3764705882354</v>
      </c>
      <c r="N193" s="8" cm="1">
        <f t="array" ref="N193">_xlfn.SWITCH(K193,200,0,LOOKUP(K193,embodied_original!$C$20:$D$20,embodied_original!$C$22:$D$22))</f>
        <v>1145.4545454545455</v>
      </c>
      <c r="O193" s="5" cm="1">
        <f t="array" ref="O193">_xlfn.XLOOKUP(B193&amp;"|"&amp;E193,
        Calculate_cap_emi!$L$14:$L$21&amp;"|"&amp;Calculate_cap_emi!$I$14:$I$21,
        Calculate_cap_emi!$AG$14:$AG$21, "Not found", 0)</f>
        <v>1653.75</v>
      </c>
      <c r="P193" s="8">
        <f t="shared" si="23"/>
        <v>4384.5810160427809</v>
      </c>
    </row>
    <row r="194" spans="1:16" x14ac:dyDescent="0.3">
      <c r="A194" s="5"/>
      <c r="B194" s="5" t="str">
        <f t="shared" si="24"/>
        <v>Mod-H1</v>
      </c>
      <c r="C194" s="5" t="s">
        <v>39</v>
      </c>
      <c r="D194" s="5" t="str">
        <f t="shared" si="20"/>
        <v>H1</v>
      </c>
      <c r="E194" s="5" t="s">
        <v>11</v>
      </c>
      <c r="F194" s="5" t="s">
        <v>59</v>
      </c>
      <c r="G194" s="5" t="s">
        <v>59</v>
      </c>
      <c r="H194" s="5">
        <v>11.2</v>
      </c>
      <c r="I194" s="5"/>
      <c r="J194" s="5">
        <f t="shared" si="22"/>
        <v>12</v>
      </c>
      <c r="K194" s="5">
        <v>1000</v>
      </c>
      <c r="L194" s="8" cm="1">
        <f t="array" ref="L194">_xlfn.SWITCH(K194,200,LOOKUP(J194,embodied_original!$C$14:$N$14,embodied_original!$C$16:$N$16) + _xlfn.XLOOKUP(B194&amp;"|"&amp;E194,
        Calculate_cap_emi!$L$14:$L$21&amp;"|"&amp;Calculate_cap_emi!$I$14:$I$21,
        Calculate_cap_emi!$AG$14:$AG$21, "Not found", 0), LOOKUP(K194,embodied_original!$C$20:$D$20,embodied_original!$C$22:$D$22) + LOOKUP(J194,embodied_original!$C$14:$N$14,embodied_original!$C$16:$N$16) + _xlfn.XLOOKUP(B194&amp;"|"&amp;E194,
        Calculate_cap_emi!$L$14:$L$21&amp;"|"&amp;Calculate_cap_emi!$I$14:$I$21,
        Calculate_cap_emi!$AG$14:$AG$21, "Not found", 0))</f>
        <v>4844.1104278074872</v>
      </c>
      <c r="M194" s="8">
        <f>LOOKUP(J194,embodied_original!$C$14:$N$14,embodied_original!$C$16:$N$16)</f>
        <v>2044.9058823529413</v>
      </c>
      <c r="N194" s="8" cm="1">
        <f t="array" ref="N194">_xlfn.SWITCH(K194,200,0,LOOKUP(K194,embodied_original!$C$20:$D$20,embodied_original!$C$22:$D$22))</f>
        <v>1145.4545454545455</v>
      </c>
      <c r="O194" s="5" cm="1">
        <f t="array" ref="O194">_xlfn.XLOOKUP(B194&amp;"|"&amp;E194,
        Calculate_cap_emi!$L$14:$L$21&amp;"|"&amp;Calculate_cap_emi!$I$14:$I$21,
        Calculate_cap_emi!$AG$14:$AG$21, "Not found", 0)</f>
        <v>1653.75</v>
      </c>
      <c r="P194" s="8">
        <f t="shared" si="23"/>
        <v>4844.1104278074872</v>
      </c>
    </row>
    <row r="195" spans="1:16" x14ac:dyDescent="0.3">
      <c r="A195" s="5"/>
      <c r="B195" s="5" t="str">
        <f t="shared" si="24"/>
        <v>Mod-H1</v>
      </c>
      <c r="C195" s="5" t="s">
        <v>39</v>
      </c>
      <c r="D195" s="5" t="str">
        <f t="shared" si="20"/>
        <v>H1</v>
      </c>
      <c r="E195" s="5" t="s">
        <v>11</v>
      </c>
      <c r="F195" s="5" t="s">
        <v>59</v>
      </c>
      <c r="G195" s="5" t="s">
        <v>59</v>
      </c>
      <c r="H195" s="5">
        <v>14</v>
      </c>
      <c r="I195" s="5"/>
      <c r="J195" s="5">
        <f t="shared" si="22"/>
        <v>14</v>
      </c>
      <c r="K195" s="5">
        <v>1000</v>
      </c>
      <c r="L195" s="8" cm="1">
        <f t="array" ref="L195">_xlfn.SWITCH(K195,200,LOOKUP(J195,embodied_original!$C$14:$N$14,embodied_original!$C$16:$N$16) + _xlfn.XLOOKUP(B195&amp;"|"&amp;E195,
        Calculate_cap_emi!$L$14:$L$21&amp;"|"&amp;Calculate_cap_emi!$I$14:$I$21,
        Calculate_cap_emi!$AG$14:$AG$21, "Not found", 0), LOOKUP(K195,embodied_original!$C$20:$D$20,embodied_original!$C$22:$D$22) + LOOKUP(J195,embodied_original!$C$14:$N$14,embodied_original!$C$16:$N$16) + _xlfn.XLOOKUP(B195&amp;"|"&amp;E195,
        Calculate_cap_emi!$L$14:$L$21&amp;"|"&amp;Calculate_cap_emi!$I$14:$I$21,
        Calculate_cap_emi!$AG$14:$AG$21, "Not found", 0))</f>
        <v>5035.5810160427809</v>
      </c>
      <c r="M195" s="8">
        <f>LOOKUP(J195,embodied_original!$C$14:$N$14,embodied_original!$C$16:$N$16)</f>
        <v>2236.3764705882354</v>
      </c>
      <c r="N195" s="8" cm="1">
        <f t="array" ref="N195">_xlfn.SWITCH(K195,200,0,LOOKUP(K195,embodied_original!$C$20:$D$20,embodied_original!$C$22:$D$22))</f>
        <v>1145.4545454545455</v>
      </c>
      <c r="O195" s="5" cm="1">
        <f t="array" ref="O195">_xlfn.XLOOKUP(B195&amp;"|"&amp;E195,
        Calculate_cap_emi!$L$14:$L$21&amp;"|"&amp;Calculate_cap_emi!$I$14:$I$21,
        Calculate_cap_emi!$AG$14:$AG$21, "Not found", 0)</f>
        <v>1653.75</v>
      </c>
      <c r="P195" s="8">
        <f t="shared" si="23"/>
        <v>5035.5810160427809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AG21"/>
  <sheetViews>
    <sheetView tabSelected="1" workbookViewId="0">
      <selection activeCell="AG14" sqref="AG14"/>
    </sheetView>
  </sheetViews>
  <sheetFormatPr defaultRowHeight="14.4" x14ac:dyDescent="0.3"/>
  <cols>
    <col min="1" max="1" width="12.33203125" bestFit="1" customWidth="1"/>
    <col min="2" max="2" width="5.6640625" bestFit="1" customWidth="1"/>
    <col min="3" max="3" width="10" bestFit="1" customWidth="1"/>
    <col min="4" max="4" width="15" bestFit="1" customWidth="1"/>
    <col min="8" max="10" width="11.6640625" bestFit="1" customWidth="1"/>
    <col min="11" max="11" width="10" bestFit="1" customWidth="1"/>
    <col min="12" max="12" width="15" bestFit="1" customWidth="1"/>
    <col min="13" max="13" width="15" customWidth="1"/>
    <col min="14" max="14" width="36.33203125" bestFit="1" customWidth="1"/>
    <col min="33" max="33" width="12" bestFit="1" customWidth="1"/>
  </cols>
  <sheetData>
    <row r="1" spans="1:33" x14ac:dyDescent="0.3">
      <c r="A1" s="2" t="s">
        <v>40</v>
      </c>
      <c r="B1" s="2" t="s">
        <v>41</v>
      </c>
      <c r="C1" s="2" t="s">
        <v>42</v>
      </c>
      <c r="D1" s="2" t="s">
        <v>45</v>
      </c>
      <c r="E1" t="s">
        <v>18</v>
      </c>
      <c r="F1" t="s">
        <v>19</v>
      </c>
      <c r="G1" t="s">
        <v>20</v>
      </c>
      <c r="H1" t="s">
        <v>21</v>
      </c>
    </row>
    <row r="2" spans="1:33" x14ac:dyDescent="0.3">
      <c r="A2" t="s">
        <v>3</v>
      </c>
      <c r="B2" t="s">
        <v>38</v>
      </c>
      <c r="C2" t="s">
        <v>43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33" x14ac:dyDescent="0.3">
      <c r="A3" t="s">
        <v>3</v>
      </c>
      <c r="B3" t="s">
        <v>38</v>
      </c>
      <c r="C3" t="s">
        <v>44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33" x14ac:dyDescent="0.3">
      <c r="A4" t="s">
        <v>11</v>
      </c>
      <c r="B4" t="s">
        <v>38</v>
      </c>
      <c r="C4" t="s">
        <v>43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33" x14ac:dyDescent="0.3">
      <c r="A5" t="s">
        <v>11</v>
      </c>
      <c r="B5" t="s">
        <v>38</v>
      </c>
      <c r="C5" t="s">
        <v>44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33" x14ac:dyDescent="0.3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33" x14ac:dyDescent="0.3">
      <c r="A8" t="s">
        <v>3</v>
      </c>
      <c r="B8" t="s">
        <v>39</v>
      </c>
      <c r="C8" t="s">
        <v>43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33" x14ac:dyDescent="0.3">
      <c r="A9" t="s">
        <v>3</v>
      </c>
      <c r="B9" t="s">
        <v>39</v>
      </c>
      <c r="C9" t="s">
        <v>44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33" x14ac:dyDescent="0.3">
      <c r="A10" t="s">
        <v>11</v>
      </c>
      <c r="B10" t="s">
        <v>39</v>
      </c>
      <c r="C10" t="s">
        <v>43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33" x14ac:dyDescent="0.3">
      <c r="A11" t="s">
        <v>11</v>
      </c>
      <c r="B11" t="s">
        <v>39</v>
      </c>
      <c r="C11" t="s">
        <v>44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</row>
    <row r="12" spans="1:33" x14ac:dyDescent="0.3">
      <c r="W12" t="s">
        <v>52</v>
      </c>
      <c r="AB12" t="s">
        <v>51</v>
      </c>
      <c r="AG12" t="s">
        <v>60</v>
      </c>
    </row>
    <row r="13" spans="1:33" x14ac:dyDescent="0.3">
      <c r="H13" s="2"/>
      <c r="I13" s="2" t="s">
        <v>40</v>
      </c>
      <c r="J13" s="2" t="s">
        <v>41</v>
      </c>
      <c r="K13" s="2" t="s">
        <v>42</v>
      </c>
      <c r="L13" s="2" t="s">
        <v>45</v>
      </c>
      <c r="M13" s="2" t="s">
        <v>49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50</v>
      </c>
      <c r="W13" t="s">
        <v>36</v>
      </c>
      <c r="X13" t="s">
        <v>37</v>
      </c>
      <c r="Y13" t="s">
        <v>46</v>
      </c>
      <c r="Z13" t="s">
        <v>47</v>
      </c>
      <c r="AA13" t="s">
        <v>48</v>
      </c>
      <c r="AB13" t="s">
        <v>36</v>
      </c>
      <c r="AC13" t="s">
        <v>37</v>
      </c>
      <c r="AD13" t="s">
        <v>46</v>
      </c>
      <c r="AE13" t="s">
        <v>47</v>
      </c>
      <c r="AF13" t="s">
        <v>48</v>
      </c>
      <c r="AG13" t="s">
        <v>61</v>
      </c>
    </row>
    <row r="14" spans="1:33" x14ac:dyDescent="0.3">
      <c r="I14" s="4" t="s">
        <v>3</v>
      </c>
      <c r="J14" s="4" t="s">
        <v>38</v>
      </c>
      <c r="K14" s="4" t="s">
        <v>43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 t="shared" ref="U14:U21" si="1">SUM(O14:T14)</f>
        <v>11</v>
      </c>
      <c r="V14" s="4"/>
      <c r="W14" s="4">
        <f>U14</f>
        <v>11</v>
      </c>
      <c r="X14" s="4">
        <f>_xlfn.CEILING.MATH(M14,0.5)</f>
        <v>11</v>
      </c>
      <c r="Y14" s="4">
        <f>SUM(Q14:T14)</f>
        <v>4</v>
      </c>
      <c r="Z14" s="4">
        <f>O14+P14</f>
        <v>7</v>
      </c>
      <c r="AA14" s="4">
        <f>N14</f>
        <v>7</v>
      </c>
      <c r="AB14" s="4">
        <f>LOOKUP(O14,embodied_original!$C$2:$K$2,embodied_original!$C$4:$K$4)+LOOKUP(P14,embodied_original!$C$2:$K$2,embodied_original!$C$4:$K$4)+LOOKUP(Q14,embodied_original!$C$2:$K$2,embodied_original!$C$4:$K$4)+LOOKUP(R14,embodied_original!$C$2:$K$2,embodied_original!$C$4:$K$4)+_xlfn.IFNA(LOOKUP(S14,embodied_original!$C$2:$K$2,embodied_original!$C$4:$K$4),0)+_xlfn.IFNA(LOOKUP(T14,embodied_original!$C$2:$K$2,embodied_original!$C$4:$K$4),0)</f>
        <v>1057.4117647058824</v>
      </c>
      <c r="AC14" s="4">
        <f>LOOKUP(X14,embodied_original!$C$5:$X$5,embodied_original!$C$7:$X$7)</f>
        <v>1331.0464534046375</v>
      </c>
      <c r="AD14" s="4">
        <f>LOOKUP(Q14,embodied_original!$C$2:$K$2,embodied_original!$C$4:$K$4)+LOOKUP(R14,embodied_original!$C$2:$K$2,embodied_original!$C$4:$K$4)+_xlfn.IFNA(LOOKUP(S14,embodied_original!$C$2:$K$2,embodied_original!$C$4:$K$4),0)+_xlfn.IFNA(LOOKUP(T14,embodied_original!$C$2:$K$2,embodied_original!$C$4:$K$4),0)</f>
        <v>528.70588235294122</v>
      </c>
      <c r="AE14" s="4">
        <f>LOOKUP(O14,embodied_original!$C$2:$K$2,embodied_original!$C$4:$K$4)+LOOKUP(P14,embodied_original!$C$2:$K$2,embodied_original!$C$4:$K$4)</f>
        <v>528.70588235294122</v>
      </c>
      <c r="AF14" s="4">
        <f>LOOKUP(N14,embodied_original!$C$5:$X$5,embodied_original!$C$7:$X$7)</f>
        <v>900.90463235294112</v>
      </c>
      <c r="AG14" s="4">
        <f>LOOKUP(_xlfn.CEILING.MATH(O14,1),embodied_original!$C$17:$G$17,embodied_original!$C$19:$G$19)+LOOKUP(_xlfn.CEILING.MATH(P14),embodied_original!$C$17:$G$17,embodied_original!$C$19:$G$19)+LOOKUP(_xlfn.CEILING.MATH(Q14),embodied_original!$C$17:$G$17,embodied_original!$C$19:$G$19)+LOOKUP(_xlfn.CEILING.MATH(R14),embodied_original!$C$17:$G$17,embodied_original!$C$19:$G$19)+_xlfn.IFNA(LOOKUP(_xlfn.CEILING.MATH(S14),embodied_original!$C$17:$G$17,embodied_original!$C$19:$G$19),0)+_xlfn.IFNA(LOOKUP(_xlfn.CEILING.MATH(T14),embodied_original!$C$17:$G$17,embodied_original!$C$19:$G$19),0)</f>
        <v>1076.25</v>
      </c>
    </row>
    <row r="15" spans="1:33" x14ac:dyDescent="0.3">
      <c r="I15" s="4" t="s">
        <v>3</v>
      </c>
      <c r="J15" s="4" t="s">
        <v>38</v>
      </c>
      <c r="K15" s="4" t="s">
        <v>44</v>
      </c>
      <c r="L15" s="4" t="str">
        <f t="shared" ref="L15:L21" si="2">CONCATENATE(J15, "-", K15)</f>
        <v>Mass-H1</v>
      </c>
      <c r="M15" s="4">
        <f t="shared" ref="M15:M17" si="3">H3</f>
        <v>6.2</v>
      </c>
      <c r="N15" s="4">
        <v>5</v>
      </c>
      <c r="O15" s="4">
        <f>IF(MOD(N15,1)=0.5,INT(N15/2),N15/2)</f>
        <v>2.5</v>
      </c>
      <c r="P15" s="4">
        <f t="shared" ref="P15:P17" si="4">N15-O15</f>
        <v>2.5</v>
      </c>
      <c r="Q15" s="4">
        <v>1</v>
      </c>
      <c r="R15" s="4">
        <v>1</v>
      </c>
      <c r="S15" s="4"/>
      <c r="T15" s="4"/>
      <c r="U15" s="4">
        <f t="shared" si="1"/>
        <v>7</v>
      </c>
      <c r="V15" s="4"/>
      <c r="W15" s="4">
        <f t="shared" ref="W15:W21" si="5">U15</f>
        <v>7</v>
      </c>
      <c r="X15" s="4">
        <f t="shared" ref="X15:X21" si="6">_xlfn.CEILING.MATH(M15,0.5)</f>
        <v>6.5</v>
      </c>
      <c r="Y15" s="4">
        <f t="shared" ref="Y15:Y21" si="7">SUM(Q15:T15)</f>
        <v>2</v>
      </c>
      <c r="Z15" s="4">
        <f t="shared" ref="Z15:Z21" si="8">O15+P15</f>
        <v>5</v>
      </c>
      <c r="AA15" s="4">
        <f t="shared" ref="AA15:AA21" si="9">N15</f>
        <v>5</v>
      </c>
      <c r="AB15" s="4">
        <f>LOOKUP(O15,embodied_original!$C$2:$K$2,embodied_original!$C$4:$K$4)+LOOKUP(P15,embodied_original!$C$2:$K$2,embodied_original!$C$4:$K$4)+LOOKUP(Q15,embodied_original!$C$2:$K$2,embodied_original!$C$4:$K$4)+LOOKUP(R15,embodied_original!$C$2:$K$2,embodied_original!$C$4:$K$4)+_xlfn.IFNA(LOOKUP(S15,embodied_original!$C$2:$K$2,embodied_original!$C$4:$K$4),0)+_xlfn.IFNA(LOOKUP(T15,embodied_original!$C$2:$K$2,embodied_original!$C$4:$K$4),0)</f>
        <v>1057.4117647058824</v>
      </c>
      <c r="AC15" s="4">
        <f>LOOKUP(X15,embodied_original!$C$5:$X$5,embodied_original!$C$7:$X$7)</f>
        <v>858.00441176470588</v>
      </c>
      <c r="AD15" s="4">
        <f>LOOKUP(Q15,embodied_original!$C$2:$K$2,embodied_original!$C$4:$K$4)+LOOKUP(R15,embodied_original!$C$2:$K$2,embodied_original!$C$4:$K$4)+_xlfn.IFNA(LOOKUP(S15,embodied_original!$C$2:$K$2,embodied_original!$C$4:$K$4),0)+_xlfn.IFNA(LOOKUP(T15,embodied_original!$C$2:$K$2,embodied_original!$C$4:$K$4),0)</f>
        <v>528.70588235294122</v>
      </c>
      <c r="AE15" s="4">
        <f>LOOKUP(O15,embodied_original!$C$2:$K$2,embodied_original!$C$4:$K$4)+LOOKUP(P15,embodied_original!$C$2:$K$2,embodied_original!$C$4:$K$4)</f>
        <v>528.70588235294122</v>
      </c>
      <c r="AF15" s="4">
        <f>LOOKUP(N15,embodied_original!$C$5:$X$5,embodied_original!$C$7:$X$7)</f>
        <v>741.17647058823525</v>
      </c>
      <c r="AG15" s="4">
        <f>LOOKUP(_xlfn.CEILING.MATH(O15,1),embodied_original!$C$17:$G$17,embodied_original!$C$19:$G$19)+LOOKUP(_xlfn.CEILING.MATH(P15),embodied_original!$C$17:$G$17,embodied_original!$C$19:$G$19)+LOOKUP(_xlfn.CEILING.MATH(Q15),embodied_original!$C$17:$G$17,embodied_original!$C$19:$G$19)+LOOKUP(_xlfn.CEILING.MATH(R15),embodied_original!$C$17:$G$17,embodied_original!$C$19:$G$19)+_xlfn.IFNA(LOOKUP(_xlfn.CEILING.MATH(S15),embodied_original!$C$17:$G$17,embodied_original!$C$19:$G$19),0)+_xlfn.IFNA(LOOKUP(_xlfn.CEILING.MATH(T15),embodied_original!$C$17:$G$17,embodied_original!$C$19:$G$19),0)</f>
        <v>1036.875</v>
      </c>
    </row>
    <row r="16" spans="1:33" x14ac:dyDescent="0.3">
      <c r="I16" s="4" t="s">
        <v>11</v>
      </c>
      <c r="J16" s="4" t="s">
        <v>38</v>
      </c>
      <c r="K16" s="4" t="s">
        <v>43</v>
      </c>
      <c r="L16" s="4" t="str">
        <f t="shared" si="2"/>
        <v>Mass-Nom</v>
      </c>
      <c r="M16" s="4">
        <f t="shared" si="3"/>
        <v>15.2</v>
      </c>
      <c r="N16" s="4">
        <v>8.5</v>
      </c>
      <c r="O16" s="4">
        <f>IF(MOD(N16,1)=0.5,INT(N16/2),N16/2)</f>
        <v>4</v>
      </c>
      <c r="P16" s="4">
        <f t="shared" si="4"/>
        <v>4.5</v>
      </c>
      <c r="Q16" s="4">
        <v>3.5</v>
      </c>
      <c r="R16" s="4">
        <v>3.5</v>
      </c>
      <c r="S16" s="4"/>
      <c r="T16" s="4"/>
      <c r="U16" s="4">
        <f t="shared" si="1"/>
        <v>15.5</v>
      </c>
      <c r="V16" s="4"/>
      <c r="W16" s="4">
        <f t="shared" si="5"/>
        <v>15.5</v>
      </c>
      <c r="X16" s="4">
        <f t="shared" si="6"/>
        <v>15.5</v>
      </c>
      <c r="Y16" s="4">
        <f t="shared" si="7"/>
        <v>7</v>
      </c>
      <c r="Z16" s="4">
        <f t="shared" si="8"/>
        <v>8.5</v>
      </c>
      <c r="AA16" s="4">
        <f t="shared" si="9"/>
        <v>8.5</v>
      </c>
      <c r="AB16" s="4">
        <f>LOOKUP(O16,embodied_original!$C$2:$K$2,embodied_original!$C$4:$K$4)+LOOKUP(P16,embodied_original!$C$2:$K$2,embodied_original!$C$4:$K$4)+LOOKUP(Q16,embodied_original!$C$2:$K$2,embodied_original!$C$4:$K$4)+LOOKUP(R16,embodied_original!$C$2:$K$2,embodied_original!$C$4:$K$4)+_xlfn.IFNA(LOOKUP(S16,embodied_original!$C$2:$K$2,embodied_original!$C$4:$K$4),0)+_xlfn.IFNA(LOOKUP(T16,embodied_original!$C$2:$K$2,embodied_original!$C$4:$K$4),0)</f>
        <v>1057.4117647058824</v>
      </c>
      <c r="AC16" s="4">
        <f>LOOKUP(X16,embodied_original!$C$5:$X$5,embodied_original!$C$7:$X$7)</f>
        <v>2064.8899199447478</v>
      </c>
      <c r="AD16" s="4">
        <f>LOOKUP(Q16,embodied_original!$C$2:$K$2,embodied_original!$C$4:$K$4)+LOOKUP(R16,embodied_original!$C$2:$K$2,embodied_original!$C$4:$K$4)+_xlfn.IFNA(LOOKUP(S16,embodied_original!$C$2:$K$2,embodied_original!$C$4:$K$4),0)+_xlfn.IFNA(LOOKUP(T16,embodied_original!$C$2:$K$2,embodied_original!$C$4:$K$4),0)</f>
        <v>528.70588235294122</v>
      </c>
      <c r="AE16" s="4">
        <f>LOOKUP(O16,embodied_original!$C$2:$K$2,embodied_original!$C$4:$K$4)+LOOKUP(P16,embodied_original!$C$2:$K$2,embodied_original!$C$4:$K$4)</f>
        <v>528.70588235294122</v>
      </c>
      <c r="AF16" s="4">
        <f>LOOKUP(N16,embodied_original!$C$5:$X$5,embodied_original!$C$7:$X$7)</f>
        <v>1042.9097250275738</v>
      </c>
      <c r="AG16" s="4">
        <f>LOOKUP(_xlfn.CEILING.MATH(O16,1),embodied_original!$C$17:$G$17,embodied_original!$C$19:$G$19)+LOOKUP(_xlfn.CEILING.MATH(P16),embodied_original!$C$17:$G$17,embodied_original!$C$19:$G$19)+LOOKUP(_xlfn.CEILING.MATH(Q16),embodied_original!$C$17:$G$17,embodied_original!$C$19:$G$19)+LOOKUP(_xlfn.CEILING.MATH(R16),embodied_original!$C$17:$G$17,embodied_original!$C$19:$G$19)+_xlfn.IFNA(LOOKUP(_xlfn.CEILING.MATH(S16),embodied_original!$C$17:$G$17,embodied_original!$C$19:$G$19),0)+_xlfn.IFNA(LOOKUP(_xlfn.CEILING.MATH(T16),embodied_original!$C$17:$G$17,embodied_original!$C$19:$G$19),0)</f>
        <v>1253.4375</v>
      </c>
    </row>
    <row r="17" spans="9:33" x14ac:dyDescent="0.3">
      <c r="I17" s="4" t="s">
        <v>11</v>
      </c>
      <c r="J17" s="4" t="s">
        <v>38</v>
      </c>
      <c r="K17" s="4" t="s">
        <v>44</v>
      </c>
      <c r="L17" s="4" t="str">
        <f t="shared" si="2"/>
        <v>Mass-H1</v>
      </c>
      <c r="M17" s="4">
        <f t="shared" si="3"/>
        <v>8.1999999999999993</v>
      </c>
      <c r="N17" s="4">
        <v>5</v>
      </c>
      <c r="O17" s="4">
        <f>IF(MOD(N17,1)=0.5,INT(N17/2),N17/2)</f>
        <v>2.5</v>
      </c>
      <c r="P17" s="4">
        <f t="shared" si="4"/>
        <v>2.5</v>
      </c>
      <c r="Q17" s="4">
        <v>1.5</v>
      </c>
      <c r="R17" s="4">
        <v>2</v>
      </c>
      <c r="S17" s="4"/>
      <c r="T17" s="4"/>
      <c r="U17" s="4">
        <f t="shared" si="1"/>
        <v>8.5</v>
      </c>
      <c r="V17" s="4"/>
      <c r="W17" s="4">
        <f t="shared" si="5"/>
        <v>8.5</v>
      </c>
      <c r="X17" s="4">
        <f t="shared" si="6"/>
        <v>8.5</v>
      </c>
      <c r="Y17" s="4">
        <f t="shared" si="7"/>
        <v>3.5</v>
      </c>
      <c r="Z17" s="4">
        <f t="shared" si="8"/>
        <v>5</v>
      </c>
      <c r="AA17" s="4">
        <f t="shared" si="9"/>
        <v>5</v>
      </c>
      <c r="AB17" s="4">
        <f>LOOKUP(O17,embodied_original!$C$2:$K$2,embodied_original!$C$4:$K$4)+LOOKUP(P17,embodied_original!$C$2:$K$2,embodied_original!$C$4:$K$4)+LOOKUP(Q17,embodied_original!$C$2:$K$2,embodied_original!$C$4:$K$4)+LOOKUP(R17,embodied_original!$C$2:$K$2,embodied_original!$C$4:$K$4)+_xlfn.IFNA(LOOKUP(S17,embodied_original!$C$2:$K$2,embodied_original!$C$4:$K$4),0)+_xlfn.IFNA(LOOKUP(T17,embodied_original!$C$2:$K$2,embodied_original!$C$4:$K$4),0)</f>
        <v>1057.4117647058824</v>
      </c>
      <c r="AC17" s="4">
        <f>LOOKUP(X17,embodied_original!$C$5:$X$5,embodied_original!$C$7:$X$7)</f>
        <v>1042.9097250275738</v>
      </c>
      <c r="AD17" s="4">
        <f>LOOKUP(Q17,embodied_original!$C$2:$K$2,embodied_original!$C$4:$K$4)+LOOKUP(R17,embodied_original!$C$2:$K$2,embodied_original!$C$4:$K$4)+_xlfn.IFNA(LOOKUP(S17,embodied_original!$C$2:$K$2,embodied_original!$C$4:$K$4),0)+_xlfn.IFNA(LOOKUP(T17,embodied_original!$C$2:$K$2,embodied_original!$C$4:$K$4),0)</f>
        <v>528.70588235294122</v>
      </c>
      <c r="AE17" s="4">
        <f>LOOKUP(O17,embodied_original!$C$2:$K$2,embodied_original!$C$4:$K$4)+LOOKUP(P17,embodied_original!$C$2:$K$2,embodied_original!$C$4:$K$4)</f>
        <v>528.70588235294122</v>
      </c>
      <c r="AF17" s="4">
        <f>LOOKUP(N17,embodied_original!$C$5:$X$5,embodied_original!$C$7:$X$7)</f>
        <v>741.17647058823525</v>
      </c>
      <c r="AG17" s="4">
        <f>LOOKUP(_xlfn.CEILING.MATH(O17,1),embodied_original!$C$17:$G$17,embodied_original!$C$19:$G$19)+LOOKUP(_xlfn.CEILING.MATH(P17),embodied_original!$C$17:$G$17,embodied_original!$C$19:$G$19)+LOOKUP(_xlfn.CEILING.MATH(Q17),embodied_original!$C$17:$G$17,embodied_original!$C$19:$G$19)+LOOKUP(_xlfn.CEILING.MATH(R17),embodied_original!$C$17:$G$17,embodied_original!$C$19:$G$19)+_xlfn.IFNA(LOOKUP(_xlfn.CEILING.MATH(S17),embodied_original!$C$17:$G$17,embodied_original!$C$19:$G$19),0)+_xlfn.IFNA(LOOKUP(_xlfn.CEILING.MATH(T17),embodied_original!$C$17:$G$17,embodied_original!$C$19:$G$19),0)</f>
        <v>1036.875</v>
      </c>
    </row>
    <row r="18" spans="9:33" x14ac:dyDescent="0.3">
      <c r="I18" s="4" t="s">
        <v>3</v>
      </c>
      <c r="J18" s="4" t="s">
        <v>39</v>
      </c>
      <c r="K18" s="4" t="s">
        <v>43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1"/>
        <v>12</v>
      </c>
      <c r="V18" s="4"/>
      <c r="W18" s="4">
        <f t="shared" si="5"/>
        <v>12</v>
      </c>
      <c r="X18" s="4">
        <f t="shared" si="6"/>
        <v>11</v>
      </c>
      <c r="Y18" s="4">
        <f t="shared" si="7"/>
        <v>4</v>
      </c>
      <c r="Z18" s="4">
        <f t="shared" si="8"/>
        <v>8</v>
      </c>
      <c r="AA18" s="4">
        <f t="shared" si="9"/>
        <v>8</v>
      </c>
      <c r="AB18" s="4">
        <f>LOOKUP(O18,embodied_original!$C$2:$K$2,embodied_original!$C$4:$K$4)+LOOKUP(P18,embodied_original!$C$2:$K$2,embodied_original!$C$4:$K$4)+LOOKUP(Q18,embodied_original!$C$2:$K$2,embodied_original!$C$4:$K$4)+LOOKUP(R18,embodied_original!$C$2:$K$2,embodied_original!$C$4:$K$4)+_xlfn.IFNA(LOOKUP(S18,embodied_original!$C$2:$K$2,embodied_original!$C$4:$K$4),0)+_xlfn.IFNA(LOOKUP(T18,embodied_original!$C$2:$K$2,embodied_original!$C$4:$K$4),0)</f>
        <v>1586.1176470588239</v>
      </c>
      <c r="AC18" s="4">
        <f>LOOKUP(X18,embodied_original!$C$5:$X$5,embodied_original!$C$7:$X$7)</f>
        <v>1331.0464534046375</v>
      </c>
      <c r="AD18" s="4">
        <f>LOOKUP(Q18,embodied_original!$C$2:$K$2,embodied_original!$C$4:$K$4)+LOOKUP(R18,embodied_original!$C$2:$K$2,embodied_original!$C$4:$K$4)+_xlfn.IFNA(LOOKUP(S18,embodied_original!$C$2:$K$2,embodied_original!$C$4:$K$4),0)+_xlfn.IFNA(LOOKUP(T18,embodied_original!$C$2:$K$2,embodied_original!$C$4:$K$4),0)</f>
        <v>1057.4117647058824</v>
      </c>
      <c r="AE18" s="4">
        <f>LOOKUP(O18,embodied_original!$C$2:$K$2,embodied_original!$C$4:$K$4)+LOOKUP(P18,embodied_original!$C$2:$K$2,embodied_original!$C$4:$K$4)</f>
        <v>528.70588235294122</v>
      </c>
      <c r="AF18" s="4">
        <f>LOOKUP(N18,embodied_original!$C$5:$X$5,embodied_original!$C$7:$X$7)</f>
        <v>993.24735716911789</v>
      </c>
      <c r="AG18" s="4">
        <f>LOOKUP(_xlfn.CEILING.MATH(O18,1),embodied_original!$C$17:$G$17,embodied_original!$C$19:$G$19)+LOOKUP(_xlfn.CEILING.MATH(P18),embodied_original!$C$17:$G$17,embodied_original!$C$19:$G$19)+LOOKUP(_xlfn.CEILING.MATH(Q18),embodied_original!$C$17:$G$17,embodied_original!$C$19:$G$19)+LOOKUP(_xlfn.CEILING.MATH(R18),embodied_original!$C$17:$G$17,embodied_original!$C$19:$G$19)+_xlfn.IFNA(LOOKUP(_xlfn.CEILING.MATH(S18),embodied_original!$C$17:$G$17,embodied_original!$C$19:$G$19),0)+_xlfn.IFNA(LOOKUP(_xlfn.CEILING.MATH(T18),embodied_original!$C$17:$G$17,embodied_original!$C$19:$G$19),0)</f>
        <v>1653.75</v>
      </c>
    </row>
    <row r="19" spans="9:33" x14ac:dyDescent="0.3">
      <c r="I19" s="4" t="s">
        <v>3</v>
      </c>
      <c r="J19" s="4" t="s">
        <v>39</v>
      </c>
      <c r="K19" s="4" t="s">
        <v>44</v>
      </c>
      <c r="L19" s="4" t="str">
        <f t="shared" si="2"/>
        <v>Mod-H1</v>
      </c>
      <c r="M19" s="4">
        <f t="shared" ref="M19:M21" si="10"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1"/>
        <v>8.5</v>
      </c>
      <c r="V19" s="4"/>
      <c r="W19" s="4">
        <f t="shared" si="5"/>
        <v>8.5</v>
      </c>
      <c r="X19" s="4">
        <f t="shared" si="6"/>
        <v>7</v>
      </c>
      <c r="Y19" s="4">
        <f t="shared" si="7"/>
        <v>4</v>
      </c>
      <c r="Z19" s="4">
        <f t="shared" si="8"/>
        <v>4.5</v>
      </c>
      <c r="AA19" s="4">
        <f t="shared" si="9"/>
        <v>5</v>
      </c>
      <c r="AB19" s="4">
        <f>LOOKUP(O19,embodied_original!$C$2:$K$2,embodied_original!$C$4:$K$4)+LOOKUP(P19,embodied_original!$C$2:$K$2,embodied_original!$C$4:$K$4)+LOOKUP(Q19,embodied_original!$C$2:$K$2,embodied_original!$C$4:$K$4)+LOOKUP(R19,embodied_original!$C$2:$K$2,embodied_original!$C$4:$K$4)+_xlfn.IFNA(LOOKUP(S19,embodied_original!$C$2:$K$2,embodied_original!$C$4:$K$4),0)+_xlfn.IFNA(LOOKUP(T19,embodied_original!$C$2:$K$2,embodied_original!$C$4:$K$4),0)</f>
        <v>1586.1176470588239</v>
      </c>
      <c r="AC19" s="4">
        <f>LOOKUP(X19,embodied_original!$C$5:$X$5,embodied_original!$C$7:$X$7)</f>
        <v>900.90463235294112</v>
      </c>
      <c r="AD19" s="4">
        <f>LOOKUP(Q19,embodied_original!$C$2:$K$2,embodied_original!$C$4:$K$4)+LOOKUP(R19,embodied_original!$C$2:$K$2,embodied_original!$C$4:$K$4)+_xlfn.IFNA(LOOKUP(S19,embodied_original!$C$2:$K$2,embodied_original!$C$4:$K$4),0)+_xlfn.IFNA(LOOKUP(T19,embodied_original!$C$2:$K$2,embodied_original!$C$4:$K$4),0)</f>
        <v>1057.4117647058824</v>
      </c>
      <c r="AE19" s="4">
        <f>LOOKUP(O19,embodied_original!$C$2:$K$2,embodied_original!$C$4:$K$4)+LOOKUP(P19,embodied_original!$C$2:$K$2,embodied_original!$C$4:$K$4)</f>
        <v>528.70588235294122</v>
      </c>
      <c r="AF19" s="4">
        <f>LOOKUP(N19,embodied_original!$C$5:$X$5,embodied_original!$C$7:$X$7)</f>
        <v>741.17647058823525</v>
      </c>
      <c r="AG19" s="4">
        <f>LOOKUP(_xlfn.CEILING.MATH(O19,1),embodied_original!$C$17:$G$17,embodied_original!$C$19:$G$19)+LOOKUP(_xlfn.CEILING.MATH(P19),embodied_original!$C$17:$G$17,embodied_original!$C$19:$G$19)+LOOKUP(_xlfn.CEILING.MATH(Q19),embodied_original!$C$17:$G$17,embodied_original!$C$19:$G$19)+LOOKUP(_xlfn.CEILING.MATH(R19),embodied_original!$C$17:$G$17,embodied_original!$C$19:$G$19)+_xlfn.IFNA(LOOKUP(_xlfn.CEILING.MATH(S19),embodied_original!$C$17:$G$17,embodied_original!$C$19:$G$19),0)+_xlfn.IFNA(LOOKUP(_xlfn.CEILING.MATH(T19),embodied_original!$C$17:$G$17,embodied_original!$C$19:$G$19),0)</f>
        <v>1515.9375</v>
      </c>
    </row>
    <row r="20" spans="9:33" x14ac:dyDescent="0.3">
      <c r="I20" s="4" t="s">
        <v>11</v>
      </c>
      <c r="J20" s="4" t="s">
        <v>39</v>
      </c>
      <c r="K20" s="4" t="s">
        <v>43</v>
      </c>
      <c r="L20" s="4" t="str">
        <f t="shared" si="2"/>
        <v>Mod-Nom</v>
      </c>
      <c r="M20" s="4">
        <f t="shared" si="10"/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1"/>
        <v>15.5</v>
      </c>
      <c r="V20" s="4"/>
      <c r="W20" s="4">
        <f t="shared" si="5"/>
        <v>15.5</v>
      </c>
      <c r="X20" s="4">
        <f t="shared" si="6"/>
        <v>15.5</v>
      </c>
      <c r="Y20" s="4">
        <f t="shared" si="7"/>
        <v>6.5</v>
      </c>
      <c r="Z20" s="4">
        <f t="shared" si="8"/>
        <v>9</v>
      </c>
      <c r="AA20" s="4">
        <f t="shared" si="9"/>
        <v>9</v>
      </c>
      <c r="AB20" s="4">
        <f>LOOKUP(O20,embodied_original!$C$2:$K$2,embodied_original!$C$4:$K$4)+LOOKUP(P20,embodied_original!$C$2:$K$2,embodied_original!$C$4:$K$4)+LOOKUP(Q20,embodied_original!$C$2:$K$2,embodied_original!$C$4:$K$4)+LOOKUP(R20,embodied_original!$C$2:$K$2,embodied_original!$C$4:$K$4)+_xlfn.IFNA(LOOKUP(S20,embodied_original!$C$2:$K$2,embodied_original!$C$4:$K$4),0)+_xlfn.IFNA(LOOKUP(T20,embodied_original!$C$2:$K$2,embodied_original!$C$4:$K$4),0)</f>
        <v>1586.1176470588239</v>
      </c>
      <c r="AC20" s="4">
        <f>LOOKUP(X20,embodied_original!$C$5:$X$5,embodied_original!$C$7:$X$7)</f>
        <v>2064.8899199447478</v>
      </c>
      <c r="AD20" s="4">
        <f>LOOKUP(Q20,embodied_original!$C$2:$K$2,embodied_original!$C$4:$K$4)+LOOKUP(R20,embodied_original!$C$2:$K$2,embodied_original!$C$4:$K$4)+_xlfn.IFNA(LOOKUP(S20,embodied_original!$C$2:$K$2,embodied_original!$C$4:$K$4),0)+_xlfn.IFNA(LOOKUP(T20,embodied_original!$C$2:$K$2,embodied_original!$C$4:$K$4),0)</f>
        <v>1057.4117647058824</v>
      </c>
      <c r="AE20" s="4">
        <f>LOOKUP(O20,embodied_original!$C$2:$K$2,embodied_original!$C$4:$K$4)+LOOKUP(P20,embodied_original!$C$2:$K$2,embodied_original!$C$4:$K$4)</f>
        <v>528.70588235294122</v>
      </c>
      <c r="AF20" s="4">
        <f>LOOKUP(N20,embodied_original!$C$5:$X$5,embodied_original!$C$7:$X$7)</f>
        <v>1095.0552112789526</v>
      </c>
      <c r="AG20" s="4">
        <f>LOOKUP(_xlfn.CEILING.MATH(O20,1),embodied_original!$C$17:$G$17,embodied_original!$C$19:$G$19)+LOOKUP(_xlfn.CEILING.MATH(P20),embodied_original!$C$17:$G$17,embodied_original!$C$19:$G$19)+LOOKUP(_xlfn.CEILING.MATH(Q20),embodied_original!$C$17:$G$17,embodied_original!$C$19:$G$19)+LOOKUP(_xlfn.CEILING.MATH(R20),embodied_original!$C$17:$G$17,embodied_original!$C$19:$G$19)+_xlfn.IFNA(LOOKUP(_xlfn.CEILING.MATH(S20),embodied_original!$C$17:$G$17,embodied_original!$C$19:$G$19),0)+_xlfn.IFNA(LOOKUP(_xlfn.CEILING.MATH(T20),embodied_original!$C$17:$G$17,embodied_original!$C$19:$G$19),0)</f>
        <v>1771.875</v>
      </c>
    </row>
    <row r="21" spans="9:33" x14ac:dyDescent="0.3">
      <c r="I21" s="4" t="s">
        <v>11</v>
      </c>
      <c r="J21" s="4" t="s">
        <v>39</v>
      </c>
      <c r="K21" s="4" t="s">
        <v>44</v>
      </c>
      <c r="L21" s="4" t="str">
        <f t="shared" si="2"/>
        <v>Mod-H1</v>
      </c>
      <c r="M21" s="4">
        <f t="shared" si="10"/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1"/>
        <v>12.5</v>
      </c>
      <c r="V21" s="4"/>
      <c r="W21" s="4">
        <f t="shared" si="5"/>
        <v>12.5</v>
      </c>
      <c r="X21" s="4">
        <f t="shared" si="6"/>
        <v>12.5</v>
      </c>
      <c r="Y21" s="4">
        <f t="shared" si="7"/>
        <v>4.5</v>
      </c>
      <c r="Z21" s="4">
        <f t="shared" si="8"/>
        <v>8</v>
      </c>
      <c r="AA21" s="4">
        <f t="shared" si="9"/>
        <v>8</v>
      </c>
      <c r="AB21" s="4">
        <f>LOOKUP(O21,embodied_original!$C$2:$K$2,embodied_original!$C$4:$K$4)+LOOKUP(P21,embodied_original!$C$2:$K$2,embodied_original!$C$4:$K$4)+LOOKUP(Q21,embodied_original!$C$2:$K$2,embodied_original!$C$4:$K$4)+LOOKUP(R21,embodied_original!$C$2:$K$2,embodied_original!$C$4:$K$4)+_xlfn.IFNA(LOOKUP(S21,embodied_original!$C$2:$K$2,embodied_original!$C$4:$K$4),0)+_xlfn.IFNA(LOOKUP(T21,embodied_original!$C$2:$K$2,embodied_original!$C$4:$K$4),0)</f>
        <v>1586.1176470588239</v>
      </c>
      <c r="AC21" s="4">
        <f>LOOKUP(X21,embodied_original!$C$5:$X$5,embodied_original!$C$7:$X$7)</f>
        <v>1540.8526506225442</v>
      </c>
      <c r="AD21" s="4">
        <f>LOOKUP(Q21,embodied_original!$C$2:$K$2,embodied_original!$C$4:$K$4)+LOOKUP(R21,embodied_original!$C$2:$K$2,embodied_original!$C$4:$K$4)+_xlfn.IFNA(LOOKUP(S21,embodied_original!$C$2:$K$2,embodied_original!$C$4:$K$4),0)+_xlfn.IFNA(LOOKUP(T21,embodied_original!$C$2:$K$2,embodied_original!$C$4:$K$4),0)</f>
        <v>1057.4117647058824</v>
      </c>
      <c r="AE21" s="4">
        <f>LOOKUP(O21,embodied_original!$C$2:$K$2,embodied_original!$C$4:$K$4)+LOOKUP(P21,embodied_original!$C$2:$K$2,embodied_original!$C$4:$K$4)</f>
        <v>528.70588235294122</v>
      </c>
      <c r="AF21" s="4">
        <f>LOOKUP(N21,embodied_original!$C$5:$X$5,embodied_original!$C$7:$X$7)</f>
        <v>993.24735716911789</v>
      </c>
      <c r="AG21" s="4">
        <f>LOOKUP(_xlfn.CEILING.MATH(O21,1),embodied_original!$C$17:$G$17,embodied_original!$C$19:$G$19)+LOOKUP(_xlfn.CEILING.MATH(P21),embodied_original!$C$17:$G$17,embodied_original!$C$19:$G$19)+LOOKUP(_xlfn.CEILING.MATH(Q21),embodied_original!$C$17:$G$17,embodied_original!$C$19:$G$19)+LOOKUP(_xlfn.CEILING.MATH(R21),embodied_original!$C$17:$G$17,embodied_original!$C$19:$G$19)+_xlfn.IFNA(LOOKUP(_xlfn.CEILING.MATH(S21),embodied_original!$C$17:$G$17,embodied_original!$C$19:$G$19),0)+_xlfn.IFNA(LOOKUP(_xlfn.CEILING.MATH(T21),embodied_original!$C$17:$G$17,embodied_original!$C$19:$G$19),0)</f>
        <v>1653.75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X22"/>
  <sheetViews>
    <sheetView topLeftCell="A8" workbookViewId="0">
      <selection activeCell="C17" sqref="C17"/>
    </sheetView>
  </sheetViews>
  <sheetFormatPr defaultRowHeight="14.4" x14ac:dyDescent="0.3"/>
  <cols>
    <col min="1" max="1" width="27.44140625" bestFit="1" customWidth="1"/>
    <col min="2" max="2" width="27.44140625" customWidth="1"/>
    <col min="3" max="11" width="9.5546875" bestFit="1" customWidth="1"/>
  </cols>
  <sheetData>
    <row r="1" spans="1:24" x14ac:dyDescent="0.3">
      <c r="A1" t="s">
        <v>26</v>
      </c>
      <c r="B1" t="s">
        <v>73</v>
      </c>
    </row>
    <row r="2" spans="1:24" x14ac:dyDescent="0.3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24" x14ac:dyDescent="0.3">
      <c r="A3" t="s">
        <v>28</v>
      </c>
      <c r="B3" s="3">
        <v>17</v>
      </c>
      <c r="C3" s="3">
        <v>214</v>
      </c>
      <c r="D3" s="3">
        <v>214</v>
      </c>
      <c r="E3" s="3">
        <v>214</v>
      </c>
      <c r="F3" s="3">
        <v>214</v>
      </c>
      <c r="G3" s="3">
        <v>214</v>
      </c>
      <c r="H3" s="3">
        <v>214</v>
      </c>
      <c r="I3" s="3">
        <v>214</v>
      </c>
      <c r="J3" s="3">
        <v>214</v>
      </c>
      <c r="K3" s="3">
        <v>214</v>
      </c>
    </row>
    <row r="4" spans="1:24" x14ac:dyDescent="0.3">
      <c r="C4" s="7">
        <f>21*C3/$B3</f>
        <v>264.35294117647061</v>
      </c>
      <c r="D4" s="7">
        <f t="shared" ref="D4:K4" si="0">21*D3/$B3</f>
        <v>264.35294117647061</v>
      </c>
      <c r="E4" s="7">
        <f t="shared" si="0"/>
        <v>264.35294117647061</v>
      </c>
      <c r="F4" s="7">
        <f t="shared" si="0"/>
        <v>264.35294117647061</v>
      </c>
      <c r="G4" s="7">
        <f t="shared" si="0"/>
        <v>264.35294117647061</v>
      </c>
      <c r="H4" s="7">
        <f t="shared" si="0"/>
        <v>264.35294117647061</v>
      </c>
      <c r="I4" s="7">
        <f t="shared" si="0"/>
        <v>264.35294117647061</v>
      </c>
      <c r="J4" s="7">
        <f t="shared" si="0"/>
        <v>264.35294117647061</v>
      </c>
      <c r="K4" s="7">
        <f t="shared" si="0"/>
        <v>264.35294117647061</v>
      </c>
    </row>
    <row r="5" spans="1:24" x14ac:dyDescent="0.3">
      <c r="A5" t="s">
        <v>27</v>
      </c>
      <c r="C5">
        <v>5</v>
      </c>
      <c r="D5">
        <v>5.5</v>
      </c>
      <c r="E5">
        <v>6</v>
      </c>
      <c r="F5">
        <v>6.5</v>
      </c>
      <c r="G5">
        <v>7</v>
      </c>
      <c r="H5">
        <v>7.5</v>
      </c>
      <c r="I5">
        <v>8</v>
      </c>
      <c r="J5">
        <v>8.5</v>
      </c>
      <c r="K5">
        <v>9</v>
      </c>
      <c r="L5">
        <v>9.5</v>
      </c>
      <c r="M5">
        <v>10</v>
      </c>
      <c r="N5">
        <v>10.5</v>
      </c>
      <c r="O5">
        <v>11</v>
      </c>
      <c r="P5">
        <v>11.5</v>
      </c>
      <c r="Q5">
        <v>12</v>
      </c>
      <c r="R5">
        <v>12.5</v>
      </c>
      <c r="S5">
        <v>13</v>
      </c>
      <c r="T5">
        <v>13.5</v>
      </c>
      <c r="U5">
        <v>14</v>
      </c>
      <c r="V5">
        <v>14.5</v>
      </c>
      <c r="W5">
        <v>15</v>
      </c>
      <c r="X5">
        <v>15.5</v>
      </c>
    </row>
    <row r="6" spans="1:24" x14ac:dyDescent="0.3">
      <c r="A6" t="s">
        <v>29</v>
      </c>
      <c r="B6" s="3">
        <v>17</v>
      </c>
      <c r="C6" s="3">
        <v>600</v>
      </c>
      <c r="D6" s="3">
        <v>630</v>
      </c>
      <c r="E6" s="3">
        <v>661.5</v>
      </c>
      <c r="F6" s="3">
        <v>694.57500000000005</v>
      </c>
      <c r="G6" s="3">
        <v>729.30375000000004</v>
      </c>
      <c r="H6" s="3">
        <v>765.76893750000011</v>
      </c>
      <c r="I6" s="3">
        <v>804.0573843750002</v>
      </c>
      <c r="J6" s="3">
        <v>844.26025359375024</v>
      </c>
      <c r="K6" s="3">
        <v>886.47326627343773</v>
      </c>
      <c r="L6" s="3">
        <v>930.79692958710962</v>
      </c>
      <c r="M6" s="3">
        <v>977.33677606646518</v>
      </c>
      <c r="N6" s="3">
        <v>1026.2036148697885</v>
      </c>
      <c r="O6" s="3">
        <v>1077.513795613278</v>
      </c>
      <c r="P6" s="3">
        <v>1131.3894853939421</v>
      </c>
      <c r="Q6" s="3">
        <v>1187.9589596636392</v>
      </c>
      <c r="R6" s="3">
        <v>1247.3569076468214</v>
      </c>
      <c r="S6" s="3">
        <v>1309.7247530291625</v>
      </c>
      <c r="T6" s="3">
        <v>1375.2109906806206</v>
      </c>
      <c r="U6" s="3">
        <v>1443.9715402146517</v>
      </c>
      <c r="V6" s="3">
        <v>1516.1701172253843</v>
      </c>
      <c r="W6" s="3">
        <v>1591.9786230866534</v>
      </c>
      <c r="X6" s="3">
        <v>1671.5775542409863</v>
      </c>
    </row>
    <row r="7" spans="1:24" x14ac:dyDescent="0.3">
      <c r="C7" s="7">
        <f>21*C6/$B6</f>
        <v>741.17647058823525</v>
      </c>
      <c r="D7" s="7">
        <f t="shared" ref="D7:X7" si="1">21*D6/$B6</f>
        <v>778.23529411764707</v>
      </c>
      <c r="E7" s="7">
        <f t="shared" si="1"/>
        <v>817.14705882352939</v>
      </c>
      <c r="F7" s="7">
        <f t="shared" si="1"/>
        <v>858.00441176470588</v>
      </c>
      <c r="G7" s="7">
        <f t="shared" si="1"/>
        <v>900.90463235294112</v>
      </c>
      <c r="H7" s="7">
        <f t="shared" si="1"/>
        <v>945.94986397058835</v>
      </c>
      <c r="I7" s="7">
        <f t="shared" si="1"/>
        <v>993.24735716911789</v>
      </c>
      <c r="J7" s="7">
        <f t="shared" si="1"/>
        <v>1042.9097250275738</v>
      </c>
      <c r="K7" s="7">
        <f t="shared" si="1"/>
        <v>1095.0552112789526</v>
      </c>
      <c r="L7" s="7">
        <f t="shared" si="1"/>
        <v>1149.8079718429001</v>
      </c>
      <c r="M7" s="7">
        <f t="shared" si="1"/>
        <v>1207.2983704350452</v>
      </c>
      <c r="N7" s="7">
        <f t="shared" si="1"/>
        <v>1267.6632889567975</v>
      </c>
      <c r="O7" s="7">
        <f t="shared" si="1"/>
        <v>1331.0464534046375</v>
      </c>
      <c r="P7" s="7">
        <f t="shared" si="1"/>
        <v>1397.5987760748696</v>
      </c>
      <c r="Q7" s="7">
        <f t="shared" si="1"/>
        <v>1467.4787148786131</v>
      </c>
      <c r="R7" s="7">
        <f t="shared" si="1"/>
        <v>1540.8526506225442</v>
      </c>
      <c r="S7" s="7">
        <f t="shared" si="1"/>
        <v>1617.8952831536715</v>
      </c>
      <c r="T7" s="7">
        <f t="shared" si="1"/>
        <v>1698.7900473113548</v>
      </c>
      <c r="U7" s="7">
        <f t="shared" si="1"/>
        <v>1783.7295496769227</v>
      </c>
      <c r="V7" s="7">
        <f t="shared" si="1"/>
        <v>1872.9160271607689</v>
      </c>
      <c r="W7" s="7">
        <f t="shared" si="1"/>
        <v>1966.5618285188073</v>
      </c>
      <c r="X7" s="7">
        <f t="shared" si="1"/>
        <v>2064.8899199447478</v>
      </c>
    </row>
    <row r="8" spans="1:24" x14ac:dyDescent="0.3">
      <c r="A8" t="s">
        <v>30</v>
      </c>
      <c r="C8">
        <v>135</v>
      </c>
      <c r="D8">
        <v>162</v>
      </c>
      <c r="E8">
        <v>180</v>
      </c>
      <c r="F8">
        <v>216</v>
      </c>
      <c r="G8">
        <v>300</v>
      </c>
      <c r="H8">
        <v>360</v>
      </c>
    </row>
    <row r="9" spans="1:24" x14ac:dyDescent="0.3">
      <c r="A9" t="s">
        <v>31</v>
      </c>
      <c r="B9" s="3">
        <v>17</v>
      </c>
      <c r="C9" s="3">
        <v>250</v>
      </c>
      <c r="D9" s="3">
        <v>300</v>
      </c>
      <c r="E9" s="3">
        <v>320</v>
      </c>
      <c r="F9" s="3">
        <v>400</v>
      </c>
      <c r="G9" s="3">
        <v>500</v>
      </c>
      <c r="H9" s="3">
        <v>520</v>
      </c>
    </row>
    <row r="10" spans="1:24" x14ac:dyDescent="0.3">
      <c r="C10" s="7">
        <f>21*C9/$B9</f>
        <v>308.8235294117647</v>
      </c>
      <c r="D10" s="7">
        <f t="shared" ref="D10:H10" si="2">21*D9/$B9</f>
        <v>370.58823529411762</v>
      </c>
      <c r="E10" s="7">
        <f t="shared" si="2"/>
        <v>395.29411764705884</v>
      </c>
      <c r="F10" s="7">
        <f t="shared" si="2"/>
        <v>494.11764705882354</v>
      </c>
      <c r="G10" s="7">
        <f t="shared" si="2"/>
        <v>617.64705882352939</v>
      </c>
      <c r="H10" s="7">
        <f t="shared" si="2"/>
        <v>642.35294117647061</v>
      </c>
    </row>
    <row r="11" spans="1:24" x14ac:dyDescent="0.3">
      <c r="A11" t="s">
        <v>30</v>
      </c>
      <c r="C11">
        <v>135</v>
      </c>
      <c r="D11">
        <v>162</v>
      </c>
      <c r="E11">
        <v>180</v>
      </c>
      <c r="F11">
        <v>216</v>
      </c>
      <c r="G11">
        <v>300</v>
      </c>
      <c r="H11">
        <v>360</v>
      </c>
    </row>
    <row r="12" spans="1:24" x14ac:dyDescent="0.3">
      <c r="A12" t="s">
        <v>32</v>
      </c>
      <c r="B12" s="3">
        <v>17</v>
      </c>
      <c r="C12" s="3">
        <v>400</v>
      </c>
      <c r="D12" s="3">
        <v>450</v>
      </c>
      <c r="E12" s="3">
        <v>500</v>
      </c>
      <c r="F12" s="3">
        <v>525</v>
      </c>
      <c r="G12" s="3">
        <v>650</v>
      </c>
      <c r="H12" s="3">
        <v>700</v>
      </c>
    </row>
    <row r="13" spans="1:24" x14ac:dyDescent="0.3">
      <c r="C13" s="7">
        <f>21*C12/$B12</f>
        <v>494.11764705882354</v>
      </c>
      <c r="D13" s="7">
        <f t="shared" ref="D13:H13" si="3">21*D12/$B12</f>
        <v>555.88235294117646</v>
      </c>
      <c r="E13" s="7">
        <f t="shared" si="3"/>
        <v>617.64705882352939</v>
      </c>
      <c r="F13" s="7">
        <f t="shared" si="3"/>
        <v>648.52941176470586</v>
      </c>
      <c r="G13" s="7">
        <f t="shared" si="3"/>
        <v>802.94117647058829</v>
      </c>
      <c r="H13" s="7">
        <f t="shared" si="3"/>
        <v>864.70588235294122</v>
      </c>
    </row>
    <row r="14" spans="1:24" x14ac:dyDescent="0.3">
      <c r="A14" t="s">
        <v>27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24" x14ac:dyDescent="0.3">
      <c r="A15" t="s">
        <v>33</v>
      </c>
      <c r="B15" s="3">
        <v>17</v>
      </c>
      <c r="C15" s="3">
        <v>1283.4000000000001</v>
      </c>
      <c r="D15" s="3">
        <v>1283.4000000000001</v>
      </c>
      <c r="E15" s="3">
        <v>1283.4000000000001</v>
      </c>
      <c r="F15" s="3">
        <v>1283.4000000000001</v>
      </c>
      <c r="G15" s="3">
        <v>1283.4000000000001</v>
      </c>
      <c r="H15" s="3">
        <v>1494.2</v>
      </c>
      <c r="I15" s="3">
        <v>1574.8</v>
      </c>
      <c r="J15" s="3">
        <v>1655.4</v>
      </c>
      <c r="K15" s="3">
        <v>1729.8</v>
      </c>
      <c r="L15" s="3">
        <v>1810.4</v>
      </c>
      <c r="M15" s="3">
        <v>1891</v>
      </c>
      <c r="N15" s="3">
        <v>1971.6000000000001</v>
      </c>
    </row>
    <row r="16" spans="1:24" x14ac:dyDescent="0.3">
      <c r="C16" s="7">
        <f>21*C15/$B15</f>
        <v>1585.3764705882354</v>
      </c>
      <c r="D16" s="7">
        <f t="shared" ref="D16:N16" si="4">21*D15/$B15</f>
        <v>1585.3764705882354</v>
      </c>
      <c r="E16" s="7">
        <f t="shared" si="4"/>
        <v>1585.3764705882354</v>
      </c>
      <c r="F16" s="7">
        <f t="shared" si="4"/>
        <v>1585.3764705882354</v>
      </c>
      <c r="G16" s="7">
        <f t="shared" si="4"/>
        <v>1585.3764705882354</v>
      </c>
      <c r="H16" s="7">
        <f t="shared" si="4"/>
        <v>1845.7764705882353</v>
      </c>
      <c r="I16" s="7">
        <f t="shared" si="4"/>
        <v>1945.3411764705879</v>
      </c>
      <c r="J16" s="7">
        <f t="shared" si="4"/>
        <v>2044.9058823529413</v>
      </c>
      <c r="K16" s="7">
        <f t="shared" si="4"/>
        <v>2136.8117647058821</v>
      </c>
      <c r="L16" s="7">
        <f t="shared" si="4"/>
        <v>2236.3764705882354</v>
      </c>
      <c r="M16" s="7">
        <f t="shared" si="4"/>
        <v>2335.9411764705883</v>
      </c>
      <c r="N16" s="7">
        <f t="shared" si="4"/>
        <v>2435.5058823529416</v>
      </c>
    </row>
    <row r="17" spans="1:7" x14ac:dyDescent="0.3">
      <c r="A17" t="s">
        <v>27</v>
      </c>
      <c r="C17">
        <v>1</v>
      </c>
      <c r="D17">
        <v>2</v>
      </c>
      <c r="E17">
        <v>3</v>
      </c>
      <c r="F17">
        <v>4</v>
      </c>
      <c r="G17">
        <v>5</v>
      </c>
    </row>
    <row r="18" spans="1:7" x14ac:dyDescent="0.3">
      <c r="A18" t="s">
        <v>34</v>
      </c>
      <c r="B18" s="3">
        <v>16</v>
      </c>
      <c r="C18" s="3">
        <v>190</v>
      </c>
      <c r="D18" s="3">
        <v>190</v>
      </c>
      <c r="E18" s="3">
        <v>205</v>
      </c>
      <c r="F18" s="3">
        <v>220</v>
      </c>
      <c r="G18" s="3">
        <v>295</v>
      </c>
    </row>
    <row r="19" spans="1:7" x14ac:dyDescent="0.3">
      <c r="C19" s="7">
        <f>21*C18/$B18</f>
        <v>249.375</v>
      </c>
      <c r="D19" s="7">
        <f t="shared" ref="D19:G19" si="5">21*D18/$B18</f>
        <v>249.375</v>
      </c>
      <c r="E19" s="7">
        <f t="shared" si="5"/>
        <v>269.0625</v>
      </c>
      <c r="F19" s="7">
        <f t="shared" si="5"/>
        <v>288.75</v>
      </c>
      <c r="G19" s="7">
        <f t="shared" si="5"/>
        <v>387.1875</v>
      </c>
    </row>
    <row r="20" spans="1:7" x14ac:dyDescent="0.3">
      <c r="A20" t="s">
        <v>30</v>
      </c>
      <c r="C20">
        <v>300</v>
      </c>
      <c r="D20">
        <v>800</v>
      </c>
    </row>
    <row r="21" spans="1:7" x14ac:dyDescent="0.3">
      <c r="A21" t="s">
        <v>35</v>
      </c>
      <c r="B21" s="3">
        <v>22</v>
      </c>
      <c r="C21" s="3">
        <v>450</v>
      </c>
      <c r="D21" s="3">
        <v>1200</v>
      </c>
    </row>
    <row r="22" spans="1:7" x14ac:dyDescent="0.3">
      <c r="C22" s="7">
        <f>21*C21/$B21</f>
        <v>429.54545454545456</v>
      </c>
      <c r="D22" s="7">
        <f>21*D21/$B21</f>
        <v>1145.4545454545455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Calculate_cap_emi</vt:lpstr>
      <vt:lpstr>embodied_original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2025-07-03T10:51:19Z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