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Никита\Desktop\"/>
    </mc:Choice>
  </mc:AlternateContent>
  <bookViews>
    <workbookView xWindow="0" yWindow="450" windowWidth="28800" windowHeight="11970"/>
  </bookViews>
  <sheets>
    <sheet name="Подготовка к отчету" sheetId="1" r:id="rId1"/>
    <sheet name="оплата счетов от Владика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11" i="1" l="1"/>
  <c r="J12" i="1" l="1"/>
  <c r="H12" i="1"/>
  <c r="H13" i="1"/>
  <c r="J13" i="1"/>
  <c r="K12" i="1"/>
  <c r="I13" i="1"/>
  <c r="K13" i="1" s="1"/>
  <c r="I12" i="1"/>
  <c r="H11" i="1" l="1"/>
  <c r="H7" i="1" l="1"/>
  <c r="J7" i="1"/>
  <c r="I11" i="1" l="1"/>
  <c r="K11" i="1" s="1"/>
  <c r="I10" i="1" l="1"/>
  <c r="K10" i="1" s="1"/>
  <c r="J2" i="1" l="1"/>
  <c r="J9" i="1" l="1"/>
  <c r="H9" i="1" l="1"/>
  <c r="I9" i="1" l="1"/>
  <c r="K9" i="1" s="1"/>
  <c r="J4" i="1" l="1"/>
  <c r="H4" i="1" l="1"/>
  <c r="I8" i="1"/>
  <c r="K8" i="1" s="1"/>
  <c r="J5" i="1" l="1"/>
  <c r="H6" i="1" l="1"/>
  <c r="I4" i="1"/>
  <c r="I6" i="1"/>
  <c r="K6" i="1" s="1"/>
  <c r="I7" i="1"/>
  <c r="K7" i="1" s="1"/>
  <c r="J3" i="1"/>
  <c r="H5" i="1"/>
  <c r="I5" i="1" s="1"/>
  <c r="H3" i="1"/>
  <c r="I3" i="1" s="1"/>
  <c r="H2" i="1"/>
  <c r="I2" i="1" s="1"/>
  <c r="K2" i="1" s="1"/>
  <c r="K3" i="1" l="1"/>
  <c r="K5" i="1"/>
  <c r="K4" i="1"/>
</calcChain>
</file>

<file path=xl/sharedStrings.xml><?xml version="1.0" encoding="utf-8"?>
<sst xmlns="http://schemas.openxmlformats.org/spreadsheetml/2006/main" count="111" uniqueCount="59">
  <si>
    <t>Машины /контейнера/авиа</t>
  </si>
  <si>
    <t>От кого</t>
  </si>
  <si>
    <t>Чего не хватает для отчета</t>
  </si>
  <si>
    <t>Суммы на закрывашки</t>
  </si>
  <si>
    <t>Статус счетов</t>
  </si>
  <si>
    <t>Статус отчета агента от Никиты</t>
  </si>
  <si>
    <t>ВТТ -144</t>
  </si>
  <si>
    <t>ВТТ -147</t>
  </si>
  <si>
    <t>ВТТ-148</t>
  </si>
  <si>
    <t>ВТТ -150</t>
  </si>
  <si>
    <t>ВТТ-153</t>
  </si>
  <si>
    <t>На оплату</t>
  </si>
  <si>
    <t>Статус закрывашек</t>
  </si>
  <si>
    <t>оплачено</t>
  </si>
  <si>
    <t>153 ВТТ</t>
  </si>
  <si>
    <t xml:space="preserve">150ВТТ </t>
  </si>
  <si>
    <t>ВТТ144</t>
  </si>
  <si>
    <t>ВТТ147</t>
  </si>
  <si>
    <t>ВТТ148</t>
  </si>
  <si>
    <t>Данные для отчета</t>
  </si>
  <si>
    <t>Обеспечение</t>
  </si>
  <si>
    <t>Разница</t>
  </si>
  <si>
    <t>Сумма таможни</t>
  </si>
  <si>
    <t>Общая сумма</t>
  </si>
  <si>
    <t>Оплата от клиентов</t>
  </si>
  <si>
    <t>АВИА, ВТТ</t>
  </si>
  <si>
    <t>Где находится</t>
  </si>
  <si>
    <t>Выпуск (08.11.2022)</t>
  </si>
  <si>
    <t>Выпуск (17.11.2022)</t>
  </si>
  <si>
    <t>Выпуск (24.11.2022)</t>
  </si>
  <si>
    <t>Выпуск (09.12.2022)</t>
  </si>
  <si>
    <t xml:space="preserve">SVP-119  (07-12-2022) </t>
  </si>
  <si>
    <t>+</t>
  </si>
  <si>
    <t>нет</t>
  </si>
  <si>
    <t>ВСЕ ЕСТЬ!</t>
  </si>
  <si>
    <t>Выпуск (14.12.2022)</t>
  </si>
  <si>
    <t>Комментарии</t>
  </si>
  <si>
    <t>SVP-120</t>
  </si>
  <si>
    <t>SVP-119</t>
  </si>
  <si>
    <t>SVP-121</t>
  </si>
  <si>
    <t>выпуск (29.12.2022)</t>
  </si>
  <si>
    <t xml:space="preserve">нет </t>
  </si>
  <si>
    <t xml:space="preserve">выпуск (09.01.2023) </t>
  </si>
  <si>
    <t>Выпуск (19.01.2023)</t>
  </si>
  <si>
    <t>-</t>
  </si>
  <si>
    <t>А17 ехал по договору поставки</t>
  </si>
  <si>
    <t xml:space="preserve">АВИА FA-840 линзы Турция </t>
  </si>
  <si>
    <t>Выпуск (06.02.2023)</t>
  </si>
  <si>
    <t>АВИА 707,Y102 ЯНВ 23</t>
  </si>
  <si>
    <t>Выпуск(15.02.2023)</t>
  </si>
  <si>
    <t>Сумма счетов на нас</t>
  </si>
  <si>
    <t>ехал под свой контракт, из счетов на нас есть только СВХ, ТК не было, забрали сами</t>
  </si>
  <si>
    <t>АВИА РМ ЯНВ 23 №1</t>
  </si>
  <si>
    <t>АВИА РМ ЯНВ 23 №2</t>
  </si>
  <si>
    <t>(01.02.2023)</t>
  </si>
  <si>
    <t>оформление ДТ 18000Р., СВ сказал делать счета на 40000р. По договоренности с Шеяном, счет за авифрахт перевыставлялся на РМ от ФИ</t>
  </si>
  <si>
    <t>закрывашка свх</t>
  </si>
  <si>
    <t>А102 оплачивал нам 68500р., тк был отдельный счет для него на эту сумму</t>
  </si>
  <si>
    <t>Нужна закрывашка свх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</si>
</sst>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₽&quot;_-;\-* #,##0.00\ &quot;₽&quot;_-;_-* &quot;-&quot;??\ &quot;₽&quot;_-;_-@_-"/>
    <numFmt numFmtId="164" formatCode="#,##0.00\ &quot;₽&quot;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4.9989318521683403E-2"/>
      <name val="Calibri"/>
      <scheme val="minor"/>
    </font>
    <font>
      <sz val="24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1D2FB"/>
        <bgColor indexed="64"/>
      </patternFill>
    </fill>
    <fill>
      <patternFill patternType="solid">
        <fgColor rgb="FFF79BD6"/>
        <bgColor indexed="64"/>
      </patternFill>
    </fill>
    <fill>
      <patternFill patternType="solid">
        <fgColor rgb="FFCACBFA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DC677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7" xfId="0" applyBorder="1"/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164" fontId="0" fillId="0" borderId="0" xfId="0" applyNumberFormat="1"/>
    <xf numFmtId="164" fontId="0" fillId="0" borderId="1" xfId="0" applyNumberFormat="1" applyBorder="1"/>
    <xf numFmtId="164" fontId="0" fillId="0" borderId="3" xfId="0" applyNumberFormat="1" applyBorder="1"/>
    <xf numFmtId="164" fontId="0" fillId="4" borderId="1" xfId="0" applyNumberFormat="1" applyFill="1" applyBorder="1"/>
    <xf numFmtId="44" fontId="0" fillId="0" borderId="1" xfId="1" applyFont="1" applyBorder="1"/>
    <xf numFmtId="164" fontId="0" fillId="3" borderId="1" xfId="0" applyNumberFormat="1" applyFill="1" applyBorder="1"/>
    <xf numFmtId="164" fontId="0" fillId="3" borderId="3" xfId="0" applyNumberFormat="1" applyFill="1" applyBorder="1"/>
    <xf numFmtId="0" fontId="0" fillId="8" borderId="1" xfId="0" applyFill="1" applyBorder="1" applyAlignment="1">
      <alignment horizontal="center" vertical="center"/>
    </xf>
    <xf numFmtId="164" fontId="0" fillId="0" borderId="2" xfId="0" applyNumberFormat="1" applyBorder="1"/>
    <xf numFmtId="0" fontId="5" fillId="9" borderId="4" xfId="0" applyFont="1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64" fontId="0" fillId="4" borderId="3" xfId="0" applyNumberFormat="1" applyFill="1" applyBorder="1"/>
    <xf numFmtId="0" fontId="0" fillId="0" borderId="7" xfId="0" applyNumberFormat="1" applyBorder="1"/>
    <xf numFmtId="164" fontId="0" fillId="0" borderId="3" xfId="0" applyNumberFormat="1" applyBorder="1" applyAlignment="1">
      <alignment wrapText="1"/>
    </xf>
    <xf numFmtId="164" fontId="0" fillId="0" borderId="1" xfId="0" applyNumberFormat="1" applyBorder="1" applyAlignment="1">
      <alignment wrapText="1"/>
    </xf>
    <xf numFmtId="0" fontId="0" fillId="8" borderId="3" xfId="0" applyFill="1" applyBorder="1" applyAlignment="1">
      <alignment horizontal="center" vertical="center"/>
    </xf>
    <xf numFmtId="0" fontId="0" fillId="0" borderId="8" xfId="0" applyNumberFormat="1" applyBorder="1"/>
    <xf numFmtId="14" fontId="0" fillId="3" borderId="1" xfId="0" applyNumberForma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</cellXfs>
  <cellStyles count="2">
    <cellStyle name="Денежный" xfId="1" builtinId="4"/>
    <cellStyle name="Обычный" xfId="0" builtinId="0"/>
  </cellStyles>
  <dxfs count="28">
    <dxf>
      <font>
        <b val="0"/>
        <strike val="0"/>
        <outline val="0"/>
        <shadow val="0"/>
        <u val="none"/>
        <vertAlign val="baseline"/>
        <sz val="2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2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#,##0.00\ &quot;₽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#,##0.00\ &quot;₽&quot;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#,##0.00\ &quot;₽&quot;"/>
      <fill>
        <patternFill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#,##0.00\ &quot;₽&quot;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#,##0.00\ &quot;₽&quot;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DC677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2" tint="-9.9978637043366805E-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6C1F7"/>
        </patternFill>
      </fill>
    </dxf>
  </dxfs>
  <tableStyles count="0" defaultTableStyle="TableStyleMedium2" defaultPivotStyle="PivotStyleLight16"/>
  <colors>
    <mruColors>
      <color rgb="FFEDC677"/>
      <color rgb="FFA7ED77"/>
      <color rgb="FFDFE97B"/>
      <color rgb="FFCACBFA"/>
      <color rgb="FFC6C1F7"/>
      <color rgb="FFD1D2FB"/>
      <color rgb="FFE9F0A4"/>
      <color rgb="FFA4ACFA"/>
      <color rgb="FFF79B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2" displayName="Таблица2" ref="A1:L13" totalsRowShown="0" headerRowDxfId="24" tableBorderDxfId="23">
  <autoFilter ref="A1:L13"/>
  <tableColumns count="12">
    <tableColumn id="1" name="Машины /контейнера/авиа" dataDxfId="22"/>
    <tableColumn id="2" name="Где находится" dataDxfId="21"/>
    <tableColumn id="3" name="Чего не хватает для отчета" dataDxfId="3"/>
    <tableColumn id="4" name="Данные для отчета" dataDxfId="2"/>
    <tableColumn id="5" name="Статус отчета агента от Никиты" dataDxfId="0"/>
    <tableColumn id="6" name="Обеспечение" dataDxfId="1"/>
    <tableColumn id="7" name="Сумма таможни" dataDxfId="20"/>
    <tableColumn id="8" name="Сумма счетов на нас" dataDxfId="19"/>
    <tableColumn id="9" name="Общая сумма" dataDxfId="18">
      <calculatedColumnFormula>Таблица2[[#This Row],[Сумма таможни]]+Таблица2[[#This Row],[Сумма счетов на нас]]</calculatedColumnFormula>
    </tableColumn>
    <tableColumn id="10" name="Оплата от клиентов" dataDxfId="17"/>
    <tableColumn id="11" name="Разница" dataDxfId="16">
      <calculatedColumnFormula>Таблица2[[#This Row],[Оплата от клиентов]]-Таблица2[[#This Row],[Общая сумма]]</calculatedColumnFormula>
    </tableColumn>
    <tableColumn id="13" name="Комментарии" dataDxfId="15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3" name="Таблица3" displayName="Таблица3" ref="A1:F9" totalsRowShown="0" headerRowDxfId="14" dataDxfId="12" headerRowBorderDxfId="13" tableBorderDxfId="11" totalsRowBorderDxfId="10">
  <autoFilter ref="A1:F9"/>
  <tableColumns count="6">
    <tableColumn id="1" name="АВИА, ВТТ" dataDxfId="9"/>
    <tableColumn id="2" name="На оплату" dataDxfId="8"/>
    <tableColumn id="3" name="Статус счетов" dataDxfId="7"/>
    <tableColumn id="4" name="Суммы на закрывашки" dataDxfId="6"/>
    <tableColumn id="5" name="От кого" dataDxfId="5"/>
    <tableColumn id="6" name="Статус закрывашек" dataDxfId="4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zoomScale="70" zoomScaleNormal="70" workbookViewId="0">
      <selection activeCell="F17" sqref="F17"/>
    </sheetView>
  </sheetViews>
  <sheetFormatPr defaultRowHeight="15" x14ac:dyDescent="0.25"/>
  <cols>
    <col min="1" max="1" width="28.7109375" customWidth="1"/>
    <col min="2" max="2" width="23.140625" customWidth="1"/>
    <col min="3" max="3" width="70" customWidth="1"/>
    <col min="4" max="4" width="20.140625" customWidth="1"/>
    <col min="5" max="5" width="19.28515625" customWidth="1"/>
    <col min="6" max="6" width="17.85546875" customWidth="1"/>
    <col min="7" max="7" width="17.7109375" customWidth="1"/>
    <col min="8" max="8" width="22.140625" customWidth="1"/>
    <col min="9" max="9" width="17" customWidth="1"/>
    <col min="10" max="10" width="28.28515625" customWidth="1"/>
    <col min="11" max="11" width="25.85546875" customWidth="1"/>
    <col min="12" max="12" width="50.7109375" customWidth="1"/>
  </cols>
  <sheetData>
    <row r="1" spans="1:12" ht="43.15" customHeight="1" x14ac:dyDescent="0.25">
      <c r="A1" s="16" t="s">
        <v>0</v>
      </c>
      <c r="B1" s="17" t="s">
        <v>26</v>
      </c>
      <c r="C1" s="17" t="s">
        <v>2</v>
      </c>
      <c r="D1" s="17" t="s">
        <v>19</v>
      </c>
      <c r="E1" s="17" t="s">
        <v>5</v>
      </c>
      <c r="F1" s="18" t="s">
        <v>20</v>
      </c>
      <c r="G1" s="21" t="s">
        <v>22</v>
      </c>
      <c r="H1" s="21" t="s">
        <v>50</v>
      </c>
      <c r="I1" s="19" t="s">
        <v>23</v>
      </c>
      <c r="J1" s="21" t="s">
        <v>24</v>
      </c>
      <c r="K1" s="20" t="s">
        <v>21</v>
      </c>
      <c r="L1" s="31" t="s">
        <v>36</v>
      </c>
    </row>
    <row r="2" spans="1:12" ht="45" customHeight="1" x14ac:dyDescent="0.25">
      <c r="A2" s="32" t="s">
        <v>6</v>
      </c>
      <c r="B2" s="1" t="s">
        <v>27</v>
      </c>
      <c r="C2" s="29" t="s">
        <v>34</v>
      </c>
      <c r="D2" s="47" t="s">
        <v>32</v>
      </c>
      <c r="E2" s="47" t="s">
        <v>32</v>
      </c>
      <c r="F2" s="1" t="s">
        <v>33</v>
      </c>
      <c r="G2" s="22">
        <v>5748.76</v>
      </c>
      <c r="H2" s="23">
        <f>4500+58362</f>
        <v>62862</v>
      </c>
      <c r="I2" s="25">
        <f>Таблица2[[#This Row],[Сумма таможни]]+Таблица2[[#This Row],[Сумма счетов на нас]]</f>
        <v>68610.759999999995</v>
      </c>
      <c r="J2" s="27">
        <f>264974.86+48648.57+159827.18+264974.86</f>
        <v>738425.47</v>
      </c>
      <c r="K2" s="6">
        <f>Таблица2[[#This Row],[Оплата от клиентов]]-Таблица2[[#This Row],[Общая сумма]]</f>
        <v>669814.71</v>
      </c>
      <c r="L2" s="30"/>
    </row>
    <row r="3" spans="1:12" ht="44.45" customHeight="1" x14ac:dyDescent="0.25">
      <c r="A3" s="32" t="s">
        <v>7</v>
      </c>
      <c r="B3" s="1" t="s">
        <v>28</v>
      </c>
      <c r="C3" s="29" t="s">
        <v>34</v>
      </c>
      <c r="D3" s="47" t="s">
        <v>32</v>
      </c>
      <c r="E3" s="47" t="s">
        <v>32</v>
      </c>
      <c r="F3" s="1" t="s">
        <v>33</v>
      </c>
      <c r="G3" s="23">
        <v>26552.73</v>
      </c>
      <c r="H3" s="23">
        <f>4500+162417</f>
        <v>166917</v>
      </c>
      <c r="I3" s="25">
        <f>Таблица2[[#This Row],[Сумма таможни]]+Таблица2[[#This Row],[Сумма счетов на нас]]</f>
        <v>193469.73</v>
      </c>
      <c r="J3" s="27">
        <f>217793.6+387426.53</f>
        <v>605220.13</v>
      </c>
      <c r="K3" s="6">
        <f>Таблица2[[#This Row],[Оплата от клиентов]]-Таблица2[[#This Row],[Общая сумма]]</f>
        <v>411750.40000000002</v>
      </c>
      <c r="L3" s="23"/>
    </row>
    <row r="4" spans="1:12" ht="48.6" customHeight="1" x14ac:dyDescent="0.25">
      <c r="A4" s="32" t="s">
        <v>8</v>
      </c>
      <c r="B4" s="1" t="s">
        <v>29</v>
      </c>
      <c r="C4" s="29" t="s">
        <v>34</v>
      </c>
      <c r="D4" s="47" t="s">
        <v>32</v>
      </c>
      <c r="E4" s="47" t="s">
        <v>32</v>
      </c>
      <c r="F4" s="1" t="s">
        <v>33</v>
      </c>
      <c r="G4" s="26">
        <v>5564.54</v>
      </c>
      <c r="H4" s="23">
        <f>4500+80424</f>
        <v>84924</v>
      </c>
      <c r="I4" s="25">
        <f>Таблица2[[#This Row],[Сумма таможни]]+Таблица2[[#This Row],[Сумма счетов на нас]]</f>
        <v>90488.54</v>
      </c>
      <c r="J4" s="23">
        <f>189268.41+41948.96+8850</f>
        <v>240067.37</v>
      </c>
      <c r="K4" s="6">
        <f>Таблица2[[#This Row],[Оплата от клиентов]]-Таблица2[[#This Row],[Общая сумма]]</f>
        <v>149578.83000000002</v>
      </c>
      <c r="L4" s="38"/>
    </row>
    <row r="5" spans="1:12" ht="55.15" customHeight="1" x14ac:dyDescent="0.25">
      <c r="A5" s="32" t="s">
        <v>9</v>
      </c>
      <c r="B5" s="1" t="s">
        <v>30</v>
      </c>
      <c r="C5" s="29" t="s">
        <v>34</v>
      </c>
      <c r="D5" s="47" t="s">
        <v>32</v>
      </c>
      <c r="E5" s="47" t="s">
        <v>32</v>
      </c>
      <c r="F5" s="1" t="s">
        <v>33</v>
      </c>
      <c r="G5" s="5">
        <v>83174.990000000005</v>
      </c>
      <c r="H5" s="23">
        <f>5500+1031087.5+70425.6</f>
        <v>1107013.1000000001</v>
      </c>
      <c r="I5" s="25">
        <f>Таблица2[[#This Row],[Сумма таможни]]+Таблица2[[#This Row],[Сумма счетов на нас]]</f>
        <v>1190188.0900000001</v>
      </c>
      <c r="J5" s="23">
        <f>(43475.35+12875)+(1054249+1276804.78+12875)+104476.02+(698467.63+2790)</f>
        <v>3206012.7800000003</v>
      </c>
      <c r="K5" s="6">
        <f>Таблица2[[#This Row],[Оплата от клиентов]]-Таблица2[[#This Row],[Общая сумма]]</f>
        <v>2015824.6900000002</v>
      </c>
      <c r="L5" s="23"/>
    </row>
    <row r="6" spans="1:12" ht="48" customHeight="1" x14ac:dyDescent="0.25">
      <c r="A6" s="33" t="s">
        <v>10</v>
      </c>
      <c r="B6" s="1" t="s">
        <v>35</v>
      </c>
      <c r="C6" s="39" t="s">
        <v>34</v>
      </c>
      <c r="D6" s="48" t="s">
        <v>32</v>
      </c>
      <c r="E6" s="48" t="s">
        <v>32</v>
      </c>
      <c r="F6" s="1" t="s">
        <v>33</v>
      </c>
      <c r="G6">
        <v>59664.3</v>
      </c>
      <c r="H6" s="24">
        <f>602674+4500</f>
        <v>607174</v>
      </c>
      <c r="I6" s="25">
        <f>Таблица2[[#This Row],[Сумма таможни]]+Таблица2[[#This Row],[Сумма счетов на нас]]</f>
        <v>666838.30000000005</v>
      </c>
      <c r="J6" s="28">
        <v>1617870.44</v>
      </c>
      <c r="K6" s="7">
        <f>Таблица2[[#This Row],[Оплата от клиентов]]-Таблица2[[#This Row],[Общая сумма]]</f>
        <v>951032.1399999999</v>
      </c>
      <c r="L6" s="38"/>
    </row>
    <row r="7" spans="1:12" ht="54" customHeight="1" x14ac:dyDescent="0.25">
      <c r="A7" s="33" t="s">
        <v>31</v>
      </c>
      <c r="B7" s="1" t="s">
        <v>40</v>
      </c>
      <c r="C7" s="39" t="s">
        <v>34</v>
      </c>
      <c r="D7" s="48" t="s">
        <v>32</v>
      </c>
      <c r="E7" s="49" t="s">
        <v>32</v>
      </c>
      <c r="F7" s="1" t="s">
        <v>41</v>
      </c>
      <c r="G7" s="24">
        <v>752631.83</v>
      </c>
      <c r="H7" s="24">
        <f>229186.1+3000+8191.26</f>
        <v>240377.36000000002</v>
      </c>
      <c r="I7" s="25">
        <f>Таблица2[[#This Row],[Сумма таможни]]+Таблица2[[#This Row],[Сумма счетов на нас]]</f>
        <v>993009.19</v>
      </c>
      <c r="J7" s="24">
        <f>42336.67+110672.42+479457.37+125182.53+147369.05+147552.84+26999.24+117088.28+40000+40000+8191.26</f>
        <v>1284849.6600000001</v>
      </c>
      <c r="K7" s="7">
        <f>Таблица2[[#This Row],[Оплата от клиентов]]-Таблица2[[#This Row],[Общая сумма]]</f>
        <v>291840.4700000002</v>
      </c>
      <c r="L7" s="37"/>
    </row>
    <row r="8" spans="1:12" ht="46.15" customHeight="1" x14ac:dyDescent="0.25">
      <c r="A8" s="33" t="s">
        <v>37</v>
      </c>
      <c r="B8" s="34" t="s">
        <v>42</v>
      </c>
      <c r="C8" s="39" t="s">
        <v>34</v>
      </c>
      <c r="D8" s="48" t="s">
        <v>32</v>
      </c>
      <c r="E8" s="48" t="s">
        <v>32</v>
      </c>
      <c r="F8" s="1" t="s">
        <v>41</v>
      </c>
      <c r="G8" s="23">
        <v>463337.19</v>
      </c>
      <c r="H8" s="24">
        <v>54637.499999999993</v>
      </c>
      <c r="I8" s="35">
        <f>Таблица2[[#This Row],[Сумма таможни]]+Таблица2[[#This Row],[Сумма счетов на нас]]</f>
        <v>517974.69</v>
      </c>
      <c r="J8" s="24">
        <v>560561.35</v>
      </c>
      <c r="K8" s="36">
        <f>Таблица2[[#This Row],[Оплата от клиентов]]-Таблица2[[#This Row],[Общая сумма]]</f>
        <v>42586.659999999974</v>
      </c>
      <c r="L8" s="37"/>
    </row>
    <row r="9" spans="1:12" ht="49.15" customHeight="1" x14ac:dyDescent="0.25">
      <c r="A9" s="33" t="s">
        <v>39</v>
      </c>
      <c r="B9" s="41" t="s">
        <v>43</v>
      </c>
      <c r="C9" s="34" t="s">
        <v>58</v>
      </c>
      <c r="D9" s="47" t="s">
        <v>44</v>
      </c>
      <c r="E9" s="47" t="s">
        <v>44</v>
      </c>
      <c r="F9" s="1" t="s">
        <v>33</v>
      </c>
      <c r="G9" s="5">
        <v>215503.11</v>
      </c>
      <c r="H9" s="23">
        <f>204989.26+9556.74</f>
        <v>214546</v>
      </c>
      <c r="I9" s="25">
        <f>Таблица2[[#This Row],[Сумма таможни]]+Таблица2[[#This Row],[Сумма счетов на нас]]</f>
        <v>430049.11</v>
      </c>
      <c r="J9" s="23">
        <f>107907.6+361320.97+4205.13</f>
        <v>473433.69999999995</v>
      </c>
      <c r="K9" s="40">
        <f>Таблица2[[#This Row],[Оплата от клиентов]]-Таблица2[[#This Row],[Общая сумма]]</f>
        <v>43384.589999999967</v>
      </c>
      <c r="L9" s="38" t="s">
        <v>45</v>
      </c>
    </row>
    <row r="10" spans="1:12" ht="56.45" customHeight="1" x14ac:dyDescent="0.25">
      <c r="A10" s="42" t="s">
        <v>46</v>
      </c>
      <c r="B10" s="34" t="s">
        <v>47</v>
      </c>
      <c r="C10" s="39" t="s">
        <v>34</v>
      </c>
      <c r="D10" s="48" t="s">
        <v>44</v>
      </c>
      <c r="E10" s="48" t="s">
        <v>32</v>
      </c>
      <c r="F10" s="3" t="s">
        <v>33</v>
      </c>
      <c r="G10" s="43"/>
      <c r="H10" s="24">
        <v>3818.3</v>
      </c>
      <c r="I10" s="35">
        <f>Таблица2[[#This Row],[Сумма таможни]]+Таблица2[[#This Row],[Сумма счетов на нас]]</f>
        <v>3818.3</v>
      </c>
      <c r="J10" s="24">
        <f>42500+3818.3</f>
        <v>46318.3</v>
      </c>
      <c r="K10" s="36">
        <f>Таблица2[[#This Row],[Оплата от клиентов]]-Таблица2[[#This Row],[Общая сумма]]</f>
        <v>42500</v>
      </c>
      <c r="L10" s="38" t="s">
        <v>51</v>
      </c>
    </row>
    <row r="11" spans="1:12" ht="67.150000000000006" customHeight="1" x14ac:dyDescent="0.25">
      <c r="A11" s="33" t="s">
        <v>48</v>
      </c>
      <c r="B11" s="34" t="s">
        <v>49</v>
      </c>
      <c r="C11" s="3" t="s">
        <v>56</v>
      </c>
      <c r="D11" s="48" t="s">
        <v>44</v>
      </c>
      <c r="E11" s="48" t="s">
        <v>44</v>
      </c>
      <c r="F11" s="3" t="s">
        <v>33</v>
      </c>
      <c r="G11" s="24"/>
      <c r="H11" s="24">
        <f>238964.19+68500</f>
        <v>307464.19</v>
      </c>
      <c r="I11" s="35">
        <f>Таблица2[[#This Row],[Сумма таможни]]+Таблица2[[#This Row],[Сумма счетов на нас]]</f>
        <v>307464.19</v>
      </c>
      <c r="J11" s="24">
        <f>68500+325315.88</f>
        <v>393815.88</v>
      </c>
      <c r="K11" s="36">
        <f>Таблица2[[#This Row],[Оплата от клиентов]]-Таблица2[[#This Row],[Общая сумма]]</f>
        <v>86351.69</v>
      </c>
      <c r="L11" s="38" t="s">
        <v>57</v>
      </c>
    </row>
    <row r="12" spans="1:12" ht="38.450000000000003" customHeight="1" x14ac:dyDescent="0.25">
      <c r="A12" s="33" t="s">
        <v>52</v>
      </c>
      <c r="B12" s="34" t="s">
        <v>54</v>
      </c>
      <c r="C12" s="39" t="s">
        <v>34</v>
      </c>
      <c r="D12" s="48" t="s">
        <v>32</v>
      </c>
      <c r="E12" s="48" t="s">
        <v>32</v>
      </c>
      <c r="F12" s="3" t="s">
        <v>33</v>
      </c>
      <c r="G12" s="24"/>
      <c r="H12" s="24">
        <f>18000+18000+12403.51+193089.4</f>
        <v>241492.91</v>
      </c>
      <c r="I12" s="35">
        <f>Таблица2[[#This Row],[Сумма таможни]]+Таблица2[[#This Row],[Сумма счетов на нас]]</f>
        <v>241492.91</v>
      </c>
      <c r="J12" s="24">
        <f>40000+40000+12403.51+193089.4</f>
        <v>285492.90999999997</v>
      </c>
      <c r="K12" s="36">
        <f>Таблица2[[#This Row],[Оплата от клиентов]]-Таблица2[[#This Row],[Сумма счетов на нас]]</f>
        <v>43999.999999999971</v>
      </c>
      <c r="L12" s="38" t="s">
        <v>55</v>
      </c>
    </row>
    <row r="13" spans="1:12" ht="40.15" customHeight="1" x14ac:dyDescent="0.25">
      <c r="A13" s="33" t="s">
        <v>53</v>
      </c>
      <c r="B13" s="34" t="s">
        <v>54</v>
      </c>
      <c r="C13" s="29" t="s">
        <v>34</v>
      </c>
      <c r="D13" s="47" t="s">
        <v>32</v>
      </c>
      <c r="E13" s="47" t="s">
        <v>32</v>
      </c>
      <c r="F13" s="3" t="s">
        <v>33</v>
      </c>
      <c r="G13" s="44"/>
      <c r="H13" s="23">
        <f>5456.53+18000+153903.4</f>
        <v>177359.93</v>
      </c>
      <c r="I13" s="25">
        <f>Таблица2[[#This Row],[Сумма таможни]]+Таблица2[[#This Row],[Сумма счетов на нас]]</f>
        <v>177359.93</v>
      </c>
      <c r="J13" s="23">
        <f>5456.53+40000+153903.4</f>
        <v>199359.93</v>
      </c>
      <c r="K13" s="40">
        <f>Таблица2[[#This Row],[Оплата от клиентов]]-Таблица2[[#This Row],[Общая сумма]]</f>
        <v>22000</v>
      </c>
      <c r="L13" s="38" t="s">
        <v>55</v>
      </c>
    </row>
    <row r="36" spans="6:10" x14ac:dyDescent="0.25">
      <c r="F36" s="45"/>
      <c r="G36" s="46"/>
      <c r="H36" s="46"/>
      <c r="I36" s="46"/>
      <c r="J36" s="46"/>
    </row>
  </sheetData>
  <mergeCells count="1">
    <mergeCell ref="F36:J36"/>
  </mergeCells>
  <phoneticPr fontId="1" type="noConversion"/>
  <conditionalFormatting sqref="K14:L1048576 K1:K13">
    <cfRule type="cellIs" dxfId="27" priority="1" operator="equal">
      <formula>"Разница"</formula>
    </cfRule>
    <cfRule type="cellIs" dxfId="26" priority="2" operator="greaterThan">
      <formula>0</formula>
    </cfRule>
    <cfRule type="cellIs" dxfId="25" priority="3" operator="lessThan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15" sqref="D15"/>
    </sheetView>
  </sheetViews>
  <sheetFormatPr defaultRowHeight="15" x14ac:dyDescent="0.25"/>
  <cols>
    <col min="1" max="2" width="21.85546875" customWidth="1"/>
    <col min="3" max="3" width="29.42578125" customWidth="1"/>
    <col min="4" max="4" width="27" customWidth="1"/>
    <col min="5" max="6" width="26.28515625" customWidth="1"/>
    <col min="7" max="7" width="19.42578125" customWidth="1"/>
    <col min="10" max="10" width="15.28515625" customWidth="1"/>
  </cols>
  <sheetData>
    <row r="1" spans="1:6" ht="29.25" customHeight="1" x14ac:dyDescent="0.25">
      <c r="A1" s="12" t="s">
        <v>25</v>
      </c>
      <c r="B1" s="13" t="s">
        <v>11</v>
      </c>
      <c r="C1" s="13" t="s">
        <v>4</v>
      </c>
      <c r="D1" s="14" t="s">
        <v>3</v>
      </c>
      <c r="E1" s="14" t="s">
        <v>1</v>
      </c>
      <c r="F1" s="15" t="s">
        <v>12</v>
      </c>
    </row>
    <row r="2" spans="1:6" x14ac:dyDescent="0.25">
      <c r="A2" s="8" t="s">
        <v>14</v>
      </c>
      <c r="B2" s="1"/>
      <c r="C2" s="2" t="s">
        <v>13</v>
      </c>
      <c r="D2" s="1"/>
      <c r="E2" s="1"/>
      <c r="F2" s="9"/>
    </row>
    <row r="3" spans="1:6" x14ac:dyDescent="0.25">
      <c r="A3" s="8" t="s">
        <v>15</v>
      </c>
      <c r="B3" s="1"/>
      <c r="C3" s="2" t="s">
        <v>13</v>
      </c>
      <c r="D3" s="1"/>
      <c r="E3" s="1"/>
      <c r="F3" s="9"/>
    </row>
    <row r="4" spans="1:6" ht="18" customHeight="1" x14ac:dyDescent="0.25">
      <c r="A4" s="8" t="s">
        <v>16</v>
      </c>
      <c r="B4" s="1"/>
      <c r="C4" s="2" t="s">
        <v>13</v>
      </c>
      <c r="D4" s="1"/>
      <c r="E4" s="1"/>
      <c r="F4" s="9"/>
    </row>
    <row r="5" spans="1:6" x14ac:dyDescent="0.25">
      <c r="A5" s="8" t="s">
        <v>17</v>
      </c>
      <c r="B5" s="1"/>
      <c r="C5" s="2" t="s">
        <v>13</v>
      </c>
      <c r="D5" s="1"/>
      <c r="E5" s="1"/>
      <c r="F5" s="9"/>
    </row>
    <row r="6" spans="1:6" x14ac:dyDescent="0.25">
      <c r="A6" s="10" t="s">
        <v>18</v>
      </c>
      <c r="B6" s="3"/>
      <c r="C6" s="4" t="s">
        <v>13</v>
      </c>
      <c r="D6" s="3"/>
      <c r="E6" s="3"/>
      <c r="F6" s="11"/>
    </row>
    <row r="7" spans="1:6" x14ac:dyDescent="0.25">
      <c r="A7" s="10" t="s">
        <v>38</v>
      </c>
      <c r="B7" s="3"/>
      <c r="C7" s="4" t="s">
        <v>13</v>
      </c>
      <c r="D7" s="3"/>
      <c r="E7" s="3"/>
      <c r="F7" s="11"/>
    </row>
    <row r="8" spans="1:6" ht="31.5" customHeight="1" x14ac:dyDescent="0.25">
      <c r="A8" s="10" t="s">
        <v>37</v>
      </c>
      <c r="B8" s="3"/>
      <c r="C8" s="4" t="s">
        <v>13</v>
      </c>
      <c r="D8" s="3"/>
      <c r="E8" s="3"/>
      <c r="F8" s="11"/>
    </row>
    <row r="9" spans="1:6" ht="39.75" customHeight="1" x14ac:dyDescent="0.25">
      <c r="A9" s="10" t="s">
        <v>39</v>
      </c>
      <c r="B9" s="1"/>
      <c r="C9" s="4" t="s">
        <v>13</v>
      </c>
      <c r="D9" s="1"/>
      <c r="E9" s="1"/>
      <c r="F9" s="9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Подготовка к отчету</vt:lpstr>
      <vt:lpstr>оплата счетов от Владика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Чернуха</dc:creator>
  <cp:lastModifiedBy>Никита</cp:lastModifiedBy>
  <dcterms:created xsi:type="dcterms:W3CDTF">2015-06-05T18:17:20Z</dcterms:created>
  <dcterms:modified xsi:type="dcterms:W3CDTF">2023-02-20T14:40:11Z</dcterms:modified>
</cp:coreProperties>
</file>