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Никита\YandexDisk-pyvalov\ФИНАНСЫ ПОТАМОЖНЕ\ФАСТ ИМПОРТ\Финансы\"/>
    </mc:Choice>
  </mc:AlternateContent>
  <bookViews>
    <workbookView xWindow="-105" yWindow="-105" windowWidth="23250" windowHeight="12570"/>
  </bookViews>
  <sheets>
    <sheet name="Счета и Платежи" sheetId="1" r:id="rId1"/>
    <sheet name="Лист1" sheetId="3" r:id="rId2"/>
    <sheet name="Финансы по клиентам" sheetId="2" r:id="rId3"/>
  </sheets>
  <definedNames>
    <definedName name="_xlcn.WorksheetConnection_СчетаФИ.xlsxТаблица21" hidden="1">Таблица2[]</definedName>
  </definedNames>
  <calcPr calcId="152511" refMode="R1C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" name="Таблица2" connection="WorksheetConnection_Счета ФИ.xlsx!Таблица2"/>
        </x15:modelTables>
        <x15:extLst>
          <ext xmlns:x16="http://schemas.microsoft.com/office/spreadsheetml/2014/11/main" uri="{9835A34E-60A6-4A7C-AAB8-D5F71C897F49}">
            <x16:modelTimeGroupings>
              <x16:modelTimeGrouping tableName="Таблица2" columnName="Дата" columnId="Дата">
                <x16:calculatedTimeColumn columnName="Дата (Индекс месяца)" columnId="Дата (Индекс месяца)" contentType="monthsindex" isSelected="1"/>
                <x16:calculatedTimeColumn columnName="Дата (Месяц)" columnId="Дата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M941" i="1" l="1"/>
  <c r="N941" i="1"/>
  <c r="R941" i="1" s="1"/>
  <c r="O941" i="1"/>
  <c r="AB941" i="1" s="1"/>
  <c r="P941" i="1" l="1"/>
  <c r="AA941" i="1" s="1"/>
  <c r="N940" i="1"/>
  <c r="R940" i="1" s="1"/>
  <c r="M940" i="1"/>
  <c r="O940" i="1" s="1"/>
  <c r="AB940" i="1" s="1"/>
  <c r="N939" i="1"/>
  <c r="R939" i="1" s="1"/>
  <c r="M939" i="1"/>
  <c r="O939" i="1" s="1"/>
  <c r="AB939" i="1" s="1"/>
  <c r="N938" i="1"/>
  <c r="R938" i="1" s="1"/>
  <c r="M938" i="1"/>
  <c r="O938" i="1" s="1"/>
  <c r="AB938" i="1" s="1"/>
  <c r="P938" i="1" l="1"/>
  <c r="AA938" i="1" s="1"/>
  <c r="P940" i="1"/>
  <c r="AA940" i="1" s="1"/>
  <c r="P939" i="1"/>
  <c r="AA939" i="1" s="1"/>
  <c r="N937" i="1"/>
  <c r="M937" i="1"/>
  <c r="O937" i="1" s="1"/>
  <c r="AB937" i="1" s="1"/>
  <c r="N936" i="1"/>
  <c r="R936" i="1" s="1"/>
  <c r="M936" i="1"/>
  <c r="O936" i="1" s="1"/>
  <c r="AB936" i="1" s="1"/>
  <c r="P935" i="1"/>
  <c r="N935" i="1"/>
  <c r="R935" i="1" s="1"/>
  <c r="M935" i="1"/>
  <c r="O935" i="1" s="1"/>
  <c r="AB935" i="1" s="1"/>
  <c r="N934" i="1"/>
  <c r="R934" i="1" s="1"/>
  <c r="M934" i="1"/>
  <c r="O934" i="1" s="1"/>
  <c r="AB934" i="1" s="1"/>
  <c r="P937" i="1" l="1"/>
  <c r="AA937" i="1" s="1"/>
  <c r="P936" i="1"/>
  <c r="AA936" i="1" s="1"/>
  <c r="R937" i="1"/>
  <c r="AA935" i="1"/>
  <c r="P934" i="1"/>
  <c r="AA934" i="1" s="1"/>
  <c r="N932" i="1"/>
  <c r="R932" i="1" s="1"/>
  <c r="M932" i="1"/>
  <c r="O932" i="1" s="1"/>
  <c r="AB932" i="1" s="1"/>
  <c r="N931" i="1"/>
  <c r="R931" i="1" s="1"/>
  <c r="M931" i="1"/>
  <c r="O931" i="1" s="1"/>
  <c r="AB931" i="1" s="1"/>
  <c r="M933" i="1"/>
  <c r="O933" i="1" s="1"/>
  <c r="AB933" i="1" s="1"/>
  <c r="N933" i="1"/>
  <c r="R933" i="1" s="1"/>
  <c r="P932" i="1" l="1"/>
  <c r="AA932" i="1" s="1"/>
  <c r="P933" i="1"/>
  <c r="AA933" i="1" s="1"/>
  <c r="P931" i="1"/>
  <c r="AA931" i="1" s="1"/>
  <c r="P929" i="1"/>
  <c r="AA929" i="1" s="1"/>
  <c r="N929" i="1"/>
  <c r="R929" i="1" s="1"/>
  <c r="M929" i="1"/>
  <c r="O929" i="1" s="1"/>
  <c r="AB929" i="1" s="1"/>
  <c r="N930" i="1"/>
  <c r="M930" i="1"/>
  <c r="O930" i="1" s="1"/>
  <c r="AB930" i="1" s="1"/>
  <c r="N928" i="1"/>
  <c r="R928" i="1" s="1"/>
  <c r="M928" i="1"/>
  <c r="O928" i="1" s="1"/>
  <c r="AB928" i="1" s="1"/>
  <c r="P930" i="1" l="1"/>
  <c r="AA930" i="1" s="1"/>
  <c r="P928" i="1"/>
  <c r="AA928" i="1" s="1"/>
  <c r="R930" i="1"/>
  <c r="N927" i="1"/>
  <c r="P927" i="1" s="1"/>
  <c r="M927" i="1"/>
  <c r="O927" i="1" s="1"/>
  <c r="R927" i="1" l="1"/>
  <c r="AB927" i="1"/>
  <c r="AA927" i="1" l="1"/>
  <c r="N926" i="1"/>
  <c r="R926" i="1" s="1"/>
  <c r="M926" i="1"/>
  <c r="O926" i="1" s="1"/>
  <c r="AB926" i="1" s="1"/>
  <c r="P926" i="1" l="1"/>
  <c r="AA926" i="1" s="1"/>
  <c r="N925" i="1"/>
  <c r="M925" i="1"/>
  <c r="O925" i="1" s="1"/>
  <c r="AB925" i="1" s="1"/>
  <c r="P925" i="1" l="1"/>
  <c r="AA925" i="1" s="1"/>
  <c r="R925" i="1"/>
  <c r="N924" i="1"/>
  <c r="R924" i="1" s="1"/>
  <c r="P924" i="1"/>
  <c r="AA924" i="1" s="1"/>
  <c r="M924" i="1"/>
  <c r="O924" i="1" s="1"/>
  <c r="AB924" i="1" s="1"/>
  <c r="N923" i="1" l="1"/>
  <c r="M923" i="1"/>
  <c r="O923" i="1" s="1"/>
  <c r="AB923" i="1" s="1"/>
  <c r="P923" i="1" l="1"/>
  <c r="AA923" i="1" s="1"/>
  <c r="R923" i="1"/>
  <c r="M922" i="1"/>
  <c r="O922" i="1" s="1"/>
  <c r="AB922" i="1" s="1"/>
  <c r="N922" i="1"/>
  <c r="R922" i="1" s="1"/>
  <c r="P922" i="1"/>
  <c r="AA922" i="1" s="1"/>
  <c r="N921" i="1"/>
  <c r="R921" i="1" s="1"/>
  <c r="M921" i="1"/>
  <c r="O921" i="1" s="1"/>
  <c r="AB921" i="1" s="1"/>
  <c r="P921" i="1" l="1"/>
  <c r="AA921" i="1" s="1"/>
  <c r="N919" i="1"/>
  <c r="R919" i="1" s="1"/>
  <c r="M919" i="1"/>
  <c r="O919" i="1" s="1"/>
  <c r="AB919" i="1" s="1"/>
  <c r="M920" i="1"/>
  <c r="O920" i="1" s="1"/>
  <c r="AB920" i="1" s="1"/>
  <c r="N920" i="1"/>
  <c r="R920" i="1" s="1"/>
  <c r="P919" i="1" l="1"/>
  <c r="AA919" i="1" s="1"/>
  <c r="P920" i="1"/>
  <c r="AA920" i="1" s="1"/>
  <c r="P918" i="1"/>
  <c r="AA918" i="1" s="1"/>
  <c r="N918" i="1"/>
  <c r="R918" i="1" s="1"/>
  <c r="M918" i="1"/>
  <c r="O918" i="1" s="1"/>
  <c r="AB918" i="1" s="1"/>
  <c r="N917" i="1"/>
  <c r="R917" i="1" s="1"/>
  <c r="M917" i="1"/>
  <c r="O917" i="1" s="1"/>
  <c r="AB917" i="1" s="1"/>
  <c r="M916" i="1"/>
  <c r="O916" i="1" s="1"/>
  <c r="AB916" i="1" s="1"/>
  <c r="N916" i="1"/>
  <c r="R916" i="1" s="1"/>
  <c r="P917" i="1" l="1"/>
  <c r="AA917" i="1" s="1"/>
  <c r="P916" i="1"/>
  <c r="AA916" i="1" s="1"/>
  <c r="N915" i="1"/>
  <c r="R915" i="1" s="1"/>
  <c r="M915" i="1"/>
  <c r="O915" i="1" s="1"/>
  <c r="AB915" i="1" s="1"/>
  <c r="P915" i="1" l="1"/>
  <c r="AA915" i="1" s="1"/>
  <c r="N914" i="1"/>
  <c r="M914" i="1"/>
  <c r="O914" i="1" s="1"/>
  <c r="AB914" i="1" s="1"/>
  <c r="N913" i="1"/>
  <c r="R913" i="1" s="1"/>
  <c r="M913" i="1"/>
  <c r="N912" i="1"/>
  <c r="M912" i="1"/>
  <c r="O912" i="1" s="1"/>
  <c r="AB912" i="1" s="1"/>
  <c r="N911" i="1"/>
  <c r="R911" i="1" s="1"/>
  <c r="M911" i="1"/>
  <c r="O911" i="1" s="1"/>
  <c r="AB911" i="1" s="1"/>
  <c r="P912" i="1" l="1"/>
  <c r="AA912" i="1" s="1"/>
  <c r="P914" i="1"/>
  <c r="AA914" i="1" s="1"/>
  <c r="R912" i="1"/>
  <c r="P911" i="1"/>
  <c r="AA911" i="1" s="1"/>
  <c r="P913" i="1"/>
  <c r="AA913" i="1" s="1"/>
  <c r="R914" i="1"/>
  <c r="O913" i="1"/>
  <c r="AB913" i="1" s="1"/>
  <c r="N910" i="1"/>
  <c r="M910" i="1"/>
  <c r="O910" i="1" s="1"/>
  <c r="P910" i="1" l="1"/>
  <c r="AA910" i="1" s="1"/>
  <c r="R910" i="1"/>
  <c r="AB910" i="1"/>
  <c r="M909" i="1"/>
  <c r="O909" i="1" s="1"/>
  <c r="AB909" i="1" s="1"/>
  <c r="N909" i="1"/>
  <c r="R909" i="1" s="1"/>
  <c r="P909" i="1"/>
  <c r="AA909" i="1" s="1"/>
  <c r="N907" i="1" l="1"/>
  <c r="M907" i="1"/>
  <c r="O907" i="1" s="1"/>
  <c r="M908" i="1"/>
  <c r="O908" i="1" s="1"/>
  <c r="AB908" i="1" s="1"/>
  <c r="N908" i="1"/>
  <c r="R908" i="1" s="1"/>
  <c r="P907" i="1" l="1"/>
  <c r="P908" i="1"/>
  <c r="AA908" i="1" s="1"/>
  <c r="AB907" i="1" l="1"/>
  <c r="R907" i="1"/>
  <c r="N905" i="1"/>
  <c r="R905" i="1" s="1"/>
  <c r="M905" i="1"/>
  <c r="O905" i="1" s="1"/>
  <c r="AB905" i="1" s="1"/>
  <c r="M906" i="1"/>
  <c r="O906" i="1" s="1"/>
  <c r="AB906" i="1" s="1"/>
  <c r="R906" i="1"/>
  <c r="P906" i="1"/>
  <c r="AA906" i="1" s="1"/>
  <c r="M904" i="1"/>
  <c r="O904" i="1" s="1"/>
  <c r="AB904" i="1" s="1"/>
  <c r="N904" i="1"/>
  <c r="R904" i="1" s="1"/>
  <c r="AA907" i="1" l="1"/>
  <c r="P905" i="1"/>
  <c r="AA905" i="1" s="1"/>
  <c r="P904" i="1"/>
  <c r="AA904" i="1" s="1"/>
  <c r="N903" i="1"/>
  <c r="R903" i="1" s="1"/>
  <c r="M903" i="1"/>
  <c r="P903" i="1" l="1"/>
  <c r="AA903" i="1" s="1"/>
  <c r="O903" i="1"/>
  <c r="AB903" i="1" s="1"/>
  <c r="N901" i="1"/>
  <c r="M901" i="1"/>
  <c r="O901" i="1" s="1"/>
  <c r="AB901" i="1" s="1"/>
  <c r="N900" i="1"/>
  <c r="R900" i="1" s="1"/>
  <c r="M900" i="1"/>
  <c r="O900" i="1" s="1"/>
  <c r="AB900" i="1" s="1"/>
  <c r="M902" i="1"/>
  <c r="O902" i="1" s="1"/>
  <c r="AB902" i="1" s="1"/>
  <c r="N902" i="1"/>
  <c r="R902" i="1" s="1"/>
  <c r="P900" i="1" l="1"/>
  <c r="AA900" i="1" s="1"/>
  <c r="P901" i="1"/>
  <c r="AA901" i="1" s="1"/>
  <c r="R901" i="1"/>
  <c r="P902" i="1"/>
  <c r="AA902" i="1" s="1"/>
  <c r="M896" i="1"/>
  <c r="O896" i="1" s="1"/>
  <c r="AB896" i="1" s="1"/>
  <c r="R896" i="1"/>
  <c r="P896" i="1"/>
  <c r="AA896" i="1" s="1"/>
  <c r="P899" i="1" l="1"/>
  <c r="N899" i="1"/>
  <c r="M899" i="1"/>
  <c r="O899" i="1" s="1"/>
  <c r="AB899" i="1" s="1"/>
  <c r="N898" i="1"/>
  <c r="R898" i="1" s="1"/>
  <c r="M898" i="1"/>
  <c r="O898" i="1" s="1"/>
  <c r="AB898" i="1" s="1"/>
  <c r="P898" i="1" l="1"/>
  <c r="AA898" i="1" s="1"/>
  <c r="R899" i="1"/>
  <c r="AA899" i="1"/>
  <c r="N897" i="1"/>
  <c r="M897" i="1"/>
  <c r="O897" i="1" s="1"/>
  <c r="AB897" i="1" s="1"/>
  <c r="P897" i="1" l="1"/>
  <c r="AA897" i="1" s="1"/>
  <c r="R897" i="1"/>
  <c r="N895" i="1"/>
  <c r="M895" i="1"/>
  <c r="O895" i="1" s="1"/>
  <c r="AB895" i="1" s="1"/>
  <c r="P895" i="1" l="1"/>
  <c r="AA895" i="1" s="1"/>
  <c r="R895" i="1"/>
  <c r="N894" i="1"/>
  <c r="R894" i="1" s="1"/>
  <c r="M894" i="1"/>
  <c r="O894" i="1" s="1"/>
  <c r="AB894" i="1" s="1"/>
  <c r="P894" i="1" l="1"/>
  <c r="AA894" i="1" s="1"/>
  <c r="N893" i="1"/>
  <c r="M893" i="1"/>
  <c r="O893" i="1" s="1"/>
  <c r="AB893" i="1" s="1"/>
  <c r="P893" i="1" l="1"/>
  <c r="AA893" i="1" s="1"/>
  <c r="R893" i="1"/>
  <c r="P890" i="1"/>
  <c r="AA890" i="1" s="1"/>
  <c r="N892" i="1"/>
  <c r="R892" i="1" s="1"/>
  <c r="M892" i="1"/>
  <c r="O892" i="1" s="1"/>
  <c r="AB892" i="1" s="1"/>
  <c r="M891" i="1"/>
  <c r="O891" i="1" s="1"/>
  <c r="AB891" i="1" s="1"/>
  <c r="N891" i="1"/>
  <c r="R891" i="1" s="1"/>
  <c r="F890" i="1"/>
  <c r="N890" i="1" s="1"/>
  <c r="R890" i="1" s="1"/>
  <c r="M890" i="1" l="1"/>
  <c r="O890" i="1" s="1"/>
  <c r="AB890" i="1" s="1"/>
  <c r="P892" i="1"/>
  <c r="AA892" i="1" s="1"/>
  <c r="P891" i="1"/>
  <c r="AA891" i="1" s="1"/>
  <c r="M889" i="1"/>
  <c r="O889" i="1" s="1"/>
  <c r="AB889" i="1" s="1"/>
  <c r="N889" i="1"/>
  <c r="R889" i="1" s="1"/>
  <c r="P889" i="1"/>
  <c r="AA889" i="1" s="1"/>
  <c r="M888" i="1"/>
  <c r="O888" i="1" s="1"/>
  <c r="AB888" i="1" s="1"/>
  <c r="N888" i="1"/>
  <c r="R888" i="1" s="1"/>
  <c r="P888" i="1"/>
  <c r="AA888" i="1" s="1"/>
  <c r="P887" i="1"/>
  <c r="AA887" i="1" s="1"/>
  <c r="N887" i="1"/>
  <c r="R887" i="1" s="1"/>
  <c r="M887" i="1"/>
  <c r="O887" i="1" s="1"/>
  <c r="AB887" i="1" s="1"/>
  <c r="P886" i="1"/>
  <c r="N886" i="1"/>
  <c r="R886" i="1" s="1"/>
  <c r="M886" i="1"/>
  <c r="O886" i="1" s="1"/>
  <c r="AB886" i="1" s="1"/>
  <c r="P884" i="1"/>
  <c r="N884" i="1"/>
  <c r="R884" i="1" s="1"/>
  <c r="M884" i="1"/>
  <c r="O884" i="1" s="1"/>
  <c r="AB884" i="1" s="1"/>
  <c r="P883" i="1"/>
  <c r="N883" i="1"/>
  <c r="R883" i="1" s="1"/>
  <c r="M883" i="1"/>
  <c r="O883" i="1" s="1"/>
  <c r="AB883" i="1" s="1"/>
  <c r="N885" i="1"/>
  <c r="R885" i="1" s="1"/>
  <c r="M885" i="1"/>
  <c r="O885" i="1" s="1"/>
  <c r="AB885" i="1" s="1"/>
  <c r="AA886" i="1" l="1"/>
  <c r="P885" i="1"/>
  <c r="AA885" i="1" s="1"/>
  <c r="AA883" i="1"/>
  <c r="AA884" i="1"/>
  <c r="N882" i="1"/>
  <c r="M882" i="1"/>
  <c r="O882" i="1" s="1"/>
  <c r="AB882" i="1" s="1"/>
  <c r="N881" i="1"/>
  <c r="R881" i="1" s="1"/>
  <c r="M881" i="1"/>
  <c r="O881" i="1" s="1"/>
  <c r="AB881" i="1" s="1"/>
  <c r="P882" i="1" l="1"/>
  <c r="AA882" i="1" s="1"/>
  <c r="P881" i="1"/>
  <c r="AA881" i="1" s="1"/>
  <c r="R882" i="1"/>
  <c r="N880" i="1"/>
  <c r="M880" i="1"/>
  <c r="O880" i="1" s="1"/>
  <c r="AB880" i="1" s="1"/>
  <c r="N879" i="1"/>
  <c r="R879" i="1" s="1"/>
  <c r="M879" i="1"/>
  <c r="O879" i="1" s="1"/>
  <c r="AB879" i="1" s="1"/>
  <c r="P880" i="1" l="1"/>
  <c r="AA880" i="1" s="1"/>
  <c r="R880" i="1"/>
  <c r="P879" i="1"/>
  <c r="AA879" i="1" s="1"/>
  <c r="N877" i="1" l="1"/>
  <c r="M877" i="1"/>
  <c r="O877" i="1" s="1"/>
  <c r="AB877" i="1" s="1"/>
  <c r="M878" i="1"/>
  <c r="O878" i="1" s="1"/>
  <c r="AB878" i="1" s="1"/>
  <c r="N878" i="1"/>
  <c r="R878" i="1" s="1"/>
  <c r="P877" i="1" l="1"/>
  <c r="AA877" i="1" s="1"/>
  <c r="R877" i="1"/>
  <c r="P878" i="1"/>
  <c r="AA878" i="1" s="1"/>
  <c r="N876" i="1"/>
  <c r="R876" i="1" s="1"/>
  <c r="M876" i="1"/>
  <c r="P876" i="1" l="1"/>
  <c r="AA876" i="1" s="1"/>
  <c r="O876" i="1"/>
  <c r="AB876" i="1" s="1"/>
  <c r="P873" i="1"/>
  <c r="N873" i="1"/>
  <c r="R873" i="1" s="1"/>
  <c r="M873" i="1"/>
  <c r="O873" i="1" s="1"/>
  <c r="AB873" i="1" s="1"/>
  <c r="N875" i="1"/>
  <c r="R875" i="1" s="1"/>
  <c r="M875" i="1"/>
  <c r="O875" i="1" s="1"/>
  <c r="AB875" i="1" s="1"/>
  <c r="N874" i="1"/>
  <c r="R874" i="1" s="1"/>
  <c r="M874" i="1"/>
  <c r="P875" i="1" l="1"/>
  <c r="AA875" i="1" s="1"/>
  <c r="P874" i="1"/>
  <c r="AA874" i="1" s="1"/>
  <c r="AA873" i="1"/>
  <c r="O874" i="1"/>
  <c r="AB874" i="1" s="1"/>
  <c r="N872" i="1"/>
  <c r="R872" i="1" s="1"/>
  <c r="M872" i="1"/>
  <c r="O872" i="1" s="1"/>
  <c r="AB872" i="1" s="1"/>
  <c r="P872" i="1" l="1"/>
  <c r="AA872" i="1" s="1"/>
  <c r="Q871" i="1"/>
  <c r="N871" i="1" l="1"/>
  <c r="R871" i="1" s="1"/>
  <c r="P871" i="1"/>
  <c r="M871" i="1"/>
  <c r="O871" i="1" s="1"/>
  <c r="AB871" i="1" s="1"/>
  <c r="AA871" i="1" l="1"/>
  <c r="N870" i="1"/>
  <c r="M870" i="1"/>
  <c r="O870" i="1" s="1"/>
  <c r="AB870" i="1" s="1"/>
  <c r="P870" i="1" l="1"/>
  <c r="AA870" i="1" s="1"/>
  <c r="R870" i="1"/>
  <c r="M869" i="1"/>
  <c r="O869" i="1" s="1"/>
  <c r="AB869" i="1" s="1"/>
  <c r="N869" i="1"/>
  <c r="R869" i="1" s="1"/>
  <c r="P869" i="1" l="1"/>
  <c r="AA869" i="1" s="1"/>
  <c r="M868" i="1"/>
  <c r="O868" i="1" s="1"/>
  <c r="AB868" i="1" s="1"/>
  <c r="N868" i="1"/>
  <c r="R868" i="1" s="1"/>
  <c r="P868" i="1" l="1"/>
  <c r="AA868" i="1" s="1"/>
  <c r="M867" i="1"/>
  <c r="O867" i="1" s="1"/>
  <c r="AB867" i="1" s="1"/>
  <c r="N867" i="1"/>
  <c r="R867" i="1" s="1"/>
  <c r="P867" i="1" l="1"/>
  <c r="AA867" i="1" s="1"/>
  <c r="N866" i="1"/>
  <c r="R866" i="1" s="1"/>
  <c r="M866" i="1"/>
  <c r="O866" i="1" s="1"/>
  <c r="AB866" i="1" s="1"/>
  <c r="P866" i="1" l="1"/>
  <c r="AA866" i="1" s="1"/>
  <c r="P865" i="1"/>
  <c r="N865" i="1"/>
  <c r="R865" i="1" s="1"/>
  <c r="M865" i="1"/>
  <c r="O865" i="1" s="1"/>
  <c r="AB865" i="1" s="1"/>
  <c r="AA865" i="1" l="1"/>
  <c r="N864" i="1"/>
  <c r="R864" i="1" s="1"/>
  <c r="M864" i="1"/>
  <c r="O864" i="1" s="1"/>
  <c r="AB864" i="1" s="1"/>
  <c r="P864" i="1" l="1"/>
  <c r="AA864" i="1" s="1"/>
  <c r="M863" i="1"/>
  <c r="O863" i="1" s="1"/>
  <c r="AB863" i="1" s="1"/>
  <c r="N863" i="1"/>
  <c r="R863" i="1" s="1"/>
  <c r="P863" i="1" l="1"/>
  <c r="AA863" i="1" s="1"/>
  <c r="N862" i="1"/>
  <c r="R862" i="1" s="1"/>
  <c r="M862" i="1"/>
  <c r="O862" i="1" s="1"/>
  <c r="AB862" i="1" s="1"/>
  <c r="P862" i="1" l="1"/>
  <c r="AA862" i="1" s="1"/>
  <c r="N861" i="1"/>
  <c r="R861" i="1" s="1"/>
  <c r="M861" i="1"/>
  <c r="O861" i="1" s="1"/>
  <c r="AB861" i="1" s="1"/>
  <c r="P861" i="1" l="1"/>
  <c r="AA861" i="1" s="1"/>
  <c r="P859" i="1"/>
  <c r="N859" i="1"/>
  <c r="R859" i="1" s="1"/>
  <c r="M859" i="1"/>
  <c r="O859" i="1" s="1"/>
  <c r="AB859" i="1" s="1"/>
  <c r="M860" i="1"/>
  <c r="O860" i="1" s="1"/>
  <c r="AB860" i="1" s="1"/>
  <c r="N860" i="1"/>
  <c r="R860" i="1" s="1"/>
  <c r="P860" i="1"/>
  <c r="AA860" i="1" s="1"/>
  <c r="AA859" i="1" l="1"/>
  <c r="N858" i="1"/>
  <c r="M858" i="1" l="1"/>
  <c r="O858" i="1"/>
  <c r="R858" i="1"/>
  <c r="N857" i="1"/>
  <c r="R857" i="1" s="1"/>
  <c r="M857" i="1"/>
  <c r="P857" i="1" l="1"/>
  <c r="AA857" i="1" s="1"/>
  <c r="P858" i="1"/>
  <c r="AA858" i="1" s="1"/>
  <c r="AB858" i="1"/>
  <c r="O857" i="1"/>
  <c r="AB857" i="1" s="1"/>
  <c r="N856" i="1"/>
  <c r="M856" i="1"/>
  <c r="O856" i="1" s="1"/>
  <c r="AB856" i="1" s="1"/>
  <c r="P856" i="1" l="1"/>
  <c r="AA856" i="1" s="1"/>
  <c r="R856" i="1"/>
  <c r="M855" i="1"/>
  <c r="O855" i="1" s="1"/>
  <c r="AB855" i="1" s="1"/>
  <c r="N855" i="1"/>
  <c r="R855" i="1" s="1"/>
  <c r="P855" i="1"/>
  <c r="AA855" i="1" s="1"/>
  <c r="M854" i="1" l="1"/>
  <c r="O854" i="1" s="1"/>
  <c r="AB854" i="1" s="1"/>
  <c r="N854" i="1"/>
  <c r="R854" i="1" s="1"/>
  <c r="P854" i="1" l="1"/>
  <c r="AA854" i="1" s="1"/>
  <c r="N853" i="1"/>
  <c r="M853" i="1"/>
  <c r="O853" i="1" s="1"/>
  <c r="AB853" i="1" s="1"/>
  <c r="N852" i="1"/>
  <c r="R852" i="1" s="1"/>
  <c r="M852" i="1"/>
  <c r="O852" i="1" s="1"/>
  <c r="AB852" i="1" s="1"/>
  <c r="P853" i="1" l="1"/>
  <c r="AA853" i="1" s="1"/>
  <c r="R853" i="1"/>
  <c r="P852" i="1"/>
  <c r="AA852" i="1" s="1"/>
  <c r="Q832" i="1"/>
  <c r="N832" i="1" l="1"/>
  <c r="P832" i="1" s="1"/>
  <c r="M832" i="1"/>
  <c r="O832" i="1" s="1"/>
  <c r="M851" i="1" l="1"/>
  <c r="O851" i="1" s="1"/>
  <c r="AB851" i="1" s="1"/>
  <c r="N851" i="1"/>
  <c r="R851" i="1" s="1"/>
  <c r="P851" i="1" l="1"/>
  <c r="AA851" i="1" s="1"/>
  <c r="M847" i="1" l="1"/>
  <c r="O847" i="1" s="1"/>
  <c r="AB847" i="1" s="1"/>
  <c r="M848" i="1"/>
  <c r="O848" i="1" s="1"/>
  <c r="AB848" i="1" s="1"/>
  <c r="M849" i="1"/>
  <c r="O849" i="1" s="1"/>
  <c r="AB849" i="1" s="1"/>
  <c r="M850" i="1"/>
  <c r="O850" i="1" s="1"/>
  <c r="AB850" i="1" s="1"/>
  <c r="N847" i="1"/>
  <c r="R847" i="1" s="1"/>
  <c r="N848" i="1"/>
  <c r="R848" i="1" s="1"/>
  <c r="N849" i="1"/>
  <c r="R849" i="1" s="1"/>
  <c r="N850" i="1"/>
  <c r="R850" i="1" s="1"/>
  <c r="P847" i="1"/>
  <c r="AA847" i="1" s="1"/>
  <c r="P848" i="1"/>
  <c r="AA848" i="1" s="1"/>
  <c r="P849" i="1"/>
  <c r="AA849" i="1" s="1"/>
  <c r="P850" i="1"/>
  <c r="AA850" i="1" s="1"/>
  <c r="M846" i="1" l="1"/>
  <c r="O846" i="1" s="1"/>
  <c r="AB846" i="1" s="1"/>
  <c r="N846" i="1"/>
  <c r="R846" i="1" s="1"/>
  <c r="P846" i="1"/>
  <c r="AA846" i="1" s="1"/>
  <c r="N845" i="1" l="1"/>
  <c r="M845" i="1"/>
  <c r="O845" i="1" s="1"/>
  <c r="AB845" i="1" s="1"/>
  <c r="N844" i="1"/>
  <c r="R844" i="1" s="1"/>
  <c r="M844" i="1"/>
  <c r="N843" i="1"/>
  <c r="M843" i="1"/>
  <c r="O843" i="1" s="1"/>
  <c r="AB843" i="1" s="1"/>
  <c r="P845" i="1" l="1"/>
  <c r="AA845" i="1" s="1"/>
  <c r="P843" i="1"/>
  <c r="AA843" i="1" s="1"/>
  <c r="P844" i="1"/>
  <c r="AA844" i="1" s="1"/>
  <c r="O844" i="1"/>
  <c r="AB844" i="1" s="1"/>
  <c r="R845" i="1"/>
  <c r="R843" i="1"/>
  <c r="N842" i="1"/>
  <c r="M842" i="1"/>
  <c r="O842" i="1" s="1"/>
  <c r="AB842" i="1" s="1"/>
  <c r="P842" i="1" l="1"/>
  <c r="AA842" i="1" s="1"/>
  <c r="R842" i="1"/>
  <c r="Q839" i="1"/>
  <c r="Q838" i="1"/>
  <c r="Q837" i="1"/>
  <c r="Q836" i="1"/>
  <c r="Q835" i="1"/>
  <c r="Q834" i="1"/>
  <c r="Q833" i="1"/>
  <c r="N841" i="1" l="1"/>
  <c r="R841" i="1" s="1"/>
  <c r="M841" i="1"/>
  <c r="O841" i="1" s="1"/>
  <c r="AB841" i="1" s="1"/>
  <c r="P841" i="1" l="1"/>
  <c r="AA841" i="1" s="1"/>
  <c r="N840" i="1"/>
  <c r="M840" i="1"/>
  <c r="O840" i="1" s="1"/>
  <c r="AB840" i="1" s="1"/>
  <c r="P840" i="1" l="1"/>
  <c r="AA840" i="1" s="1"/>
  <c r="R840" i="1"/>
  <c r="N839" i="1"/>
  <c r="R839" i="1" s="1"/>
  <c r="M839" i="1"/>
  <c r="O839" i="1" s="1"/>
  <c r="AB839" i="1" s="1"/>
  <c r="N838" i="1"/>
  <c r="M838" i="1"/>
  <c r="O838" i="1" s="1"/>
  <c r="AB838" i="1" s="1"/>
  <c r="N837" i="1"/>
  <c r="R837" i="1" s="1"/>
  <c r="M837" i="1"/>
  <c r="O837" i="1" s="1"/>
  <c r="AB837" i="1" s="1"/>
  <c r="N836" i="1"/>
  <c r="R836" i="1" s="1"/>
  <c r="M836" i="1"/>
  <c r="N835" i="1"/>
  <c r="M835" i="1"/>
  <c r="O835" i="1" s="1"/>
  <c r="AB835" i="1" s="1"/>
  <c r="N834" i="1"/>
  <c r="R834" i="1" s="1"/>
  <c r="M834" i="1"/>
  <c r="O834" i="1" s="1"/>
  <c r="AB834" i="1" s="1"/>
  <c r="N833" i="1"/>
  <c r="R833" i="1" s="1"/>
  <c r="M833" i="1"/>
  <c r="O833" i="1" s="1"/>
  <c r="AB833" i="1" s="1"/>
  <c r="P837" i="1" l="1"/>
  <c r="AA837" i="1" s="1"/>
  <c r="P833" i="1"/>
  <c r="AA833" i="1" s="1"/>
  <c r="P839" i="1"/>
  <c r="AA839" i="1" s="1"/>
  <c r="P835" i="1"/>
  <c r="AA835" i="1" s="1"/>
  <c r="P838" i="1"/>
  <c r="AA838" i="1" s="1"/>
  <c r="R838" i="1"/>
  <c r="R835" i="1"/>
  <c r="P836" i="1"/>
  <c r="AA836" i="1" s="1"/>
  <c r="O836" i="1"/>
  <c r="AB836" i="1" s="1"/>
  <c r="P834" i="1"/>
  <c r="AA834" i="1" s="1"/>
  <c r="R832" i="1"/>
  <c r="AB832" i="1"/>
  <c r="AA832" i="1" l="1"/>
  <c r="Q818" i="1" l="1"/>
  <c r="P831" i="1" l="1"/>
  <c r="AA831" i="1" s="1"/>
  <c r="N831" i="1"/>
  <c r="R831" i="1" s="1"/>
  <c r="M831" i="1"/>
  <c r="O831" i="1" s="1"/>
  <c r="AB831" i="1" s="1"/>
  <c r="N830" i="1"/>
  <c r="M830" i="1"/>
  <c r="O830" i="1" s="1"/>
  <c r="AB830" i="1" s="1"/>
  <c r="N824" i="1"/>
  <c r="M824" i="1"/>
  <c r="O824" i="1" s="1"/>
  <c r="P830" i="1" l="1"/>
  <c r="AA830" i="1" s="1"/>
  <c r="P824" i="1"/>
  <c r="R830" i="1"/>
  <c r="N818" i="1"/>
  <c r="M818" i="1"/>
  <c r="N554" i="1"/>
  <c r="M554" i="1"/>
  <c r="O554" i="1" s="1"/>
  <c r="P818" i="1" l="1"/>
  <c r="P554" i="1"/>
  <c r="O818" i="1"/>
  <c r="Q821" i="1"/>
  <c r="Q826" i="1"/>
  <c r="N829" i="1" l="1"/>
  <c r="M829" i="1"/>
  <c r="O829" i="1" s="1"/>
  <c r="AB829" i="1" s="1"/>
  <c r="P829" i="1" l="1"/>
  <c r="AA829" i="1" s="1"/>
  <c r="R829" i="1"/>
  <c r="N828" i="1"/>
  <c r="M828" i="1"/>
  <c r="O828" i="1" s="1"/>
  <c r="AB828" i="1" s="1"/>
  <c r="P828" i="1" l="1"/>
  <c r="AA828" i="1" s="1"/>
  <c r="R828" i="1"/>
  <c r="M827" i="1"/>
  <c r="O827" i="1" s="1"/>
  <c r="AB827" i="1" s="1"/>
  <c r="N827" i="1"/>
  <c r="R827" i="1" s="1"/>
  <c r="P825" i="1"/>
  <c r="AA825" i="1" s="1"/>
  <c r="N825" i="1"/>
  <c r="R825" i="1" s="1"/>
  <c r="M825" i="1"/>
  <c r="O825" i="1" s="1"/>
  <c r="AB825" i="1" s="1"/>
  <c r="M826" i="1"/>
  <c r="O826" i="1" s="1"/>
  <c r="AB826" i="1" s="1"/>
  <c r="N826" i="1"/>
  <c r="R826" i="1" s="1"/>
  <c r="P827" i="1" l="1"/>
  <c r="AA827" i="1" s="1"/>
  <c r="P826" i="1"/>
  <c r="AA826" i="1" s="1"/>
  <c r="AB824" i="1"/>
  <c r="R824" i="1"/>
  <c r="M823" i="1"/>
  <c r="O823" i="1" s="1"/>
  <c r="AB823" i="1" s="1"/>
  <c r="N823" i="1"/>
  <c r="R823" i="1" s="1"/>
  <c r="AA824" i="1" l="1"/>
  <c r="P823" i="1"/>
  <c r="AA823" i="1" s="1"/>
  <c r="Q820" i="1"/>
  <c r="P822" i="1" l="1"/>
  <c r="AA822" i="1" s="1"/>
  <c r="N822" i="1"/>
  <c r="R822" i="1" s="1"/>
  <c r="M822" i="1"/>
  <c r="O822" i="1" s="1"/>
  <c r="AB822" i="1" s="1"/>
  <c r="M821" i="1"/>
  <c r="O821" i="1" s="1"/>
  <c r="AB821" i="1" s="1"/>
  <c r="N821" i="1"/>
  <c r="R821" i="1" s="1"/>
  <c r="Q715" i="1"/>
  <c r="P821" i="1" l="1"/>
  <c r="AA821" i="1" s="1"/>
  <c r="N820" i="1"/>
  <c r="R820" i="1" s="1"/>
  <c r="M820" i="1"/>
  <c r="O820" i="1" s="1"/>
  <c r="AB820" i="1" s="1"/>
  <c r="P820" i="1" l="1"/>
  <c r="AA820" i="1" s="1"/>
  <c r="N819" i="1"/>
  <c r="R819" i="1" s="1"/>
  <c r="M819" i="1"/>
  <c r="O819" i="1" s="1"/>
  <c r="AB819" i="1" s="1"/>
  <c r="AA818" i="1"/>
  <c r="R818" i="1"/>
  <c r="AB818" i="1"/>
  <c r="P817" i="1"/>
  <c r="N817" i="1"/>
  <c r="R817" i="1" s="1"/>
  <c r="M817" i="1"/>
  <c r="O817" i="1" s="1"/>
  <c r="AB817" i="1" s="1"/>
  <c r="M816" i="1"/>
  <c r="O816" i="1" s="1"/>
  <c r="AB816" i="1" s="1"/>
  <c r="N816" i="1"/>
  <c r="R816" i="1" s="1"/>
  <c r="P819" i="1" l="1"/>
  <c r="AA819" i="1" s="1"/>
  <c r="AA817" i="1"/>
  <c r="P816" i="1"/>
  <c r="AA816" i="1" s="1"/>
  <c r="N815" i="1"/>
  <c r="R815" i="1" s="1"/>
  <c r="M815" i="1"/>
  <c r="P815" i="1" l="1"/>
  <c r="AA815" i="1" s="1"/>
  <c r="O815" i="1"/>
  <c r="AB815" i="1" s="1"/>
  <c r="P814" i="1"/>
  <c r="AA814" i="1" s="1"/>
  <c r="N814" i="1"/>
  <c r="R814" i="1" s="1"/>
  <c r="M814" i="1"/>
  <c r="O814" i="1" s="1"/>
  <c r="AB814" i="1" s="1"/>
  <c r="P813" i="1" l="1"/>
  <c r="N813" i="1"/>
  <c r="M813" i="1"/>
  <c r="O813" i="1" s="1"/>
  <c r="N812" i="1" l="1"/>
  <c r="R812" i="1" s="1"/>
  <c r="M812" i="1"/>
  <c r="O812" i="1" s="1"/>
  <c r="AB812" i="1" s="1"/>
  <c r="R813" i="1"/>
  <c r="AB813" i="1"/>
  <c r="AA813" i="1"/>
  <c r="P812" i="1" l="1"/>
  <c r="AA812" i="1" s="1"/>
  <c r="M811" i="1"/>
  <c r="O811" i="1" s="1"/>
  <c r="AB811" i="1" s="1"/>
  <c r="N811" i="1"/>
  <c r="R811" i="1" s="1"/>
  <c r="P811" i="1" l="1"/>
  <c r="AA811" i="1" s="1"/>
  <c r="N810" i="1"/>
  <c r="M810" i="1"/>
  <c r="O810" i="1" s="1"/>
  <c r="AB810" i="1" s="1"/>
  <c r="P810" i="1" l="1"/>
  <c r="AA810" i="1" s="1"/>
  <c r="R810" i="1"/>
  <c r="N809" i="1"/>
  <c r="R809" i="1" s="1"/>
  <c r="M809" i="1"/>
  <c r="O809" i="1" s="1"/>
  <c r="AB809" i="1" s="1"/>
  <c r="N808" i="1"/>
  <c r="R808" i="1" s="1"/>
  <c r="M808" i="1"/>
  <c r="N807" i="1"/>
  <c r="R807" i="1" s="1"/>
  <c r="M807" i="1"/>
  <c r="O807" i="1" s="1"/>
  <c r="AB807" i="1" s="1"/>
  <c r="N806" i="1"/>
  <c r="R806" i="1" s="1"/>
  <c r="M806" i="1"/>
  <c r="N805" i="1"/>
  <c r="R805" i="1" s="1"/>
  <c r="M805" i="1"/>
  <c r="O805" i="1" s="1"/>
  <c r="AB805" i="1" s="1"/>
  <c r="N804" i="1"/>
  <c r="R804" i="1" s="1"/>
  <c r="M804" i="1"/>
  <c r="N803" i="1"/>
  <c r="M803" i="1"/>
  <c r="O803" i="1" s="1"/>
  <c r="AB803" i="1" s="1"/>
  <c r="P806" i="1" l="1"/>
  <c r="AA806" i="1" s="1"/>
  <c r="P804" i="1"/>
  <c r="AA804" i="1" s="1"/>
  <c r="P808" i="1"/>
  <c r="AA808" i="1" s="1"/>
  <c r="P809" i="1"/>
  <c r="AA809" i="1" s="1"/>
  <c r="P807" i="1"/>
  <c r="AA807" i="1" s="1"/>
  <c r="P805" i="1"/>
  <c r="AA805" i="1" s="1"/>
  <c r="O804" i="1"/>
  <c r="AB804" i="1" s="1"/>
  <c r="O806" i="1"/>
  <c r="AB806" i="1" s="1"/>
  <c r="O808" i="1"/>
  <c r="AB808" i="1" s="1"/>
  <c r="P803" i="1"/>
  <c r="AA803" i="1" s="1"/>
  <c r="R803" i="1"/>
  <c r="M802" i="1"/>
  <c r="O802" i="1" s="1"/>
  <c r="AB802" i="1" s="1"/>
  <c r="N802" i="1"/>
  <c r="R802" i="1" s="1"/>
  <c r="P802" i="1" l="1"/>
  <c r="AA802" i="1" s="1"/>
  <c r="N799" i="1"/>
  <c r="N801" i="1" l="1"/>
  <c r="R801" i="1" l="1"/>
  <c r="M801" i="1"/>
  <c r="O801" i="1" s="1"/>
  <c r="AB801" i="1" s="1"/>
  <c r="P801" i="1" l="1"/>
  <c r="AA801" i="1" s="1"/>
  <c r="M800" i="1"/>
  <c r="O800" i="1" s="1"/>
  <c r="AB800" i="1" s="1"/>
  <c r="N800" i="1"/>
  <c r="R800" i="1" s="1"/>
  <c r="P800" i="1" l="1"/>
  <c r="AA800" i="1" s="1"/>
  <c r="R799" i="1"/>
  <c r="M799" i="1"/>
  <c r="O799" i="1" s="1"/>
  <c r="AB799" i="1" s="1"/>
  <c r="P799" i="1" l="1"/>
  <c r="AA799" i="1" s="1"/>
  <c r="P798" i="1"/>
  <c r="AA798" i="1" s="1"/>
  <c r="N798" i="1"/>
  <c r="R798" i="1" s="1"/>
  <c r="M798" i="1"/>
  <c r="O798" i="1" s="1"/>
  <c r="AB798" i="1" s="1"/>
  <c r="M797" i="1" l="1"/>
  <c r="O797" i="1" s="1"/>
  <c r="AB797" i="1" s="1"/>
  <c r="N797" i="1"/>
  <c r="R797" i="1" s="1"/>
  <c r="P797" i="1" l="1"/>
  <c r="AA797" i="1" s="1"/>
  <c r="Q794" i="1"/>
  <c r="P796" i="1" l="1"/>
  <c r="AA796" i="1" s="1"/>
  <c r="N796" i="1"/>
  <c r="R796" i="1" s="1"/>
  <c r="M796" i="1"/>
  <c r="O796" i="1" s="1"/>
  <c r="AB796" i="1" s="1"/>
  <c r="Q793" i="1" l="1"/>
  <c r="P795" i="1" l="1"/>
  <c r="AA795" i="1" s="1"/>
  <c r="N795" i="1"/>
  <c r="R795" i="1" s="1"/>
  <c r="M795" i="1"/>
  <c r="O795" i="1" s="1"/>
  <c r="AB795" i="1" s="1"/>
  <c r="N794" i="1"/>
  <c r="R794" i="1" s="1"/>
  <c r="M794" i="1"/>
  <c r="O794" i="1" s="1"/>
  <c r="AB794" i="1" s="1"/>
  <c r="P794" i="1" l="1"/>
  <c r="AA794" i="1" s="1"/>
  <c r="N793" i="1"/>
  <c r="M793" i="1"/>
  <c r="O793" i="1" s="1"/>
  <c r="AB793" i="1" s="1"/>
  <c r="P793" i="1" l="1"/>
  <c r="AA793" i="1" s="1"/>
  <c r="R793" i="1"/>
  <c r="Y775" i="1"/>
  <c r="Y750" i="1"/>
  <c r="M792" i="1" l="1"/>
  <c r="O792" i="1" s="1"/>
  <c r="AB792" i="1" s="1"/>
  <c r="N792" i="1"/>
  <c r="R792" i="1" s="1"/>
  <c r="P792" i="1" l="1"/>
  <c r="AA792" i="1" s="1"/>
  <c r="N791" i="1"/>
  <c r="M791" i="1"/>
  <c r="O791" i="1" s="1"/>
  <c r="AB791" i="1" s="1"/>
  <c r="P791" i="1" l="1"/>
  <c r="AA791" i="1" s="1"/>
  <c r="R791" i="1"/>
  <c r="M784" i="1"/>
  <c r="O784" i="1" s="1"/>
  <c r="AB784" i="1" s="1"/>
  <c r="R784" i="1"/>
  <c r="P784" i="1"/>
  <c r="AA784" i="1" s="1"/>
  <c r="N790" i="1" l="1"/>
  <c r="R790" i="1" s="1"/>
  <c r="M790" i="1"/>
  <c r="O790" i="1" s="1"/>
  <c r="AB790" i="1" s="1"/>
  <c r="P790" i="1" l="1"/>
  <c r="AA790" i="1" s="1"/>
  <c r="P789" i="1"/>
  <c r="AA789" i="1" s="1"/>
  <c r="N789" i="1"/>
  <c r="R789" i="1" s="1"/>
  <c r="M789" i="1"/>
  <c r="O789" i="1" s="1"/>
  <c r="AB789" i="1" s="1"/>
  <c r="M788" i="1"/>
  <c r="O788" i="1" s="1"/>
  <c r="AB788" i="1" s="1"/>
  <c r="N788" i="1"/>
  <c r="R788" i="1" s="1"/>
  <c r="P788" i="1" l="1"/>
  <c r="AA788" i="1" s="1"/>
  <c r="N787" i="1"/>
  <c r="R787" i="1" s="1"/>
  <c r="M787" i="1"/>
  <c r="O787" i="1" s="1"/>
  <c r="AB787" i="1" s="1"/>
  <c r="P787" i="1" l="1"/>
  <c r="AA787" i="1" s="1"/>
  <c r="N786" i="1"/>
  <c r="R786" i="1" s="1"/>
  <c r="M786" i="1"/>
  <c r="N785" i="1"/>
  <c r="M785" i="1"/>
  <c r="O785" i="1" s="1"/>
  <c r="AB785" i="1" s="1"/>
  <c r="P785" i="1" l="1"/>
  <c r="AA785" i="1" s="1"/>
  <c r="P786" i="1"/>
  <c r="AA786" i="1" s="1"/>
  <c r="O786" i="1"/>
  <c r="AB786" i="1" s="1"/>
  <c r="R785" i="1"/>
  <c r="P783" i="1"/>
  <c r="AA783" i="1" s="1"/>
  <c r="N783" i="1"/>
  <c r="R783" i="1" s="1"/>
  <c r="M783" i="1"/>
  <c r="O783" i="1" s="1"/>
  <c r="AB783" i="1" s="1"/>
  <c r="P781" i="1" l="1"/>
  <c r="N781" i="1"/>
  <c r="R781" i="1" s="1"/>
  <c r="M781" i="1"/>
  <c r="O781" i="1" s="1"/>
  <c r="AB781" i="1" s="1"/>
  <c r="M782" i="1"/>
  <c r="O782" i="1" s="1"/>
  <c r="AB782" i="1" s="1"/>
  <c r="N782" i="1"/>
  <c r="R782" i="1" s="1"/>
  <c r="P782" i="1" l="1"/>
  <c r="AA782" i="1" s="1"/>
  <c r="AA781" i="1"/>
  <c r="M780" i="1"/>
  <c r="O780" i="1" s="1"/>
  <c r="AB780" i="1" s="1"/>
  <c r="N780" i="1"/>
  <c r="R780" i="1" s="1"/>
  <c r="P780" i="1" l="1"/>
  <c r="AA780" i="1" s="1"/>
  <c r="N779" i="1"/>
  <c r="M779" i="1"/>
  <c r="O779" i="1" s="1"/>
  <c r="AB779" i="1" s="1"/>
  <c r="P779" i="1" l="1"/>
  <c r="AA779" i="1" s="1"/>
  <c r="R779" i="1"/>
  <c r="P778" i="1"/>
  <c r="N778" i="1"/>
  <c r="R778" i="1" l="1"/>
  <c r="M778" i="1"/>
  <c r="O778" i="1" s="1"/>
  <c r="AB778" i="1" s="1"/>
  <c r="AA778" i="1" l="1"/>
  <c r="M777" i="1"/>
  <c r="O777" i="1" s="1"/>
  <c r="AB777" i="1" s="1"/>
  <c r="N777" i="1"/>
  <c r="R777" i="1" s="1"/>
  <c r="P777" i="1" l="1"/>
  <c r="AA777" i="1" s="1"/>
  <c r="N776" i="1"/>
  <c r="R776" i="1" s="1"/>
  <c r="M776" i="1"/>
  <c r="O776" i="1" s="1"/>
  <c r="AB776" i="1" s="1"/>
  <c r="P776" i="1" l="1"/>
  <c r="AA776" i="1" s="1"/>
  <c r="N775" i="1"/>
  <c r="R775" i="1" s="1"/>
  <c r="M775" i="1"/>
  <c r="O775" i="1" s="1"/>
  <c r="AB775" i="1" s="1"/>
  <c r="M774" i="1"/>
  <c r="O774" i="1" s="1"/>
  <c r="AB774" i="1" s="1"/>
  <c r="N774" i="1"/>
  <c r="R774" i="1" s="1"/>
  <c r="P775" i="1" l="1"/>
  <c r="AA775" i="1" s="1"/>
  <c r="P774" i="1"/>
  <c r="AA774" i="1" s="1"/>
  <c r="Q771" i="1"/>
  <c r="N772" i="1"/>
  <c r="M772" i="1"/>
  <c r="O772" i="1" s="1"/>
  <c r="AB772" i="1" s="1"/>
  <c r="M773" i="1"/>
  <c r="O773" i="1" s="1"/>
  <c r="AB773" i="1" s="1"/>
  <c r="N773" i="1"/>
  <c r="R773" i="1" s="1"/>
  <c r="P772" i="1" l="1"/>
  <c r="AA772" i="1" s="1"/>
  <c r="R772" i="1"/>
  <c r="P773" i="1"/>
  <c r="AA773" i="1" s="1"/>
  <c r="N771" i="1"/>
  <c r="R771" i="1" s="1"/>
  <c r="M771" i="1"/>
  <c r="O771" i="1" s="1"/>
  <c r="AB771" i="1" s="1"/>
  <c r="P771" i="1" l="1"/>
  <c r="AA771" i="1" s="1"/>
  <c r="N770" i="1"/>
  <c r="R770" i="1" s="1"/>
  <c r="M770" i="1"/>
  <c r="O770" i="1" s="1"/>
  <c r="AB770" i="1" s="1"/>
  <c r="M769" i="1"/>
  <c r="O769" i="1" s="1"/>
  <c r="AB769" i="1" s="1"/>
  <c r="N769" i="1"/>
  <c r="R769" i="1" s="1"/>
  <c r="P770" i="1" l="1"/>
  <c r="AA770" i="1" s="1"/>
  <c r="P769" i="1"/>
  <c r="AA769" i="1" s="1"/>
  <c r="N768" i="1"/>
  <c r="M768" i="1"/>
  <c r="O768" i="1" s="1"/>
  <c r="P768" i="1" l="1"/>
  <c r="AA768" i="1" s="1"/>
  <c r="AB768" i="1"/>
  <c r="R768" i="1"/>
  <c r="N767" i="1"/>
  <c r="M767" i="1"/>
  <c r="O767" i="1" s="1"/>
  <c r="AB767" i="1" s="1"/>
  <c r="N766" i="1"/>
  <c r="R766" i="1" s="1"/>
  <c r="M766" i="1"/>
  <c r="O766" i="1" s="1"/>
  <c r="AB766" i="1" s="1"/>
  <c r="N765" i="1"/>
  <c r="R765" i="1" s="1"/>
  <c r="M765" i="1"/>
  <c r="O765" i="1" s="1"/>
  <c r="AB765" i="1" s="1"/>
  <c r="P767" i="1" l="1"/>
  <c r="AA767" i="1" s="1"/>
  <c r="P765" i="1"/>
  <c r="AA765" i="1" s="1"/>
  <c r="R767" i="1"/>
  <c r="P766" i="1"/>
  <c r="AA766" i="1" s="1"/>
  <c r="N764" i="1"/>
  <c r="R764" i="1" s="1"/>
  <c r="M764" i="1"/>
  <c r="O764" i="1" s="1"/>
  <c r="AB764" i="1" s="1"/>
  <c r="P764" i="1" l="1"/>
  <c r="AA764" i="1" s="1"/>
  <c r="N763" i="1"/>
  <c r="M763" i="1"/>
  <c r="O763" i="1" s="1"/>
  <c r="AB763" i="1" s="1"/>
  <c r="Q758" i="1"/>
  <c r="P763" i="1" l="1"/>
  <c r="AA763" i="1" s="1"/>
  <c r="R763" i="1"/>
  <c r="N762" i="1"/>
  <c r="M762" i="1"/>
  <c r="O762" i="1" s="1"/>
  <c r="AB762" i="1" s="1"/>
  <c r="N761" i="1"/>
  <c r="R761" i="1" s="1"/>
  <c r="M761" i="1"/>
  <c r="O761" i="1" s="1"/>
  <c r="AB761" i="1" s="1"/>
  <c r="N760" i="1"/>
  <c r="M760" i="1"/>
  <c r="O760" i="1" s="1"/>
  <c r="AB760" i="1" s="1"/>
  <c r="N759" i="1"/>
  <c r="R759" i="1" s="1"/>
  <c r="M759" i="1"/>
  <c r="O759" i="1" s="1"/>
  <c r="AB759" i="1" s="1"/>
  <c r="Q749" i="1"/>
  <c r="N758" i="1"/>
  <c r="R758" i="1" s="1"/>
  <c r="M758" i="1"/>
  <c r="P761" i="1" l="1"/>
  <c r="AA761" i="1" s="1"/>
  <c r="P758" i="1"/>
  <c r="AA758" i="1" s="1"/>
  <c r="P762" i="1"/>
  <c r="AA762" i="1" s="1"/>
  <c r="P760" i="1"/>
  <c r="AA760" i="1" s="1"/>
  <c r="P759" i="1"/>
  <c r="AA759" i="1" s="1"/>
  <c r="R762" i="1"/>
  <c r="R760" i="1"/>
  <c r="O758" i="1"/>
  <c r="AB758" i="1" s="1"/>
  <c r="M757" i="1"/>
  <c r="O757" i="1" s="1"/>
  <c r="AB757" i="1" s="1"/>
  <c r="N757" i="1"/>
  <c r="R757" i="1" s="1"/>
  <c r="P757" i="1"/>
  <c r="AA757" i="1" s="1"/>
  <c r="M756" i="1" l="1"/>
  <c r="O756" i="1" s="1"/>
  <c r="AB756" i="1" s="1"/>
  <c r="R756" i="1"/>
  <c r="P756" i="1"/>
  <c r="AA756" i="1" s="1"/>
  <c r="N755" i="1" l="1"/>
  <c r="M755" i="1"/>
  <c r="O755" i="1" s="1"/>
  <c r="AB755" i="1" s="1"/>
  <c r="M754" i="1"/>
  <c r="O754" i="1" s="1"/>
  <c r="AB754" i="1" s="1"/>
  <c r="N754" i="1"/>
  <c r="R754" i="1" s="1"/>
  <c r="P754" i="1"/>
  <c r="AA754" i="1" s="1"/>
  <c r="P755" i="1" l="1"/>
  <c r="AA755" i="1" s="1"/>
  <c r="R755" i="1"/>
  <c r="N753" i="1"/>
  <c r="M753" i="1"/>
  <c r="O753" i="1" s="1"/>
  <c r="AB753" i="1" s="1"/>
  <c r="P753" i="1" l="1"/>
  <c r="AA753" i="1" s="1"/>
  <c r="R753" i="1"/>
  <c r="N751" i="1"/>
  <c r="M751" i="1"/>
  <c r="O751" i="1" s="1"/>
  <c r="AB751" i="1" s="1"/>
  <c r="M752" i="1"/>
  <c r="O752" i="1" s="1"/>
  <c r="AB752" i="1" s="1"/>
  <c r="N752" i="1"/>
  <c r="R752" i="1" s="1"/>
  <c r="P751" i="1" l="1"/>
  <c r="AA751" i="1" s="1"/>
  <c r="R751" i="1"/>
  <c r="P752" i="1"/>
  <c r="AA752" i="1" s="1"/>
  <c r="N750" i="1"/>
  <c r="M750" i="1"/>
  <c r="O750" i="1" s="1"/>
  <c r="AB750" i="1" s="1"/>
  <c r="N749" i="1"/>
  <c r="M749" i="1"/>
  <c r="O749" i="1" s="1"/>
  <c r="AB749" i="1" s="1"/>
  <c r="P750" i="1" l="1"/>
  <c r="AA750" i="1" s="1"/>
  <c r="P749" i="1"/>
  <c r="AA749" i="1" s="1"/>
  <c r="R749" i="1"/>
  <c r="R750" i="1"/>
  <c r="M748" i="1"/>
  <c r="O748" i="1" s="1"/>
  <c r="AB748" i="1" s="1"/>
  <c r="R748" i="1"/>
  <c r="P748" i="1"/>
  <c r="AA748" i="1" s="1"/>
  <c r="N747" i="1" l="1"/>
  <c r="M747" i="1"/>
  <c r="O747" i="1" s="1"/>
  <c r="AB747" i="1" s="1"/>
  <c r="P746" i="1"/>
  <c r="AA746" i="1" s="1"/>
  <c r="N746" i="1"/>
  <c r="R746" i="1" s="1"/>
  <c r="M746" i="1"/>
  <c r="O746" i="1" s="1"/>
  <c r="AB746" i="1" s="1"/>
  <c r="P747" i="1" l="1"/>
  <c r="AA747" i="1" s="1"/>
  <c r="R747" i="1"/>
  <c r="N745" i="1"/>
  <c r="M745" i="1"/>
  <c r="O745" i="1" s="1"/>
  <c r="AB745" i="1" s="1"/>
  <c r="M744" i="1"/>
  <c r="O744" i="1" s="1"/>
  <c r="AB744" i="1" s="1"/>
  <c r="N744" i="1"/>
  <c r="R744" i="1" s="1"/>
  <c r="P744" i="1"/>
  <c r="AA744" i="1" s="1"/>
  <c r="P745" i="1" l="1"/>
  <c r="AA745" i="1" s="1"/>
  <c r="R745" i="1"/>
  <c r="M743" i="1"/>
  <c r="O743" i="1" s="1"/>
  <c r="AB743" i="1" s="1"/>
  <c r="N743" i="1"/>
  <c r="R743" i="1" s="1"/>
  <c r="P743" i="1" l="1"/>
  <c r="AA743" i="1" s="1"/>
  <c r="N742" i="1"/>
  <c r="M742" i="1"/>
  <c r="O742" i="1" s="1"/>
  <c r="AB742" i="1" s="1"/>
  <c r="P742" i="1" l="1"/>
  <c r="AA742" i="1" s="1"/>
  <c r="R742" i="1"/>
  <c r="P741" i="1"/>
  <c r="N741" i="1"/>
  <c r="R741" i="1" s="1"/>
  <c r="M741" i="1"/>
  <c r="O741" i="1" s="1"/>
  <c r="AB741" i="1" s="1"/>
  <c r="AA741" i="1" l="1"/>
  <c r="N740" i="1"/>
  <c r="R740" i="1" s="1"/>
  <c r="M740" i="1"/>
  <c r="O740" i="1" s="1"/>
  <c r="AB740" i="1" s="1"/>
  <c r="N706" i="1"/>
  <c r="M706" i="1"/>
  <c r="O706" i="1" s="1"/>
  <c r="P706" i="1" l="1"/>
  <c r="P740" i="1"/>
  <c r="AA740" i="1" s="1"/>
  <c r="N739" i="1"/>
  <c r="R739" i="1" s="1"/>
  <c r="M739" i="1"/>
  <c r="O739" i="1" s="1"/>
  <c r="AB739" i="1" s="1"/>
  <c r="N738" i="1"/>
  <c r="R738" i="1" s="1"/>
  <c r="M738" i="1"/>
  <c r="O738" i="1" s="1"/>
  <c r="AB738" i="1" s="1"/>
  <c r="P739" i="1" l="1"/>
  <c r="AA739" i="1" s="1"/>
  <c r="P738" i="1"/>
  <c r="AA738" i="1" s="1"/>
  <c r="P737" i="1" l="1"/>
  <c r="AA737" i="1" s="1"/>
  <c r="N737" i="1"/>
  <c r="M737" i="1"/>
  <c r="O737" i="1" s="1"/>
  <c r="AB737" i="1" s="1"/>
  <c r="M736" i="1"/>
  <c r="O736" i="1" s="1"/>
  <c r="AB736" i="1" s="1"/>
  <c r="N736" i="1"/>
  <c r="R736" i="1" s="1"/>
  <c r="P736" i="1"/>
  <c r="AA736" i="1" s="1"/>
  <c r="R737" i="1" l="1"/>
  <c r="M735" i="1"/>
  <c r="O735" i="1" s="1"/>
  <c r="AB735" i="1" s="1"/>
  <c r="N735" i="1"/>
  <c r="R735" i="1" s="1"/>
  <c r="P735" i="1" l="1"/>
  <c r="AA735" i="1" s="1"/>
  <c r="N734" i="1" l="1"/>
  <c r="M734" i="1"/>
  <c r="O734" i="1" s="1"/>
  <c r="AB734" i="1" s="1"/>
  <c r="N733" i="1"/>
  <c r="M733" i="1"/>
  <c r="O733" i="1" s="1"/>
  <c r="AB733" i="1" s="1"/>
  <c r="N732" i="1"/>
  <c r="M732" i="1"/>
  <c r="O732" i="1" s="1"/>
  <c r="AB732" i="1" s="1"/>
  <c r="N730" i="1"/>
  <c r="R730" i="1" s="1"/>
  <c r="M730" i="1"/>
  <c r="O730" i="1" s="1"/>
  <c r="AB730" i="1" s="1"/>
  <c r="N731" i="1"/>
  <c r="M731" i="1"/>
  <c r="O731" i="1" s="1"/>
  <c r="AB731" i="1" s="1"/>
  <c r="N725" i="1"/>
  <c r="R725" i="1" s="1"/>
  <c r="M725" i="1"/>
  <c r="M726" i="1"/>
  <c r="O726" i="1" s="1"/>
  <c r="AB726" i="1" s="1"/>
  <c r="M727" i="1"/>
  <c r="O727" i="1" s="1"/>
  <c r="AB727" i="1" s="1"/>
  <c r="M728" i="1"/>
  <c r="O728" i="1" s="1"/>
  <c r="AB728" i="1" s="1"/>
  <c r="M729" i="1"/>
  <c r="O729" i="1" s="1"/>
  <c r="AB729" i="1" s="1"/>
  <c r="N726" i="1"/>
  <c r="R726" i="1" s="1"/>
  <c r="N727" i="1"/>
  <c r="R727" i="1" s="1"/>
  <c r="N728" i="1"/>
  <c r="R728" i="1" s="1"/>
  <c r="N729" i="1"/>
  <c r="R729" i="1" s="1"/>
  <c r="P726" i="1"/>
  <c r="AA726" i="1" s="1"/>
  <c r="P727" i="1"/>
  <c r="AA727" i="1" s="1"/>
  <c r="P728" i="1"/>
  <c r="AA728" i="1" s="1"/>
  <c r="P729" i="1"/>
  <c r="AA729" i="1" s="1"/>
  <c r="N724" i="1"/>
  <c r="R724" i="1" s="1"/>
  <c r="M724" i="1"/>
  <c r="N723" i="1"/>
  <c r="R723" i="1" s="1"/>
  <c r="M723" i="1"/>
  <c r="O723" i="1" s="1"/>
  <c r="AB723" i="1" s="1"/>
  <c r="M722" i="1"/>
  <c r="O722" i="1" s="1"/>
  <c r="AB722" i="1" s="1"/>
  <c r="N722" i="1"/>
  <c r="R722" i="1" s="1"/>
  <c r="N721" i="1"/>
  <c r="R721" i="1" s="1"/>
  <c r="M721" i="1"/>
  <c r="N720" i="1"/>
  <c r="R720" i="1" s="1"/>
  <c r="M720" i="1"/>
  <c r="O720" i="1" s="1"/>
  <c r="AB720" i="1" s="1"/>
  <c r="N719" i="1"/>
  <c r="R719" i="1" s="1"/>
  <c r="M719" i="1"/>
  <c r="O719" i="1" s="1"/>
  <c r="AB719" i="1" s="1"/>
  <c r="M718" i="1"/>
  <c r="O718" i="1" s="1"/>
  <c r="AB718" i="1" s="1"/>
  <c r="N718" i="1"/>
  <c r="N717" i="1"/>
  <c r="R717" i="1" s="1"/>
  <c r="M717" i="1"/>
  <c r="O717" i="1" s="1"/>
  <c r="AB717" i="1" s="1"/>
  <c r="N716" i="1"/>
  <c r="R716" i="1" s="1"/>
  <c r="M716" i="1"/>
  <c r="O716" i="1" s="1"/>
  <c r="AB716" i="1" s="1"/>
  <c r="N715" i="1"/>
  <c r="M715" i="1"/>
  <c r="O715" i="1" s="1"/>
  <c r="AB715" i="1" s="1"/>
  <c r="N713" i="1"/>
  <c r="R713" i="1" s="1"/>
  <c r="M713" i="1"/>
  <c r="O713" i="1" s="1"/>
  <c r="AB713" i="1" s="1"/>
  <c r="N712" i="1"/>
  <c r="R712" i="1" s="1"/>
  <c r="M712" i="1"/>
  <c r="O712" i="1" s="1"/>
  <c r="AB712" i="1" s="1"/>
  <c r="M714" i="1"/>
  <c r="N714" i="1"/>
  <c r="R714" i="1" s="1"/>
  <c r="P713" i="1"/>
  <c r="AA713" i="1" s="1"/>
  <c r="M711" i="1"/>
  <c r="O711" i="1" s="1"/>
  <c r="AB711" i="1" s="1"/>
  <c r="N711" i="1"/>
  <c r="R711" i="1" s="1"/>
  <c r="P711" i="1"/>
  <c r="AA711" i="1" s="1"/>
  <c r="M710" i="1"/>
  <c r="O710" i="1" s="1"/>
  <c r="AB710" i="1" s="1"/>
  <c r="N710" i="1"/>
  <c r="R710" i="1" s="1"/>
  <c r="P710" i="1"/>
  <c r="AA710" i="1" s="1"/>
  <c r="N709" i="1"/>
  <c r="R709" i="1" s="1"/>
  <c r="M709" i="1"/>
  <c r="O709" i="1" s="1"/>
  <c r="AB709" i="1" s="1"/>
  <c r="N708" i="1"/>
  <c r="R708" i="1" s="1"/>
  <c r="M708" i="1"/>
  <c r="O708" i="1" s="1"/>
  <c r="AB708" i="1" s="1"/>
  <c r="N707" i="1"/>
  <c r="M707" i="1"/>
  <c r="O707" i="1" s="1"/>
  <c r="AB707" i="1" s="1"/>
  <c r="AB706" i="1"/>
  <c r="N705" i="1"/>
  <c r="M705" i="1"/>
  <c r="O705" i="1" s="1"/>
  <c r="AB705" i="1" s="1"/>
  <c r="N704" i="1"/>
  <c r="M704" i="1"/>
  <c r="O704" i="1" s="1"/>
  <c r="AB704" i="1" s="1"/>
  <c r="N703" i="1"/>
  <c r="M703" i="1"/>
  <c r="O703" i="1" s="1"/>
  <c r="AB703" i="1" s="1"/>
  <c r="N702" i="1"/>
  <c r="R702" i="1" s="1"/>
  <c r="M702" i="1"/>
  <c r="N701" i="1"/>
  <c r="R701" i="1" s="1"/>
  <c r="M701" i="1"/>
  <c r="N700" i="1"/>
  <c r="M700" i="1"/>
  <c r="O700" i="1" s="1"/>
  <c r="AB700" i="1" s="1"/>
  <c r="P699" i="1"/>
  <c r="AA699" i="1" s="1"/>
  <c r="N699" i="1"/>
  <c r="R699" i="1" s="1"/>
  <c r="M699" i="1"/>
  <c r="O699" i="1" s="1"/>
  <c r="AB699" i="1" s="1"/>
  <c r="M698" i="1"/>
  <c r="O698" i="1" s="1"/>
  <c r="AB698" i="1" s="1"/>
  <c r="N698" i="1"/>
  <c r="R698" i="1" s="1"/>
  <c r="M697" i="1"/>
  <c r="O697" i="1" s="1"/>
  <c r="AB697" i="1" s="1"/>
  <c r="N697" i="1"/>
  <c r="N696" i="1"/>
  <c r="R696" i="1" s="1"/>
  <c r="M696" i="1"/>
  <c r="O696" i="1" s="1"/>
  <c r="AB696" i="1" s="1"/>
  <c r="P696" i="1"/>
  <c r="AA696" i="1" s="1"/>
  <c r="N695" i="1"/>
  <c r="R695" i="1" s="1"/>
  <c r="M695" i="1"/>
  <c r="O695" i="1" s="1"/>
  <c r="AB695" i="1" s="1"/>
  <c r="P695" i="1"/>
  <c r="AA695" i="1" s="1"/>
  <c r="N694" i="1"/>
  <c r="R694" i="1" s="1"/>
  <c r="P694" i="1"/>
  <c r="AA694" i="1" s="1"/>
  <c r="M694" i="1"/>
  <c r="O694" i="1" s="1"/>
  <c r="AB694" i="1" s="1"/>
  <c r="N693" i="1"/>
  <c r="R693" i="1" s="1"/>
  <c r="M693" i="1"/>
  <c r="O693" i="1" s="1"/>
  <c r="AB693" i="1" s="1"/>
  <c r="N692" i="1"/>
  <c r="R692" i="1" s="1"/>
  <c r="M692" i="1"/>
  <c r="O692" i="1" s="1"/>
  <c r="AB692" i="1" s="1"/>
  <c r="N691" i="1"/>
  <c r="R691" i="1" s="1"/>
  <c r="M691" i="1"/>
  <c r="O691" i="1" s="1"/>
  <c r="AB691" i="1" s="1"/>
  <c r="N690" i="1"/>
  <c r="M690" i="1"/>
  <c r="O690" i="1" s="1"/>
  <c r="AB690" i="1" s="1"/>
  <c r="Q680" i="1"/>
  <c r="M689" i="1"/>
  <c r="O689" i="1" s="1"/>
  <c r="AB689" i="1" s="1"/>
  <c r="N689" i="1"/>
  <c r="N688" i="1"/>
  <c r="R688" i="1" s="1"/>
  <c r="M688" i="1"/>
  <c r="O688" i="1" s="1"/>
  <c r="AB688" i="1" s="1"/>
  <c r="N687" i="1"/>
  <c r="R687" i="1" s="1"/>
  <c r="M687" i="1"/>
  <c r="O687" i="1" s="1"/>
  <c r="AB687" i="1" s="1"/>
  <c r="N686" i="1"/>
  <c r="R686" i="1" s="1"/>
  <c r="M686" i="1"/>
  <c r="O686" i="1" s="1"/>
  <c r="AB686" i="1" s="1"/>
  <c r="M685" i="1"/>
  <c r="N685" i="1"/>
  <c r="R685" i="1" s="1"/>
  <c r="N684" i="1"/>
  <c r="M684" i="1"/>
  <c r="O684" i="1" s="1"/>
  <c r="AB684" i="1" s="1"/>
  <c r="N683" i="1"/>
  <c r="R683" i="1" s="1"/>
  <c r="M683" i="1"/>
  <c r="O683" i="1" s="1"/>
  <c r="AB683" i="1" s="1"/>
  <c r="M682" i="1"/>
  <c r="O682" i="1" s="1"/>
  <c r="AB682" i="1" s="1"/>
  <c r="N682" i="1"/>
  <c r="R682" i="1" s="1"/>
  <c r="N681" i="1"/>
  <c r="R681" i="1" s="1"/>
  <c r="M681" i="1"/>
  <c r="M680" i="1"/>
  <c r="O680" i="1" s="1"/>
  <c r="AB680" i="1" s="1"/>
  <c r="N680" i="1"/>
  <c r="M679" i="1"/>
  <c r="O679" i="1" s="1"/>
  <c r="AB679" i="1" s="1"/>
  <c r="N679" i="1"/>
  <c r="R679" i="1" s="1"/>
  <c r="N678" i="1"/>
  <c r="R678" i="1" s="1"/>
  <c r="M678" i="1"/>
  <c r="O678" i="1" s="1"/>
  <c r="AB678" i="1" s="1"/>
  <c r="N677" i="1"/>
  <c r="M677" i="1"/>
  <c r="O677" i="1" s="1"/>
  <c r="AB677" i="1" s="1"/>
  <c r="N676" i="1"/>
  <c r="R676" i="1" s="1"/>
  <c r="M676" i="1"/>
  <c r="O676" i="1" s="1"/>
  <c r="AB676" i="1" s="1"/>
  <c r="N675" i="1"/>
  <c r="M675" i="1"/>
  <c r="O675" i="1" s="1"/>
  <c r="AB675" i="1" s="1"/>
  <c r="N674" i="1"/>
  <c r="R674" i="1" s="1"/>
  <c r="M674" i="1"/>
  <c r="O674" i="1" s="1"/>
  <c r="AB674" i="1" s="1"/>
  <c r="M672" i="1"/>
  <c r="O672" i="1" s="1"/>
  <c r="AB672" i="1" s="1"/>
  <c r="N672" i="1"/>
  <c r="R672" i="1" s="1"/>
  <c r="N673" i="1"/>
  <c r="R673" i="1" s="1"/>
  <c r="M673" i="1"/>
  <c r="O673" i="1" s="1"/>
  <c r="AB673" i="1" s="1"/>
  <c r="N671" i="1"/>
  <c r="M671" i="1"/>
  <c r="O671" i="1" s="1"/>
  <c r="AB671" i="1" s="1"/>
  <c r="N670" i="1"/>
  <c r="R670" i="1" s="1"/>
  <c r="M670" i="1"/>
  <c r="O670" i="1" s="1"/>
  <c r="AB670" i="1" s="1"/>
  <c r="N669" i="1"/>
  <c r="R669" i="1" s="1"/>
  <c r="M669" i="1"/>
  <c r="O669" i="1" s="1"/>
  <c r="AB669" i="1" s="1"/>
  <c r="M668" i="1"/>
  <c r="O668" i="1" s="1"/>
  <c r="AB668" i="1" s="1"/>
  <c r="N668" i="1"/>
  <c r="M667" i="1"/>
  <c r="O667" i="1" s="1"/>
  <c r="AB667" i="1" s="1"/>
  <c r="N667" i="1"/>
  <c r="R667" i="1" s="1"/>
  <c r="M666" i="1"/>
  <c r="O666" i="1" s="1"/>
  <c r="AB666" i="1" s="1"/>
  <c r="N666" i="1"/>
  <c r="R666" i="1" s="1"/>
  <c r="P666" i="1"/>
  <c r="AA666" i="1" s="1"/>
  <c r="N665" i="1"/>
  <c r="M665" i="1"/>
  <c r="O665" i="1" s="1"/>
  <c r="AB665" i="1" s="1"/>
  <c r="N664" i="1"/>
  <c r="R664" i="1" s="1"/>
  <c r="P664" i="1"/>
  <c r="AA664" i="1" s="1"/>
  <c r="M664" i="1"/>
  <c r="O664" i="1" s="1"/>
  <c r="AB664" i="1" s="1"/>
  <c r="M663" i="1"/>
  <c r="O663" i="1" s="1"/>
  <c r="AB663" i="1" s="1"/>
  <c r="N663" i="1"/>
  <c r="R663" i="1" s="1"/>
  <c r="P663" i="1"/>
  <c r="AA663" i="1" s="1"/>
  <c r="N662" i="1"/>
  <c r="M662" i="1"/>
  <c r="O662" i="1" s="1"/>
  <c r="AB662" i="1" s="1"/>
  <c r="N661" i="1"/>
  <c r="R661" i="1" s="1"/>
  <c r="M661" i="1"/>
  <c r="O661" i="1" s="1"/>
  <c r="AB661" i="1" s="1"/>
  <c r="N660" i="1"/>
  <c r="M660" i="1"/>
  <c r="O660" i="1" s="1"/>
  <c r="AB660" i="1" s="1"/>
  <c r="N659" i="1"/>
  <c r="M659" i="1"/>
  <c r="O659" i="1" s="1"/>
  <c r="AB659" i="1" s="1"/>
  <c r="N658" i="1"/>
  <c r="R658" i="1" s="1"/>
  <c r="M658" i="1"/>
  <c r="O658" i="1" s="1"/>
  <c r="AB658" i="1" s="1"/>
  <c r="N657" i="1"/>
  <c r="M657" i="1"/>
  <c r="O657" i="1" s="1"/>
  <c r="AB657" i="1" s="1"/>
  <c r="M656" i="1"/>
  <c r="O656" i="1" s="1"/>
  <c r="AB656" i="1" s="1"/>
  <c r="N656" i="1"/>
  <c r="M655" i="1"/>
  <c r="O655" i="1" s="1"/>
  <c r="AB655" i="1" s="1"/>
  <c r="N655" i="1"/>
  <c r="R655" i="1" s="1"/>
  <c r="N654" i="1"/>
  <c r="M654" i="1"/>
  <c r="O654" i="1" s="1"/>
  <c r="AB654" i="1" s="1"/>
  <c r="N653" i="1"/>
  <c r="R653" i="1" s="1"/>
  <c r="M653" i="1"/>
  <c r="O653" i="1" s="1"/>
  <c r="AB653" i="1" s="1"/>
  <c r="N652" i="1"/>
  <c r="M652" i="1"/>
  <c r="O652" i="1" s="1"/>
  <c r="AB652" i="1" s="1"/>
  <c r="N651" i="1"/>
  <c r="R651" i="1" s="1"/>
  <c r="M651" i="1"/>
  <c r="O651" i="1" s="1"/>
  <c r="AB651" i="1" s="1"/>
  <c r="N650" i="1"/>
  <c r="R650" i="1" s="1"/>
  <c r="M650" i="1"/>
  <c r="N649" i="1"/>
  <c r="R649" i="1" s="1"/>
  <c r="M649" i="1"/>
  <c r="O649" i="1" s="1"/>
  <c r="AB649" i="1" s="1"/>
  <c r="P648" i="1"/>
  <c r="AA648" i="1" s="1"/>
  <c r="M648" i="1"/>
  <c r="O648" i="1" s="1"/>
  <c r="AB648" i="1" s="1"/>
  <c r="R648" i="1"/>
  <c r="N647" i="1"/>
  <c r="R647" i="1" s="1"/>
  <c r="M647" i="1"/>
  <c r="O647" i="1" s="1"/>
  <c r="AB647" i="1" s="1"/>
  <c r="M646" i="1"/>
  <c r="O646" i="1" s="1"/>
  <c r="AB646" i="1" s="1"/>
  <c r="P646" i="1"/>
  <c r="AA646" i="1" s="1"/>
  <c r="R646" i="1"/>
  <c r="N645" i="1"/>
  <c r="M645" i="1"/>
  <c r="O645" i="1" s="1"/>
  <c r="AB645" i="1" s="1"/>
  <c r="N644" i="1"/>
  <c r="R644" i="1" s="1"/>
  <c r="M644" i="1"/>
  <c r="O644" i="1" s="1"/>
  <c r="AB644" i="1" s="1"/>
  <c r="N643" i="1"/>
  <c r="R643" i="1" s="1"/>
  <c r="M643" i="1"/>
  <c r="N642" i="1"/>
  <c r="R642" i="1" s="1"/>
  <c r="M642" i="1"/>
  <c r="O642" i="1" s="1"/>
  <c r="AB642" i="1" s="1"/>
  <c r="N641" i="1"/>
  <c r="M641" i="1"/>
  <c r="O641" i="1" s="1"/>
  <c r="AB641" i="1" s="1"/>
  <c r="N640" i="1"/>
  <c r="R640" i="1" s="1"/>
  <c r="M640" i="1"/>
  <c r="O640" i="1" s="1"/>
  <c r="AB640" i="1" s="1"/>
  <c r="P639" i="1"/>
  <c r="AA639" i="1" s="1"/>
  <c r="R639" i="1"/>
  <c r="M639" i="1"/>
  <c r="O639" i="1" s="1"/>
  <c r="AB639" i="1" s="1"/>
  <c r="N638" i="1"/>
  <c r="M638" i="1"/>
  <c r="O638" i="1" s="1"/>
  <c r="AB638" i="1" s="1"/>
  <c r="P633" i="1"/>
  <c r="AA633" i="1" s="1"/>
  <c r="N633" i="1"/>
  <c r="R633" i="1" s="1"/>
  <c r="M633" i="1"/>
  <c r="O633" i="1" s="1"/>
  <c r="AB633" i="1" s="1"/>
  <c r="N636" i="1"/>
  <c r="R636" i="1" s="1"/>
  <c r="M636" i="1"/>
  <c r="O636" i="1" s="1"/>
  <c r="AB636" i="1" s="1"/>
  <c r="N637" i="1"/>
  <c r="R637" i="1" s="1"/>
  <c r="M637" i="1"/>
  <c r="O637" i="1" s="1"/>
  <c r="AB637" i="1" s="1"/>
  <c r="N635" i="1"/>
  <c r="R635" i="1" s="1"/>
  <c r="M635" i="1"/>
  <c r="N634" i="1"/>
  <c r="M634" i="1"/>
  <c r="O634" i="1" s="1"/>
  <c r="AB634" i="1" s="1"/>
  <c r="N632" i="1"/>
  <c r="R632" i="1" s="1"/>
  <c r="M632" i="1"/>
  <c r="O632" i="1" s="1"/>
  <c r="AB632" i="1" s="1"/>
  <c r="N631" i="1"/>
  <c r="M631" i="1"/>
  <c r="O631" i="1" s="1"/>
  <c r="AB631" i="1" s="1"/>
  <c r="P630" i="1"/>
  <c r="AA630" i="1" s="1"/>
  <c r="M630" i="1"/>
  <c r="O630" i="1" s="1"/>
  <c r="AB630" i="1" s="1"/>
  <c r="R630" i="1"/>
  <c r="N629" i="1"/>
  <c r="R629" i="1" s="1"/>
  <c r="M629" i="1"/>
  <c r="O629" i="1" s="1"/>
  <c r="AB629" i="1" s="1"/>
  <c r="N628" i="1"/>
  <c r="R628" i="1" s="1"/>
  <c r="M628" i="1"/>
  <c r="O628" i="1" s="1"/>
  <c r="AB628" i="1" s="1"/>
  <c r="P628" i="1"/>
  <c r="AA628" i="1" s="1"/>
  <c r="N627" i="1"/>
  <c r="R627" i="1" s="1"/>
  <c r="M627" i="1"/>
  <c r="O627" i="1" s="1"/>
  <c r="AB627" i="1" s="1"/>
  <c r="M626" i="1"/>
  <c r="O626" i="1" s="1"/>
  <c r="AB626" i="1" s="1"/>
  <c r="N626" i="1"/>
  <c r="R626" i="1" s="1"/>
  <c r="N625" i="1"/>
  <c r="R625" i="1" s="1"/>
  <c r="M625" i="1"/>
  <c r="N624" i="1"/>
  <c r="R624" i="1" s="1"/>
  <c r="M624" i="1"/>
  <c r="O624" i="1" s="1"/>
  <c r="AB624" i="1" s="1"/>
  <c r="N623" i="1"/>
  <c r="R623" i="1" s="1"/>
  <c r="M623" i="1"/>
  <c r="O623" i="1" s="1"/>
  <c r="AB623" i="1" s="1"/>
  <c r="N622" i="1"/>
  <c r="R622" i="1" s="1"/>
  <c r="M622" i="1"/>
  <c r="O622" i="1" s="1"/>
  <c r="AB622" i="1" s="1"/>
  <c r="P623" i="1"/>
  <c r="AA623" i="1" s="1"/>
  <c r="M621" i="1"/>
  <c r="O621" i="1" s="1"/>
  <c r="AB621" i="1" s="1"/>
  <c r="N621" i="1"/>
  <c r="R621" i="1" s="1"/>
  <c r="N620" i="1"/>
  <c r="M620" i="1"/>
  <c r="O620" i="1" s="1"/>
  <c r="AB620" i="1" s="1"/>
  <c r="P621" i="1"/>
  <c r="AA621" i="1" s="1"/>
  <c r="N619" i="1"/>
  <c r="R619" i="1" s="1"/>
  <c r="M619" i="1"/>
  <c r="N618" i="1"/>
  <c r="R618" i="1" s="1"/>
  <c r="M618" i="1"/>
  <c r="O618" i="1" s="1"/>
  <c r="AB618" i="1" s="1"/>
  <c r="M617" i="1"/>
  <c r="O617" i="1" s="1"/>
  <c r="AB617" i="1" s="1"/>
  <c r="N617" i="1"/>
  <c r="R617" i="1" s="1"/>
  <c r="P617" i="1"/>
  <c r="AA617" i="1" s="1"/>
  <c r="N616" i="1"/>
  <c r="M616" i="1"/>
  <c r="O616" i="1" s="1"/>
  <c r="AB616" i="1" s="1"/>
  <c r="N615" i="1"/>
  <c r="M615" i="1"/>
  <c r="O615" i="1" s="1"/>
  <c r="AB615" i="1" s="1"/>
  <c r="N614" i="1"/>
  <c r="R614" i="1" s="1"/>
  <c r="M614" i="1"/>
  <c r="O614" i="1" s="1"/>
  <c r="AB614" i="1" s="1"/>
  <c r="N613" i="1"/>
  <c r="M613" i="1"/>
  <c r="O613" i="1" s="1"/>
  <c r="AB613" i="1" s="1"/>
  <c r="N612" i="1"/>
  <c r="R612" i="1" s="1"/>
  <c r="P612" i="1"/>
  <c r="AA612" i="1" s="1"/>
  <c r="M612" i="1"/>
  <c r="O612" i="1" s="1"/>
  <c r="AB612" i="1" s="1"/>
  <c r="N611" i="1"/>
  <c r="R611" i="1" s="1"/>
  <c r="M611" i="1"/>
  <c r="O611" i="1" s="1"/>
  <c r="AB611" i="1" s="1"/>
  <c r="N595" i="1"/>
  <c r="M595" i="1"/>
  <c r="O595" i="1" s="1"/>
  <c r="AB595" i="1" s="1"/>
  <c r="M610" i="1"/>
  <c r="O610" i="1" s="1"/>
  <c r="AB610" i="1" s="1"/>
  <c r="N610" i="1"/>
  <c r="R610" i="1" s="1"/>
  <c r="N609" i="1"/>
  <c r="R609" i="1" s="1"/>
  <c r="M609" i="1"/>
  <c r="O609" i="1" s="1"/>
  <c r="AB609" i="1" s="1"/>
  <c r="M608" i="1"/>
  <c r="O608" i="1" s="1"/>
  <c r="AB608" i="1" s="1"/>
  <c r="N608" i="1"/>
  <c r="R608" i="1" s="1"/>
  <c r="N607" i="1"/>
  <c r="R607" i="1" s="1"/>
  <c r="M607" i="1"/>
  <c r="O607" i="1" s="1"/>
  <c r="AB607" i="1" s="1"/>
  <c r="N606" i="1"/>
  <c r="M606" i="1"/>
  <c r="O606" i="1" s="1"/>
  <c r="AB606" i="1" s="1"/>
  <c r="M605" i="1"/>
  <c r="O605" i="1" s="1"/>
  <c r="AB605" i="1" s="1"/>
  <c r="N605" i="1"/>
  <c r="R605" i="1" s="1"/>
  <c r="N604" i="1"/>
  <c r="R604" i="1" s="1"/>
  <c r="M604" i="1"/>
  <c r="O604" i="1" s="1"/>
  <c r="AB604" i="1"/>
  <c r="N603" i="1"/>
  <c r="M603" i="1"/>
  <c r="O603" i="1" s="1"/>
  <c r="AB603" i="1" s="1"/>
  <c r="N602" i="1"/>
  <c r="M602" i="1"/>
  <c r="O602" i="1" s="1"/>
  <c r="AB602" i="1" s="1"/>
  <c r="N601" i="1"/>
  <c r="M601" i="1"/>
  <c r="O601" i="1" s="1"/>
  <c r="AB601" i="1" s="1"/>
  <c r="N600" i="1"/>
  <c r="R600" i="1" s="1"/>
  <c r="M600" i="1"/>
  <c r="O600" i="1" s="1"/>
  <c r="AB600" i="1" s="1"/>
  <c r="N599" i="1"/>
  <c r="M599" i="1"/>
  <c r="O599" i="1" s="1"/>
  <c r="AB599" i="1" s="1"/>
  <c r="N596" i="1"/>
  <c r="R596" i="1" s="1"/>
  <c r="M596" i="1"/>
  <c r="O596" i="1" s="1"/>
  <c r="AB596" i="1" s="1"/>
  <c r="N598" i="1"/>
  <c r="R598" i="1" s="1"/>
  <c r="M598" i="1"/>
  <c r="O598" i="1" s="1"/>
  <c r="AB598" i="1" s="1"/>
  <c r="N597" i="1"/>
  <c r="R597" i="1" s="1"/>
  <c r="M597" i="1"/>
  <c r="N594" i="1"/>
  <c r="R594" i="1" s="1"/>
  <c r="M594" i="1"/>
  <c r="O594" i="1" s="1"/>
  <c r="AB594" i="1" s="1"/>
  <c r="N593" i="1"/>
  <c r="R593" i="1" s="1"/>
  <c r="M593" i="1"/>
  <c r="O593" i="1" s="1"/>
  <c r="AB593" i="1" s="1"/>
  <c r="N592" i="1"/>
  <c r="R592" i="1" s="1"/>
  <c r="M592" i="1"/>
  <c r="O592" i="1" s="1"/>
  <c r="AB592" i="1" s="1"/>
  <c r="N591" i="1"/>
  <c r="R591" i="1" s="1"/>
  <c r="M591" i="1"/>
  <c r="O591" i="1" s="1"/>
  <c r="AB591" i="1" s="1"/>
  <c r="N590" i="1"/>
  <c r="R590" i="1" s="1"/>
  <c r="M590" i="1"/>
  <c r="O590" i="1" s="1"/>
  <c r="AB590" i="1" s="1"/>
  <c r="N589" i="1"/>
  <c r="R589" i="1" s="1"/>
  <c r="M589" i="1"/>
  <c r="N588" i="1"/>
  <c r="R588" i="1" s="1"/>
  <c r="M588" i="1"/>
  <c r="O588" i="1" s="1"/>
  <c r="AB588" i="1" s="1"/>
  <c r="N587" i="1"/>
  <c r="R587" i="1" s="1"/>
  <c r="M587" i="1"/>
  <c r="O587" i="1" s="1"/>
  <c r="AB587" i="1" s="1"/>
  <c r="N586" i="1"/>
  <c r="R586" i="1" s="1"/>
  <c r="M586" i="1"/>
  <c r="O586" i="1" s="1"/>
  <c r="AB586" i="1" s="1"/>
  <c r="X581" i="1"/>
  <c r="AD585" i="1"/>
  <c r="N585" i="1"/>
  <c r="R585" i="1" s="1"/>
  <c r="M585" i="1"/>
  <c r="O585" i="1" s="1"/>
  <c r="AB585" i="1" s="1"/>
  <c r="N584" i="1"/>
  <c r="M584" i="1"/>
  <c r="O584" i="1" s="1"/>
  <c r="AB584" i="1" s="1"/>
  <c r="P583" i="1"/>
  <c r="AA583" i="1" s="1"/>
  <c r="N583" i="1"/>
  <c r="R583" i="1" s="1"/>
  <c r="M583" i="1"/>
  <c r="O583" i="1" s="1"/>
  <c r="AB583" i="1" s="1"/>
  <c r="N580" i="1"/>
  <c r="R580" i="1" s="1"/>
  <c r="M580" i="1"/>
  <c r="O580" i="1" s="1"/>
  <c r="AB580" i="1" s="1"/>
  <c r="N571" i="1"/>
  <c r="R571" i="1" s="1"/>
  <c r="M571" i="1"/>
  <c r="O571" i="1" s="1"/>
  <c r="AB571" i="1" s="1"/>
  <c r="N582" i="1"/>
  <c r="R582" i="1" s="1"/>
  <c r="M581" i="1"/>
  <c r="O581" i="1" s="1"/>
  <c r="N581" i="1"/>
  <c r="R581" i="1" s="1"/>
  <c r="M582" i="1"/>
  <c r="O582" i="1" s="1"/>
  <c r="AB582" i="1" s="1"/>
  <c r="N578" i="1"/>
  <c r="R578" i="1" s="1"/>
  <c r="M578" i="1"/>
  <c r="O578" i="1" s="1"/>
  <c r="AB578" i="1" s="1"/>
  <c r="M579" i="1"/>
  <c r="O579" i="1" s="1"/>
  <c r="AB579" i="1" s="1"/>
  <c r="N579" i="1"/>
  <c r="R579" i="1" s="1"/>
  <c r="P582" i="1"/>
  <c r="AA582" i="1" s="1"/>
  <c r="P579" i="1"/>
  <c r="AA579" i="1" s="1"/>
  <c r="N577" i="1"/>
  <c r="R577" i="1" s="1"/>
  <c r="M577" i="1"/>
  <c r="O577" i="1" s="1"/>
  <c r="AB577" i="1" s="1"/>
  <c r="N576" i="1"/>
  <c r="M576" i="1"/>
  <c r="O576" i="1" s="1"/>
  <c r="AB576" i="1" s="1"/>
  <c r="P577" i="1"/>
  <c r="AA577" i="1" s="1"/>
  <c r="N575" i="1"/>
  <c r="R575" i="1" s="1"/>
  <c r="M575" i="1"/>
  <c r="O575" i="1" s="1"/>
  <c r="AB575" i="1" s="1"/>
  <c r="N574" i="1"/>
  <c r="M574" i="1"/>
  <c r="O574" i="1" s="1"/>
  <c r="AB574" i="1" s="1"/>
  <c r="N573" i="1"/>
  <c r="R573" i="1" s="1"/>
  <c r="M573" i="1"/>
  <c r="O573" i="1" s="1"/>
  <c r="AB573" i="1" s="1"/>
  <c r="N572" i="1"/>
  <c r="R572" i="1" s="1"/>
  <c r="M572" i="1"/>
  <c r="O572" i="1" s="1"/>
  <c r="AB572" i="1" s="1"/>
  <c r="N570" i="1"/>
  <c r="R570" i="1" s="1"/>
  <c r="M570" i="1"/>
  <c r="O570" i="1" s="1"/>
  <c r="AB570" i="1" s="1"/>
  <c r="N569" i="1"/>
  <c r="M569" i="1"/>
  <c r="O569" i="1" s="1"/>
  <c r="AB569" i="1" s="1"/>
  <c r="N568" i="1"/>
  <c r="R568" i="1" s="1"/>
  <c r="M568" i="1"/>
  <c r="O568" i="1" s="1"/>
  <c r="AB568" i="1" s="1"/>
  <c r="N567" i="1"/>
  <c r="R567" i="1" s="1"/>
  <c r="M567" i="1"/>
  <c r="O567" i="1" s="1"/>
  <c r="AB567" i="1" s="1"/>
  <c r="N566" i="1"/>
  <c r="R566" i="1" s="1"/>
  <c r="M566" i="1"/>
  <c r="O566" i="1" s="1"/>
  <c r="AB566" i="1" s="1"/>
  <c r="N565" i="1"/>
  <c r="M565" i="1"/>
  <c r="O565" i="1" s="1"/>
  <c r="AB565" i="1" s="1"/>
  <c r="N564" i="1"/>
  <c r="R564" i="1" s="1"/>
  <c r="M564" i="1"/>
  <c r="P566" i="1"/>
  <c r="AA566" i="1" s="1"/>
  <c r="N563" i="1"/>
  <c r="R563" i="1" s="1"/>
  <c r="M563" i="1"/>
  <c r="N562" i="1"/>
  <c r="M562" i="1"/>
  <c r="O562" i="1" s="1"/>
  <c r="AB562" i="1" s="1"/>
  <c r="N561" i="1"/>
  <c r="M561" i="1"/>
  <c r="O561" i="1" s="1"/>
  <c r="AB561" i="1" s="1"/>
  <c r="N560" i="1"/>
  <c r="R560" i="1" s="1"/>
  <c r="M560" i="1"/>
  <c r="O560" i="1" s="1"/>
  <c r="AB560" i="1" s="1"/>
  <c r="M559" i="1"/>
  <c r="O559" i="1" s="1"/>
  <c r="AB559" i="1" s="1"/>
  <c r="N559" i="1"/>
  <c r="R559" i="1" s="1"/>
  <c r="Q548" i="1"/>
  <c r="M558" i="1"/>
  <c r="O558" i="1" s="1"/>
  <c r="AB558" i="1" s="1"/>
  <c r="N558" i="1"/>
  <c r="Q546" i="1"/>
  <c r="Q550" i="1"/>
  <c r="M557" i="1"/>
  <c r="O557" i="1" s="1"/>
  <c r="AB557" i="1" s="1"/>
  <c r="N557" i="1"/>
  <c r="R557" i="1" s="1"/>
  <c r="P557" i="1"/>
  <c r="AA557" i="1" s="1"/>
  <c r="N556" i="1"/>
  <c r="M556" i="1"/>
  <c r="O556" i="1" s="1"/>
  <c r="AB556" i="1" s="1"/>
  <c r="N555" i="1"/>
  <c r="R555" i="1" s="1"/>
  <c r="M555" i="1"/>
  <c r="O555" i="1" s="1"/>
  <c r="AB555" i="1" s="1"/>
  <c r="R554" i="1"/>
  <c r="M553" i="1"/>
  <c r="N553" i="1"/>
  <c r="R553" i="1" s="1"/>
  <c r="N552" i="1"/>
  <c r="R552" i="1" s="1"/>
  <c r="M552" i="1"/>
  <c r="O552" i="1" s="1"/>
  <c r="AB552" i="1" s="1"/>
  <c r="N551" i="1"/>
  <c r="R551" i="1" s="1"/>
  <c r="M551" i="1"/>
  <c r="O551" i="1" s="1"/>
  <c r="AB551" i="1" s="1"/>
  <c r="M550" i="1"/>
  <c r="O550" i="1" s="1"/>
  <c r="AB550" i="1" s="1"/>
  <c r="N550" i="1"/>
  <c r="M549" i="1"/>
  <c r="O549" i="1" s="1"/>
  <c r="AB549" i="1" s="1"/>
  <c r="N549" i="1"/>
  <c r="R549" i="1" s="1"/>
  <c r="N548" i="1"/>
  <c r="M548" i="1"/>
  <c r="O548" i="1" s="1"/>
  <c r="AB548" i="1" s="1"/>
  <c r="M546" i="1"/>
  <c r="M547" i="1"/>
  <c r="O547" i="1" s="1"/>
  <c r="AB547" i="1" s="1"/>
  <c r="N546" i="1"/>
  <c r="N547" i="1"/>
  <c r="R547" i="1" s="1"/>
  <c r="N545" i="1"/>
  <c r="M545" i="1"/>
  <c r="O545" i="1" s="1"/>
  <c r="AB545" i="1" s="1"/>
  <c r="P544" i="1"/>
  <c r="AA544" i="1" s="1"/>
  <c r="N544" i="1"/>
  <c r="R544" i="1" s="1"/>
  <c r="M544" i="1"/>
  <c r="O544" i="1" s="1"/>
  <c r="AB544" i="1" s="1"/>
  <c r="N543" i="1"/>
  <c r="R543" i="1" s="1"/>
  <c r="M543" i="1"/>
  <c r="O543" i="1" s="1"/>
  <c r="AB543" i="1" s="1"/>
  <c r="N542" i="1"/>
  <c r="R542" i="1" s="1"/>
  <c r="M542" i="1"/>
  <c r="O542" i="1" s="1"/>
  <c r="AB542" i="1" s="1"/>
  <c r="N541" i="1"/>
  <c r="R541" i="1" s="1"/>
  <c r="M541" i="1"/>
  <c r="O541" i="1" s="1"/>
  <c r="AB541" i="1" s="1"/>
  <c r="N540" i="1"/>
  <c r="R540" i="1" s="1"/>
  <c r="M540" i="1"/>
  <c r="O540" i="1" s="1"/>
  <c r="AB540" i="1" s="1"/>
  <c r="Q519" i="1"/>
  <c r="M539" i="1"/>
  <c r="O539" i="1" s="1"/>
  <c r="AB539" i="1" s="1"/>
  <c r="N539" i="1"/>
  <c r="N538" i="1"/>
  <c r="R538" i="1" s="1"/>
  <c r="M538" i="1"/>
  <c r="N537" i="1"/>
  <c r="M537" i="1"/>
  <c r="O537" i="1" s="1"/>
  <c r="AB537" i="1" s="1"/>
  <c r="N536" i="1"/>
  <c r="M536" i="1"/>
  <c r="O536" i="1" s="1"/>
  <c r="AB536" i="1" s="1"/>
  <c r="N535" i="1"/>
  <c r="R535" i="1" s="1"/>
  <c r="M535" i="1"/>
  <c r="O535" i="1" s="1"/>
  <c r="AB535" i="1" s="1"/>
  <c r="N534" i="1"/>
  <c r="M534" i="1"/>
  <c r="O534" i="1" s="1"/>
  <c r="AB534" i="1" s="1"/>
  <c r="N533" i="1"/>
  <c r="R533" i="1" s="1"/>
  <c r="M533" i="1"/>
  <c r="O533" i="1" s="1"/>
  <c r="AB533" i="1" s="1"/>
  <c r="N532" i="1"/>
  <c r="R532" i="1" s="1"/>
  <c r="M532" i="1"/>
  <c r="O532" i="1" s="1"/>
  <c r="AB532" i="1" s="1"/>
  <c r="M531" i="1"/>
  <c r="O531" i="1" s="1"/>
  <c r="AB531" i="1" s="1"/>
  <c r="N531" i="1"/>
  <c r="M530" i="1"/>
  <c r="O530" i="1" s="1"/>
  <c r="AB530" i="1" s="1"/>
  <c r="N530" i="1"/>
  <c r="R530" i="1" s="1"/>
  <c r="N529" i="1"/>
  <c r="M529" i="1"/>
  <c r="O529" i="1" s="1"/>
  <c r="AB529" i="1" s="1"/>
  <c r="X510" i="1"/>
  <c r="N528" i="1"/>
  <c r="R528" i="1" s="1"/>
  <c r="M528" i="1"/>
  <c r="O528" i="1" s="1"/>
  <c r="AB528" i="1" s="1"/>
  <c r="N527" i="1"/>
  <c r="R527" i="1" s="1"/>
  <c r="M527" i="1"/>
  <c r="O527" i="1" s="1"/>
  <c r="AB527" i="1" s="1"/>
  <c r="N526" i="1"/>
  <c r="R526" i="1" s="1"/>
  <c r="M526" i="1"/>
  <c r="O526" i="1" s="1"/>
  <c r="AB526" i="1" s="1"/>
  <c r="N525" i="1"/>
  <c r="R525" i="1" s="1"/>
  <c r="M525" i="1"/>
  <c r="O525" i="1" s="1"/>
  <c r="AB525" i="1" s="1"/>
  <c r="P474" i="1"/>
  <c r="AA474" i="1" s="1"/>
  <c r="M474" i="1"/>
  <c r="O474" i="1" s="1"/>
  <c r="AB474" i="1" s="1"/>
  <c r="R474" i="1"/>
  <c r="P524" i="1"/>
  <c r="AA524" i="1" s="1"/>
  <c r="N524" i="1"/>
  <c r="R524" i="1" s="1"/>
  <c r="M524" i="1"/>
  <c r="O524" i="1" s="1"/>
  <c r="AB524" i="1" s="1"/>
  <c r="N523" i="1"/>
  <c r="M523" i="1"/>
  <c r="O523" i="1" s="1"/>
  <c r="AB523" i="1" s="1"/>
  <c r="N522" i="1"/>
  <c r="M522" i="1"/>
  <c r="O522" i="1" s="1"/>
  <c r="AB522" i="1" s="1"/>
  <c r="N521" i="1"/>
  <c r="R521" i="1" s="1"/>
  <c r="M521" i="1"/>
  <c r="M520" i="1"/>
  <c r="O520" i="1" s="1"/>
  <c r="AB520" i="1" s="1"/>
  <c r="N520" i="1"/>
  <c r="N519" i="1"/>
  <c r="M519" i="1"/>
  <c r="O519" i="1" s="1"/>
  <c r="AB519" i="1" s="1"/>
  <c r="N518" i="1"/>
  <c r="R518" i="1" s="1"/>
  <c r="M518" i="1"/>
  <c r="N517" i="1"/>
  <c r="R517" i="1" s="1"/>
  <c r="M517" i="1"/>
  <c r="O517" i="1" s="1"/>
  <c r="AB517" i="1" s="1"/>
  <c r="R516" i="1"/>
  <c r="P516" i="1"/>
  <c r="AA516" i="1" s="1"/>
  <c r="M516" i="1"/>
  <c r="O516" i="1" s="1"/>
  <c r="AB516" i="1" s="1"/>
  <c r="P495" i="1"/>
  <c r="AA495" i="1" s="1"/>
  <c r="P515" i="1"/>
  <c r="AA515" i="1" s="1"/>
  <c r="M515" i="1"/>
  <c r="O515" i="1" s="1"/>
  <c r="AB515" i="1" s="1"/>
  <c r="R515" i="1"/>
  <c r="N514" i="1"/>
  <c r="R514" i="1" s="1"/>
  <c r="M514" i="1"/>
  <c r="O514" i="1" s="1"/>
  <c r="AB514" i="1" s="1"/>
  <c r="N513" i="1"/>
  <c r="R513" i="1" s="1"/>
  <c r="M513" i="1"/>
  <c r="O513" i="1" s="1"/>
  <c r="AB513" i="1" s="1"/>
  <c r="N512" i="1"/>
  <c r="R512" i="1" s="1"/>
  <c r="M512" i="1"/>
  <c r="O512" i="1" s="1"/>
  <c r="AB512" i="1" s="1"/>
  <c r="N506" i="1"/>
  <c r="R506" i="1" s="1"/>
  <c r="M506" i="1"/>
  <c r="O506" i="1" s="1"/>
  <c r="AB506" i="1" s="1"/>
  <c r="N511" i="1"/>
  <c r="R511" i="1" s="1"/>
  <c r="M511" i="1"/>
  <c r="O511" i="1" s="1"/>
  <c r="AB511" i="1" s="1"/>
  <c r="N510" i="1"/>
  <c r="R510" i="1" s="1"/>
  <c r="M510" i="1"/>
  <c r="O510" i="1" s="1"/>
  <c r="AB510" i="1" s="1"/>
  <c r="N509" i="1"/>
  <c r="R509" i="1" s="1"/>
  <c r="M509" i="1"/>
  <c r="N508" i="1"/>
  <c r="R508" i="1" s="1"/>
  <c r="M508" i="1"/>
  <c r="O508" i="1" s="1"/>
  <c r="AB508" i="1" s="1"/>
  <c r="N507" i="1"/>
  <c r="R507" i="1" s="1"/>
  <c r="M507" i="1"/>
  <c r="O507" i="1" s="1"/>
  <c r="AB507" i="1" s="1"/>
  <c r="N505" i="1"/>
  <c r="R505" i="1" s="1"/>
  <c r="M505" i="1"/>
  <c r="O505" i="1" s="1"/>
  <c r="AB505" i="1" s="1"/>
  <c r="P504" i="1"/>
  <c r="AA504" i="1" s="1"/>
  <c r="N504" i="1"/>
  <c r="R504" i="1" s="1"/>
  <c r="M504" i="1"/>
  <c r="O504" i="1" s="1"/>
  <c r="AB504" i="1" s="1"/>
  <c r="N503" i="1"/>
  <c r="R503" i="1" s="1"/>
  <c r="M503" i="1"/>
  <c r="O503" i="1" s="1"/>
  <c r="AB503" i="1" s="1"/>
  <c r="N502" i="1"/>
  <c r="R502" i="1" s="1"/>
  <c r="M502" i="1"/>
  <c r="O502" i="1" s="1"/>
  <c r="AB502" i="1" s="1"/>
  <c r="Q496" i="1"/>
  <c r="N501" i="1"/>
  <c r="R501" i="1" s="1"/>
  <c r="M501" i="1"/>
  <c r="O501" i="1" s="1"/>
  <c r="AB501" i="1" s="1"/>
  <c r="M500" i="1"/>
  <c r="O500" i="1" s="1"/>
  <c r="AB500" i="1" s="1"/>
  <c r="N500" i="1"/>
  <c r="R500" i="1" s="1"/>
  <c r="X499" i="1"/>
  <c r="G499" i="1"/>
  <c r="M499" i="1" s="1"/>
  <c r="O499" i="1" s="1"/>
  <c r="M498" i="1"/>
  <c r="O498" i="1" s="1"/>
  <c r="AB498" i="1" s="1"/>
  <c r="N498" i="1"/>
  <c r="R498" i="1" s="1"/>
  <c r="P498" i="1"/>
  <c r="AA498" i="1" s="1"/>
  <c r="M497" i="1"/>
  <c r="O497" i="1" s="1"/>
  <c r="AB497" i="1" s="1"/>
  <c r="N497" i="1"/>
  <c r="R497" i="1" s="1"/>
  <c r="P497" i="1"/>
  <c r="AA497" i="1" s="1"/>
  <c r="M496" i="1"/>
  <c r="O496" i="1" s="1"/>
  <c r="AB496" i="1" s="1"/>
  <c r="N496" i="1"/>
  <c r="P496" i="1"/>
  <c r="AA496" i="1" s="1"/>
  <c r="M495" i="1"/>
  <c r="O495" i="1" s="1"/>
  <c r="AB495" i="1" s="1"/>
  <c r="R495" i="1"/>
  <c r="N494" i="1"/>
  <c r="R494" i="1" s="1"/>
  <c r="M494" i="1"/>
  <c r="O494" i="1" s="1"/>
  <c r="AB494" i="1" s="1"/>
  <c r="N493" i="1"/>
  <c r="M493" i="1"/>
  <c r="O493" i="1" s="1"/>
  <c r="AB493" i="1" s="1"/>
  <c r="N492" i="1"/>
  <c r="M492" i="1"/>
  <c r="O492" i="1" s="1"/>
  <c r="AB492" i="1" s="1"/>
  <c r="N491" i="1"/>
  <c r="M491" i="1"/>
  <c r="O491" i="1" s="1"/>
  <c r="AB491" i="1" s="1"/>
  <c r="N490" i="1"/>
  <c r="M490" i="1"/>
  <c r="O490" i="1" s="1"/>
  <c r="AB490" i="1" s="1"/>
  <c r="N489" i="1"/>
  <c r="R489" i="1" s="1"/>
  <c r="M489" i="1"/>
  <c r="N488" i="1"/>
  <c r="R488" i="1" s="1"/>
  <c r="P488" i="1"/>
  <c r="AA488" i="1" s="1"/>
  <c r="M488" i="1"/>
  <c r="O488" i="1" s="1"/>
  <c r="AB488" i="1" s="1"/>
  <c r="P487" i="1"/>
  <c r="AA487" i="1" s="1"/>
  <c r="N487" i="1"/>
  <c r="R487" i="1" s="1"/>
  <c r="M487" i="1"/>
  <c r="O487" i="1" s="1"/>
  <c r="AB487" i="1" s="1"/>
  <c r="N486" i="1"/>
  <c r="R486" i="1" s="1"/>
  <c r="M486" i="1"/>
  <c r="O486" i="1" s="1"/>
  <c r="AB486" i="1" s="1"/>
  <c r="N485" i="1"/>
  <c r="M485" i="1"/>
  <c r="O485" i="1" s="1"/>
  <c r="AB485" i="1" s="1"/>
  <c r="N480" i="1"/>
  <c r="R480" i="1" s="1"/>
  <c r="M480" i="1"/>
  <c r="M478" i="1"/>
  <c r="O478" i="1" s="1"/>
  <c r="AB478" i="1" s="1"/>
  <c r="N483" i="1"/>
  <c r="R483" i="1" s="1"/>
  <c r="M483" i="1"/>
  <c r="N484" i="1"/>
  <c r="M484" i="1"/>
  <c r="O484" i="1" s="1"/>
  <c r="AB484" i="1" s="1"/>
  <c r="M481" i="1"/>
  <c r="O481" i="1" s="1"/>
  <c r="AB481" i="1" s="1"/>
  <c r="N481" i="1"/>
  <c r="R481" i="1" s="1"/>
  <c r="P481" i="1"/>
  <c r="AA481" i="1" s="1"/>
  <c r="N482" i="1"/>
  <c r="M482" i="1"/>
  <c r="O482" i="1" s="1"/>
  <c r="AB482" i="1" s="1"/>
  <c r="N479" i="1"/>
  <c r="M479" i="1"/>
  <c r="O479" i="1" s="1"/>
  <c r="AB479" i="1" s="1"/>
  <c r="N478" i="1"/>
  <c r="N477" i="1"/>
  <c r="R477" i="1" s="1"/>
  <c r="M477" i="1"/>
  <c r="O477" i="1" s="1"/>
  <c r="AB477" i="1" s="1"/>
  <c r="P476" i="1"/>
  <c r="AA476" i="1" s="1"/>
  <c r="N476" i="1"/>
  <c r="R476" i="1" s="1"/>
  <c r="M476" i="1"/>
  <c r="O476" i="1" s="1"/>
  <c r="AB476" i="1" s="1"/>
  <c r="N475" i="1"/>
  <c r="M475" i="1"/>
  <c r="O475" i="1" s="1"/>
  <c r="AB475" i="1" s="1"/>
  <c r="M473" i="1"/>
  <c r="N473" i="1"/>
  <c r="R473" i="1" s="1"/>
  <c r="N472" i="1"/>
  <c r="R472" i="1" s="1"/>
  <c r="P472" i="1"/>
  <c r="AA472" i="1" s="1"/>
  <c r="M472" i="1"/>
  <c r="O472" i="1" s="1"/>
  <c r="AB472" i="1" s="1"/>
  <c r="N471" i="1"/>
  <c r="R471" i="1" s="1"/>
  <c r="P471" i="1"/>
  <c r="AA471" i="1" s="1"/>
  <c r="M471" i="1"/>
  <c r="O471" i="1" s="1"/>
  <c r="AB471" i="1" s="1"/>
  <c r="N459" i="1"/>
  <c r="M459" i="1"/>
  <c r="O459" i="1" s="1"/>
  <c r="AB459" i="1" s="1"/>
  <c r="N470" i="1"/>
  <c r="R470" i="1" s="1"/>
  <c r="M470" i="1"/>
  <c r="O470" i="1" s="1"/>
  <c r="AB470" i="1" s="1"/>
  <c r="N469" i="1"/>
  <c r="M469" i="1"/>
  <c r="O469" i="1" s="1"/>
  <c r="AB469" i="1" s="1"/>
  <c r="N468" i="1"/>
  <c r="M468" i="1"/>
  <c r="O468" i="1" s="1"/>
  <c r="AB468" i="1" s="1"/>
  <c r="N467" i="1"/>
  <c r="R467" i="1" s="1"/>
  <c r="M467" i="1"/>
  <c r="O467" i="1" s="1"/>
  <c r="AB467" i="1" s="1"/>
  <c r="N466" i="1"/>
  <c r="R466" i="1" s="1"/>
  <c r="M466" i="1"/>
  <c r="N465" i="1"/>
  <c r="R465" i="1" s="1"/>
  <c r="P465" i="1"/>
  <c r="AA465" i="1" s="1"/>
  <c r="M465" i="1"/>
  <c r="O465" i="1" s="1"/>
  <c r="AB465" i="1" s="1"/>
  <c r="N453" i="1"/>
  <c r="N464" i="1"/>
  <c r="R464" i="1" s="1"/>
  <c r="M464" i="1"/>
  <c r="N463" i="1"/>
  <c r="R463" i="1" s="1"/>
  <c r="M463" i="1"/>
  <c r="O463" i="1" s="1"/>
  <c r="AB463" i="1" s="1"/>
  <c r="N462" i="1"/>
  <c r="R462" i="1" s="1"/>
  <c r="P462" i="1"/>
  <c r="AA462" i="1" s="1"/>
  <c r="M462" i="1"/>
  <c r="O462" i="1" s="1"/>
  <c r="AB462" i="1" s="1"/>
  <c r="N461" i="1"/>
  <c r="M461" i="1"/>
  <c r="O461" i="1" s="1"/>
  <c r="AB461" i="1" s="1"/>
  <c r="N460" i="1"/>
  <c r="M460" i="1"/>
  <c r="O460" i="1" s="1"/>
  <c r="AB460" i="1" s="1"/>
  <c r="N458" i="1"/>
  <c r="R458" i="1" s="1"/>
  <c r="M458" i="1"/>
  <c r="O458" i="1" s="1"/>
  <c r="AB458" i="1" s="1"/>
  <c r="M457" i="1"/>
  <c r="N457" i="1"/>
  <c r="R457" i="1" s="1"/>
  <c r="M456" i="1"/>
  <c r="O456" i="1" s="1"/>
  <c r="N456" i="1"/>
  <c r="R456" i="1" s="1"/>
  <c r="Q452" i="1"/>
  <c r="P463" i="1"/>
  <c r="AA463" i="1" s="1"/>
  <c r="N455" i="1"/>
  <c r="M455" i="1"/>
  <c r="O455" i="1" s="1"/>
  <c r="AB455" i="1" s="1"/>
  <c r="N454" i="1"/>
  <c r="R454" i="1" s="1"/>
  <c r="M454" i="1"/>
  <c r="O454" i="1" s="1"/>
  <c r="AB454" i="1" s="1"/>
  <c r="M453" i="1"/>
  <c r="O453" i="1" s="1"/>
  <c r="AB453" i="1" s="1"/>
  <c r="M452" i="1"/>
  <c r="N452" i="1"/>
  <c r="R452" i="1" s="1"/>
  <c r="N451" i="1"/>
  <c r="R451" i="1" s="1"/>
  <c r="M451" i="1"/>
  <c r="M450" i="1"/>
  <c r="O450" i="1" s="1"/>
  <c r="AB450" i="1" s="1"/>
  <c r="N450" i="1"/>
  <c r="N449" i="1"/>
  <c r="R449" i="1" s="1"/>
  <c r="M449" i="1"/>
  <c r="N448" i="1"/>
  <c r="R448" i="1" s="1"/>
  <c r="P448" i="1"/>
  <c r="AA448" i="1" s="1"/>
  <c r="M448" i="1"/>
  <c r="O448" i="1" s="1"/>
  <c r="AB448" i="1" s="1"/>
  <c r="N3" i="1"/>
  <c r="R3" i="1" s="1"/>
  <c r="N4" i="1"/>
  <c r="R4" i="1" s="1"/>
  <c r="N5" i="1"/>
  <c r="R5" i="1" s="1"/>
  <c r="N6" i="1"/>
  <c r="R6" i="1" s="1"/>
  <c r="N7" i="1"/>
  <c r="R7" i="1" s="1"/>
  <c r="N10" i="1"/>
  <c r="R10" i="1" s="1"/>
  <c r="N12" i="1"/>
  <c r="N13" i="1"/>
  <c r="R13" i="1" s="1"/>
  <c r="N15" i="1"/>
  <c r="R15" i="1" s="1"/>
  <c r="N16" i="1"/>
  <c r="R16" i="1" s="1"/>
  <c r="N17" i="1"/>
  <c r="R17" i="1" s="1"/>
  <c r="N18" i="1"/>
  <c r="R18" i="1" s="1"/>
  <c r="N19" i="1"/>
  <c r="R19" i="1" s="1"/>
  <c r="N21" i="1"/>
  <c r="R21" i="1" s="1"/>
  <c r="N22" i="1"/>
  <c r="R22" i="1" s="1"/>
  <c r="N24" i="1"/>
  <c r="R24" i="1" s="1"/>
  <c r="N26" i="1"/>
  <c r="R26" i="1" s="1"/>
  <c r="N28" i="1"/>
  <c r="R28" i="1" s="1"/>
  <c r="N32" i="1"/>
  <c r="N34" i="1"/>
  <c r="R34" i="1" s="1"/>
  <c r="N35" i="1"/>
  <c r="R35" i="1" s="1"/>
  <c r="N39" i="1"/>
  <c r="R39" i="1" s="1"/>
  <c r="N40" i="1"/>
  <c r="R40" i="1" s="1"/>
  <c r="N41" i="1"/>
  <c r="N43" i="1"/>
  <c r="R43" i="1" s="1"/>
  <c r="N44" i="1"/>
  <c r="R44" i="1" s="1"/>
  <c r="N45" i="1"/>
  <c r="R45" i="1" s="1"/>
  <c r="N46" i="1"/>
  <c r="R46" i="1" s="1"/>
  <c r="N49" i="1"/>
  <c r="N50" i="1"/>
  <c r="R50" i="1" s="1"/>
  <c r="N51" i="1"/>
  <c r="R51" i="1" s="1"/>
  <c r="N52" i="1"/>
  <c r="R52" i="1" s="1"/>
  <c r="N55" i="1"/>
  <c r="R55" i="1" s="1"/>
  <c r="N56" i="1"/>
  <c r="N57" i="1"/>
  <c r="R57" i="1" s="1"/>
  <c r="N58" i="1"/>
  <c r="R58" i="1" s="1"/>
  <c r="N59" i="1"/>
  <c r="R59" i="1" s="1"/>
  <c r="N61" i="1"/>
  <c r="R61" i="1" s="1"/>
  <c r="N62" i="1"/>
  <c r="R62" i="1" s="1"/>
  <c r="N63" i="1"/>
  <c r="R63" i="1" s="1"/>
  <c r="N66" i="1"/>
  <c r="R66" i="1" s="1"/>
  <c r="N67" i="1"/>
  <c r="R67" i="1" s="1"/>
  <c r="N68" i="1"/>
  <c r="N70" i="1"/>
  <c r="R70" i="1" s="1"/>
  <c r="N71" i="1"/>
  <c r="R71" i="1" s="1"/>
  <c r="N72" i="1"/>
  <c r="R72" i="1" s="1"/>
  <c r="N73" i="1"/>
  <c r="R73" i="1" s="1"/>
  <c r="N74" i="1"/>
  <c r="R74" i="1" s="1"/>
  <c r="N77" i="1"/>
  <c r="R77" i="1" s="1"/>
  <c r="N78" i="1"/>
  <c r="R78" i="1" s="1"/>
  <c r="N79" i="1"/>
  <c r="R79" i="1" s="1"/>
  <c r="N80" i="1"/>
  <c r="R80" i="1" s="1"/>
  <c r="N81" i="1"/>
  <c r="R81" i="1" s="1"/>
  <c r="N84" i="1"/>
  <c r="R84" i="1" s="1"/>
  <c r="N85" i="1"/>
  <c r="R85" i="1" s="1"/>
  <c r="N86" i="1"/>
  <c r="R86" i="1" s="1"/>
  <c r="N87" i="1"/>
  <c r="R87" i="1" s="1"/>
  <c r="N88" i="1"/>
  <c r="N89" i="1"/>
  <c r="R89" i="1" s="1"/>
  <c r="N90" i="1"/>
  <c r="R90" i="1" s="1"/>
  <c r="N91" i="1"/>
  <c r="R91" i="1" s="1"/>
  <c r="N93" i="1"/>
  <c r="R93" i="1" s="1"/>
  <c r="N94" i="1"/>
  <c r="R94" i="1" s="1"/>
  <c r="N95" i="1"/>
  <c r="R95" i="1" s="1"/>
  <c r="N100" i="1"/>
  <c r="R100" i="1" s="1"/>
  <c r="N101" i="1"/>
  <c r="R101" i="1" s="1"/>
  <c r="N103" i="1"/>
  <c r="N105" i="1"/>
  <c r="R105" i="1" s="1"/>
  <c r="N106" i="1"/>
  <c r="R106" i="1" s="1"/>
  <c r="N107" i="1"/>
  <c r="R107" i="1" s="1"/>
  <c r="N109" i="1"/>
  <c r="R109" i="1" s="1"/>
  <c r="N110" i="1"/>
  <c r="R110" i="1" s="1"/>
  <c r="N117" i="1"/>
  <c r="R117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N126" i="1"/>
  <c r="R126" i="1" s="1"/>
  <c r="N127" i="1"/>
  <c r="R127" i="1" s="1"/>
  <c r="N129" i="1"/>
  <c r="R129" i="1" s="1"/>
  <c r="N130" i="1"/>
  <c r="R130" i="1" s="1"/>
  <c r="N131" i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1" i="1"/>
  <c r="R141" i="1" s="1"/>
  <c r="N142" i="1"/>
  <c r="R142" i="1" s="1"/>
  <c r="N143" i="1"/>
  <c r="R143" i="1" s="1"/>
  <c r="N144" i="1"/>
  <c r="R144" i="1" s="1"/>
  <c r="N146" i="1"/>
  <c r="R146" i="1" s="1"/>
  <c r="N147" i="1"/>
  <c r="R147" i="1" s="1"/>
  <c r="N148" i="1"/>
  <c r="R148" i="1" s="1"/>
  <c r="N149" i="1"/>
  <c r="N151" i="1"/>
  <c r="R151" i="1" s="1"/>
  <c r="N152" i="1"/>
  <c r="R152" i="1" s="1"/>
  <c r="N153" i="1"/>
  <c r="R153" i="1" s="1"/>
  <c r="N154" i="1"/>
  <c r="R154" i="1" s="1"/>
  <c r="N156" i="1"/>
  <c r="R156" i="1" s="1"/>
  <c r="N157" i="1"/>
  <c r="R157" i="1" s="1"/>
  <c r="N158" i="1"/>
  <c r="R158" i="1" s="1"/>
  <c r="N159" i="1"/>
  <c r="R159" i="1" s="1"/>
  <c r="N160" i="1"/>
  <c r="R160" i="1" s="1"/>
  <c r="N162" i="1"/>
  <c r="R162" i="1" s="1"/>
  <c r="N165" i="1"/>
  <c r="R165" i="1" s="1"/>
  <c r="N166" i="1"/>
  <c r="R166" i="1" s="1"/>
  <c r="N167" i="1"/>
  <c r="R167" i="1" s="1"/>
  <c r="N169" i="1"/>
  <c r="R169" i="1" s="1"/>
  <c r="N174" i="1"/>
  <c r="R174" i="1" s="1"/>
  <c r="N175" i="1"/>
  <c r="R175" i="1" s="1"/>
  <c r="N176" i="1"/>
  <c r="R176" i="1" s="1"/>
  <c r="N177" i="1"/>
  <c r="N178" i="1"/>
  <c r="R178" i="1" s="1"/>
  <c r="N179" i="1"/>
  <c r="N180" i="1"/>
  <c r="R180" i="1" s="1"/>
  <c r="N181" i="1"/>
  <c r="R181" i="1" s="1"/>
  <c r="N183" i="1"/>
  <c r="R183" i="1" s="1"/>
  <c r="N184" i="1"/>
  <c r="R184" i="1" s="1"/>
  <c r="N187" i="1"/>
  <c r="N189" i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N204" i="1"/>
  <c r="R204" i="1" s="1"/>
  <c r="N206" i="1"/>
  <c r="R206" i="1" s="1"/>
  <c r="N208" i="1"/>
  <c r="R208" i="1" s="1"/>
  <c r="N210" i="1"/>
  <c r="R210" i="1" s="1"/>
  <c r="N211" i="1"/>
  <c r="R211" i="1" s="1"/>
  <c r="N212" i="1"/>
  <c r="R212" i="1" s="1"/>
  <c r="N213" i="1"/>
  <c r="N214" i="1"/>
  <c r="R214" i="1" s="1"/>
  <c r="N215" i="1"/>
  <c r="R215" i="1" s="1"/>
  <c r="N217" i="1"/>
  <c r="R217" i="1" s="1"/>
  <c r="N218" i="1"/>
  <c r="R218" i="1" s="1"/>
  <c r="N219" i="1"/>
  <c r="R219" i="1" s="1"/>
  <c r="N221" i="1"/>
  <c r="R221" i="1" s="1"/>
  <c r="N222" i="1"/>
  <c r="R222" i="1" s="1"/>
  <c r="N223" i="1"/>
  <c r="R223" i="1" s="1"/>
  <c r="N224" i="1"/>
  <c r="R224" i="1" s="1"/>
  <c r="N225" i="1"/>
  <c r="R225" i="1" s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N234" i="1"/>
  <c r="R234" i="1" s="1"/>
  <c r="N235" i="1"/>
  <c r="N236" i="1"/>
  <c r="R236" i="1" s="1"/>
  <c r="N238" i="1"/>
  <c r="R238" i="1" s="1"/>
  <c r="N239" i="1"/>
  <c r="R239" i="1" s="1"/>
  <c r="N241" i="1"/>
  <c r="R241" i="1" s="1"/>
  <c r="N242" i="1"/>
  <c r="R242" i="1" s="1"/>
  <c r="N243" i="1"/>
  <c r="R243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9" i="1"/>
  <c r="R259" i="1" s="1"/>
  <c r="N260" i="1"/>
  <c r="R260" i="1" s="1"/>
  <c r="N261" i="1"/>
  <c r="R261" i="1" s="1"/>
  <c r="N262" i="1"/>
  <c r="R262" i="1" s="1"/>
  <c r="N263" i="1"/>
  <c r="R263" i="1" s="1"/>
  <c r="N264" i="1"/>
  <c r="R264" i="1" s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N272" i="1"/>
  <c r="R272" i="1" s="1"/>
  <c r="N273" i="1"/>
  <c r="R273" i="1" s="1"/>
  <c r="N275" i="1"/>
  <c r="R275" i="1" s="1"/>
  <c r="N276" i="1"/>
  <c r="R276" i="1" s="1"/>
  <c r="N277" i="1"/>
  <c r="R277" i="1" s="1"/>
  <c r="N278" i="1"/>
  <c r="N279" i="1"/>
  <c r="R279" i="1" s="1"/>
  <c r="N280" i="1"/>
  <c r="R280" i="1" s="1"/>
  <c r="N281" i="1"/>
  <c r="N282" i="1"/>
  <c r="R282" i="1" s="1"/>
  <c r="N285" i="1"/>
  <c r="R285" i="1" s="1"/>
  <c r="N286" i="1"/>
  <c r="R286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N298" i="1"/>
  <c r="R298" i="1" s="1"/>
  <c r="N299" i="1"/>
  <c r="R299" i="1" s="1"/>
  <c r="N301" i="1"/>
  <c r="R301" i="1" s="1"/>
  <c r="N302" i="1"/>
  <c r="R302" i="1" s="1"/>
  <c r="N304" i="1"/>
  <c r="R304" i="1" s="1"/>
  <c r="N307" i="1"/>
  <c r="R307" i="1" s="1"/>
  <c r="N308" i="1"/>
  <c r="R308" i="1" s="1"/>
  <c r="N313" i="1"/>
  <c r="R313" i="1" s="1"/>
  <c r="N315" i="1"/>
  <c r="R315" i="1" s="1"/>
  <c r="N316" i="1"/>
  <c r="N317" i="1"/>
  <c r="R317" i="1" s="1"/>
  <c r="N318" i="1"/>
  <c r="R318" i="1" s="1"/>
  <c r="N321" i="1"/>
  <c r="N322" i="1"/>
  <c r="R322" i="1" s="1"/>
  <c r="N327" i="1"/>
  <c r="R327" i="1" s="1"/>
  <c r="N328" i="1"/>
  <c r="R328" i="1" s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R339" i="1" s="1"/>
  <c r="N340" i="1"/>
  <c r="N341" i="1"/>
  <c r="R341" i="1" s="1"/>
  <c r="N343" i="1"/>
  <c r="R343" i="1" s="1"/>
  <c r="N344" i="1"/>
  <c r="R344" i="1" s="1"/>
  <c r="N345" i="1"/>
  <c r="R345" i="1" s="1"/>
  <c r="N346" i="1"/>
  <c r="R346" i="1" s="1"/>
  <c r="N347" i="1"/>
  <c r="R347" i="1" s="1"/>
  <c r="N348" i="1"/>
  <c r="R348" i="1" s="1"/>
  <c r="N349" i="1"/>
  <c r="R349" i="1" s="1"/>
  <c r="N350" i="1"/>
  <c r="R350" i="1" s="1"/>
  <c r="N351" i="1"/>
  <c r="R351" i="1" s="1"/>
  <c r="N352" i="1"/>
  <c r="R352" i="1" s="1"/>
  <c r="N354" i="1"/>
  <c r="R354" i="1" s="1"/>
  <c r="N355" i="1"/>
  <c r="R355" i="1" s="1"/>
  <c r="N356" i="1"/>
  <c r="R356" i="1" s="1"/>
  <c r="N358" i="1"/>
  <c r="R358" i="1" s="1"/>
  <c r="N359" i="1"/>
  <c r="N360" i="1"/>
  <c r="R360" i="1" s="1"/>
  <c r="N362" i="1"/>
  <c r="R362" i="1" s="1"/>
  <c r="N363" i="1"/>
  <c r="R363" i="1" s="1"/>
  <c r="N364" i="1"/>
  <c r="R364" i="1" s="1"/>
  <c r="N365" i="1"/>
  <c r="R365" i="1" s="1"/>
  <c r="N366" i="1"/>
  <c r="R366" i="1" s="1"/>
  <c r="N367" i="1"/>
  <c r="R367" i="1" s="1"/>
  <c r="N368" i="1"/>
  <c r="R368" i="1" s="1"/>
  <c r="N369" i="1"/>
  <c r="R369" i="1" s="1"/>
  <c r="N370" i="1"/>
  <c r="R370" i="1" s="1"/>
  <c r="N371" i="1"/>
  <c r="R371" i="1" s="1"/>
  <c r="N372" i="1"/>
  <c r="R372" i="1" s="1"/>
  <c r="N373" i="1"/>
  <c r="R373" i="1" s="1"/>
  <c r="N374" i="1"/>
  <c r="R374" i="1" s="1"/>
  <c r="N375" i="1"/>
  <c r="R375" i="1" s="1"/>
  <c r="N376" i="1"/>
  <c r="N377" i="1"/>
  <c r="N378" i="1"/>
  <c r="R378" i="1" s="1"/>
  <c r="N379" i="1"/>
  <c r="R379" i="1" s="1"/>
  <c r="N380" i="1"/>
  <c r="N383" i="1"/>
  <c r="R383" i="1" s="1"/>
  <c r="N386" i="1"/>
  <c r="R386" i="1" s="1"/>
  <c r="N387" i="1"/>
  <c r="R387" i="1" s="1"/>
  <c r="N388" i="1"/>
  <c r="R388" i="1" s="1"/>
  <c r="N389" i="1"/>
  <c r="R389" i="1" s="1"/>
  <c r="N390" i="1"/>
  <c r="R390" i="1" s="1"/>
  <c r="N391" i="1"/>
  <c r="R391" i="1" s="1"/>
  <c r="N392" i="1"/>
  <c r="R392" i="1" s="1"/>
  <c r="N397" i="1"/>
  <c r="R397" i="1" s="1"/>
  <c r="N398" i="1"/>
  <c r="R398" i="1" s="1"/>
  <c r="N401" i="1"/>
  <c r="R401" i="1" s="1"/>
  <c r="N404" i="1"/>
  <c r="R404" i="1" s="1"/>
  <c r="N405" i="1"/>
  <c r="N407" i="1"/>
  <c r="R407" i="1" s="1"/>
  <c r="N409" i="1"/>
  <c r="R409" i="1" s="1"/>
  <c r="N410" i="1"/>
  <c r="R410" i="1" s="1"/>
  <c r="N411" i="1"/>
  <c r="R411" i="1" s="1"/>
  <c r="N413" i="1"/>
  <c r="R413" i="1" s="1"/>
  <c r="N414" i="1"/>
  <c r="R414" i="1" s="1"/>
  <c r="N415" i="1"/>
  <c r="R415" i="1" s="1"/>
  <c r="N416" i="1"/>
  <c r="N418" i="1"/>
  <c r="R418" i="1" s="1"/>
  <c r="N419" i="1"/>
  <c r="R419" i="1" s="1"/>
  <c r="N420" i="1"/>
  <c r="R420" i="1" s="1"/>
  <c r="N421" i="1"/>
  <c r="R421" i="1" s="1"/>
  <c r="N422" i="1"/>
  <c r="R422" i="1" s="1"/>
  <c r="N423" i="1"/>
  <c r="R423" i="1" s="1"/>
  <c r="N424" i="1"/>
  <c r="N425" i="1"/>
  <c r="N426" i="1"/>
  <c r="R426" i="1" s="1"/>
  <c r="N428" i="1"/>
  <c r="R428" i="1" s="1"/>
  <c r="N430" i="1"/>
  <c r="R430" i="1" s="1"/>
  <c r="N431" i="1"/>
  <c r="R431" i="1" s="1"/>
  <c r="N432" i="1"/>
  <c r="N433" i="1"/>
  <c r="R433" i="1" s="1"/>
  <c r="N434" i="1"/>
  <c r="R434" i="1" s="1"/>
  <c r="N435" i="1"/>
  <c r="R435" i="1" s="1"/>
  <c r="N436" i="1"/>
  <c r="R436" i="1" s="1"/>
  <c r="N437" i="1"/>
  <c r="R437" i="1" s="1"/>
  <c r="N439" i="1"/>
  <c r="N440" i="1"/>
  <c r="R440" i="1" s="1"/>
  <c r="N441" i="1"/>
  <c r="R441" i="1" s="1"/>
  <c r="N442" i="1"/>
  <c r="R442" i="1" s="1"/>
  <c r="N443" i="1"/>
  <c r="N445" i="1"/>
  <c r="R445" i="1" s="1"/>
  <c r="N446" i="1"/>
  <c r="R446" i="1" s="1"/>
  <c r="N447" i="1"/>
  <c r="M447" i="1"/>
  <c r="O447" i="1" s="1"/>
  <c r="AB447" i="1" s="1"/>
  <c r="M446" i="1"/>
  <c r="M445" i="1"/>
  <c r="O445" i="1" s="1"/>
  <c r="AB445" i="1" s="1"/>
  <c r="M444" i="1"/>
  <c r="R444" i="1"/>
  <c r="M443" i="1"/>
  <c r="O443" i="1" s="1"/>
  <c r="AB443" i="1" s="1"/>
  <c r="M438" i="1"/>
  <c r="O438" i="1" s="1"/>
  <c r="AB438" i="1" s="1"/>
  <c r="P438" i="1"/>
  <c r="AA438" i="1" s="1"/>
  <c r="M442" i="1"/>
  <c r="O442" i="1" s="1"/>
  <c r="AB442" i="1" s="1"/>
  <c r="M441" i="1"/>
  <c r="M440" i="1"/>
  <c r="O440" i="1" s="1"/>
  <c r="AB440" i="1" s="1"/>
  <c r="G216" i="1"/>
  <c r="Y312" i="1"/>
  <c r="Y382" i="1"/>
  <c r="Y323" i="1"/>
  <c r="M439" i="1"/>
  <c r="O439" i="1" s="1"/>
  <c r="AB439" i="1" s="1"/>
  <c r="R438" i="1"/>
  <c r="Q432" i="1"/>
  <c r="G408" i="1"/>
  <c r="N408" i="1" s="1"/>
  <c r="R408" i="1" s="1"/>
  <c r="M437" i="1"/>
  <c r="O437" i="1" s="1"/>
  <c r="AB437" i="1" s="1"/>
  <c r="P437" i="1"/>
  <c r="AA437" i="1" s="1"/>
  <c r="M436" i="1"/>
  <c r="O436" i="1" s="1"/>
  <c r="AB436" i="1" s="1"/>
  <c r="M435" i="1"/>
  <c r="O435" i="1" s="1"/>
  <c r="AB435" i="1" s="1"/>
  <c r="M405" i="1"/>
  <c r="O405" i="1" s="1"/>
  <c r="AB405" i="1" s="1"/>
  <c r="M434" i="1"/>
  <c r="O434" i="1" s="1"/>
  <c r="AB434" i="1" s="1"/>
  <c r="M433" i="1"/>
  <c r="O433" i="1" s="1"/>
  <c r="AB433" i="1" s="1"/>
  <c r="M432" i="1"/>
  <c r="O432" i="1" s="1"/>
  <c r="AB432" i="1" s="1"/>
  <c r="M431" i="1"/>
  <c r="M430" i="1"/>
  <c r="O430" i="1" s="1"/>
  <c r="AB430" i="1" s="1"/>
  <c r="P435" i="1"/>
  <c r="AA435" i="1" s="1"/>
  <c r="P434" i="1"/>
  <c r="AA434" i="1" s="1"/>
  <c r="P433" i="1"/>
  <c r="AA433" i="1" s="1"/>
  <c r="P430" i="1"/>
  <c r="AA430" i="1" s="1"/>
  <c r="M428" i="1"/>
  <c r="O428" i="1" s="1"/>
  <c r="AB428" i="1" s="1"/>
  <c r="M425" i="1"/>
  <c r="O425" i="1" s="1"/>
  <c r="AB425" i="1" s="1"/>
  <c r="M424" i="1"/>
  <c r="O424" i="1" s="1"/>
  <c r="AB424" i="1" s="1"/>
  <c r="M423" i="1"/>
  <c r="O423" i="1" s="1"/>
  <c r="AB423" i="1" s="1"/>
  <c r="M418" i="1"/>
  <c r="M417" i="1"/>
  <c r="M426" i="1"/>
  <c r="M429" i="1"/>
  <c r="O429" i="1" s="1"/>
  <c r="AB429" i="1" s="1"/>
  <c r="R429" i="1"/>
  <c r="P428" i="1"/>
  <c r="AA428" i="1" s="1"/>
  <c r="G427" i="1"/>
  <c r="Q357" i="1"/>
  <c r="M422" i="1"/>
  <c r="O422" i="1" s="1"/>
  <c r="AB422" i="1" s="1"/>
  <c r="P422" i="1"/>
  <c r="AA422" i="1" s="1"/>
  <c r="M421" i="1"/>
  <c r="O421" i="1" s="1"/>
  <c r="AB421" i="1" s="1"/>
  <c r="M420" i="1"/>
  <c r="O420" i="1" s="1"/>
  <c r="AB420" i="1" s="1"/>
  <c r="M419" i="1"/>
  <c r="O419" i="1" s="1"/>
  <c r="AB419" i="1"/>
  <c r="R417" i="1"/>
  <c r="M416" i="1"/>
  <c r="O416" i="1" s="1"/>
  <c r="AB416" i="1" s="1"/>
  <c r="M415" i="1"/>
  <c r="O415" i="1" s="1"/>
  <c r="AB415" i="1" s="1"/>
  <c r="P421" i="1"/>
  <c r="AA421" i="1" s="1"/>
  <c r="P420" i="1"/>
  <c r="AA420" i="1" s="1"/>
  <c r="M414" i="1"/>
  <c r="O414" i="1" s="1"/>
  <c r="AB414" i="1" s="1"/>
  <c r="M413" i="1"/>
  <c r="G412" i="1"/>
  <c r="M412" i="1" s="1"/>
  <c r="O412" i="1" s="1"/>
  <c r="AB412" i="1" s="1"/>
  <c r="M411" i="1"/>
  <c r="O411" i="1" s="1"/>
  <c r="AB411" i="1" s="1"/>
  <c r="P411" i="1"/>
  <c r="AA411" i="1" s="1"/>
  <c r="M410" i="1"/>
  <c r="M409" i="1"/>
  <c r="M407" i="1"/>
  <c r="O407" i="1" s="1"/>
  <c r="AB407" i="1" s="1"/>
  <c r="F406" i="1"/>
  <c r="G406" i="1" s="1"/>
  <c r="M406" i="1" s="1"/>
  <c r="O406" i="1" s="1"/>
  <c r="AB406" i="1" s="1"/>
  <c r="M404" i="1"/>
  <c r="O404" i="1" s="1"/>
  <c r="AB404" i="1" s="1"/>
  <c r="G403" i="1"/>
  <c r="M403" i="1" s="1"/>
  <c r="O403" i="1" s="1"/>
  <c r="AB403" i="1" s="1"/>
  <c r="G402" i="1"/>
  <c r="M402" i="1" s="1"/>
  <c r="O402" i="1" s="1"/>
  <c r="AB402" i="1" s="1"/>
  <c r="M401" i="1"/>
  <c r="O401" i="1" s="1"/>
  <c r="AB401" i="1" s="1"/>
  <c r="G400" i="1"/>
  <c r="M400" i="1" s="1"/>
  <c r="O400" i="1" s="1"/>
  <c r="AB400" i="1" s="1"/>
  <c r="O399" i="1"/>
  <c r="AB399" i="1" s="1"/>
  <c r="R399" i="1"/>
  <c r="M398" i="1"/>
  <c r="O398" i="1" s="1"/>
  <c r="AB398" i="1" s="1"/>
  <c r="P398" i="1"/>
  <c r="AA398" i="1" s="1"/>
  <c r="M397" i="1"/>
  <c r="O397" i="1" s="1"/>
  <c r="AB397" i="1" s="1"/>
  <c r="M396" i="1"/>
  <c r="P396" i="1" s="1"/>
  <c r="AA396" i="1" s="1"/>
  <c r="R396" i="1"/>
  <c r="M395" i="1"/>
  <c r="O395" i="1" s="1"/>
  <c r="AB395" i="1" s="1"/>
  <c r="P395" i="1"/>
  <c r="AA395" i="1" s="1"/>
  <c r="R395" i="1"/>
  <c r="R394" i="1"/>
  <c r="O394" i="1"/>
  <c r="AB394" i="1" s="1"/>
  <c r="AA71" i="1"/>
  <c r="AA83" i="1"/>
  <c r="AA85" i="1"/>
  <c r="R393" i="1"/>
  <c r="O393" i="1"/>
  <c r="AB393" i="1" s="1"/>
  <c r="M392" i="1"/>
  <c r="O392" i="1" s="1"/>
  <c r="AB392" i="1" s="1"/>
  <c r="M391" i="1"/>
  <c r="M390" i="1"/>
  <c r="O390" i="1" s="1"/>
  <c r="AB390" i="1" s="1"/>
  <c r="M389" i="1"/>
  <c r="O389" i="1" s="1"/>
  <c r="AB389" i="1" s="1"/>
  <c r="M388" i="1"/>
  <c r="O388" i="1" s="1"/>
  <c r="AB388" i="1" s="1"/>
  <c r="P388" i="1"/>
  <c r="AA388" i="1" s="1"/>
  <c r="R403" i="1"/>
  <c r="P399" i="1"/>
  <c r="AA399" i="1" s="1"/>
  <c r="P394" i="1"/>
  <c r="AA394" i="1" s="1"/>
  <c r="P393" i="1"/>
  <c r="AA393" i="1" s="1"/>
  <c r="P389" i="1"/>
  <c r="AA389" i="1" s="1"/>
  <c r="M387" i="1"/>
  <c r="O387" i="1" s="1"/>
  <c r="AB387" i="1" s="1"/>
  <c r="P387" i="1"/>
  <c r="AA387" i="1" s="1"/>
  <c r="M386" i="1"/>
  <c r="O386" i="1" s="1"/>
  <c r="AB386" i="1" s="1"/>
  <c r="P386" i="1"/>
  <c r="AA386" i="1" s="1"/>
  <c r="M385" i="1"/>
  <c r="R385" i="1"/>
  <c r="M384" i="1"/>
  <c r="O384" i="1" s="1"/>
  <c r="AB384" i="1" s="1"/>
  <c r="R384" i="1"/>
  <c r="P384" i="1"/>
  <c r="AA384" i="1" s="1"/>
  <c r="M383" i="1"/>
  <c r="O383" i="1" s="1"/>
  <c r="AB383" i="1" s="1"/>
  <c r="G382" i="1"/>
  <c r="M382" i="1" s="1"/>
  <c r="O382" i="1" s="1"/>
  <c r="F376" i="1"/>
  <c r="G357" i="1"/>
  <c r="N357" i="1" s="1"/>
  <c r="G381" i="1"/>
  <c r="M381" i="1" s="1"/>
  <c r="O381" i="1" s="1"/>
  <c r="AB381" i="1" s="1"/>
  <c r="Q376" i="1"/>
  <c r="Q380" i="1"/>
  <c r="Q377" i="1"/>
  <c r="F380" i="1"/>
  <c r="M380" i="1"/>
  <c r="O380" i="1" s="1"/>
  <c r="AB380" i="1" s="1"/>
  <c r="M379" i="1"/>
  <c r="O379" i="1" s="1"/>
  <c r="AB379" i="1" s="1"/>
  <c r="M378" i="1"/>
  <c r="O378" i="1" s="1"/>
  <c r="AB378" i="1" s="1"/>
  <c r="M377" i="1"/>
  <c r="O377" i="1" s="1"/>
  <c r="AB377" i="1" s="1"/>
  <c r="P377" i="1"/>
  <c r="AA377" i="1" s="1"/>
  <c r="M376" i="1"/>
  <c r="O376" i="1" s="1"/>
  <c r="AB376" i="1" s="1"/>
  <c r="M375" i="1"/>
  <c r="O375" i="1" s="1"/>
  <c r="AB375" i="1" s="1"/>
  <c r="P375" i="1"/>
  <c r="AA375" i="1" s="1"/>
  <c r="M374" i="1"/>
  <c r="O374" i="1" s="1"/>
  <c r="AB374" i="1" s="1"/>
  <c r="P374" i="1"/>
  <c r="AA374" i="1" s="1"/>
  <c r="M373" i="1"/>
  <c r="M372" i="1"/>
  <c r="O372" i="1" s="1"/>
  <c r="AB372" i="1" s="1"/>
  <c r="P372" i="1"/>
  <c r="AA372" i="1" s="1"/>
  <c r="M371" i="1"/>
  <c r="O371" i="1" s="1"/>
  <c r="AB371" i="1" s="1"/>
  <c r="P371" i="1"/>
  <c r="AA371" i="1" s="1"/>
  <c r="M370" i="1"/>
  <c r="O370" i="1" s="1"/>
  <c r="AB370" i="1" s="1"/>
  <c r="M369" i="1"/>
  <c r="O369" i="1" s="1"/>
  <c r="AB369" i="1" s="1"/>
  <c r="M368" i="1"/>
  <c r="O368" i="1" s="1"/>
  <c r="AB368" i="1" s="1"/>
  <c r="M367" i="1"/>
  <c r="O367" i="1" s="1"/>
  <c r="AB367" i="1" s="1"/>
  <c r="M366" i="1"/>
  <c r="O366" i="1" s="1"/>
  <c r="AB366" i="1" s="1"/>
  <c r="M365" i="1"/>
  <c r="O365" i="1" s="1"/>
  <c r="AB365" i="1" s="1"/>
  <c r="P365" i="1"/>
  <c r="AA365" i="1" s="1"/>
  <c r="M364" i="1"/>
  <c r="O364" i="1" s="1"/>
  <c r="AB364" i="1" s="1"/>
  <c r="P364" i="1"/>
  <c r="AA364" i="1" s="1"/>
  <c r="M363" i="1"/>
  <c r="O363" i="1" s="1"/>
  <c r="AB363" i="1" s="1"/>
  <c r="M362" i="1"/>
  <c r="P370" i="1"/>
  <c r="AA370" i="1" s="1"/>
  <c r="P369" i="1"/>
  <c r="AA369" i="1" s="1"/>
  <c r="G361" i="1"/>
  <c r="M360" i="1"/>
  <c r="O360" i="1" s="1"/>
  <c r="AB360" i="1" s="1"/>
  <c r="M359" i="1"/>
  <c r="O359" i="1" s="1"/>
  <c r="AB359" i="1" s="1"/>
  <c r="M358" i="1"/>
  <c r="M356" i="1"/>
  <c r="F355" i="1"/>
  <c r="M355" i="1"/>
  <c r="O355" i="1" s="1"/>
  <c r="AB355" i="1" s="1"/>
  <c r="M354" i="1"/>
  <c r="O354" i="1" s="1"/>
  <c r="AB354" i="1" s="1"/>
  <c r="G353" i="1"/>
  <c r="M353" i="1" s="1"/>
  <c r="M352" i="1"/>
  <c r="M351" i="1"/>
  <c r="M350" i="1"/>
  <c r="O350" i="1" s="1"/>
  <c r="AB350" i="1" s="1"/>
  <c r="M349" i="1"/>
  <c r="M348" i="1"/>
  <c r="M347" i="1"/>
  <c r="O347" i="1" s="1"/>
  <c r="AB347" i="1" s="1"/>
  <c r="M346" i="1"/>
  <c r="G314" i="1"/>
  <c r="N314" i="1" s="1"/>
  <c r="O311" i="1"/>
  <c r="AB311" i="1" s="1"/>
  <c r="G311" i="1"/>
  <c r="F311" i="1" s="1"/>
  <c r="M345" i="1"/>
  <c r="O345" i="1" s="1"/>
  <c r="AB345" i="1" s="1"/>
  <c r="M344" i="1"/>
  <c r="M343" i="1"/>
  <c r="G342" i="1"/>
  <c r="N342" i="1" s="1"/>
  <c r="M318" i="1"/>
  <c r="O318" i="1" s="1"/>
  <c r="AB318" i="1" s="1"/>
  <c r="M341" i="1"/>
  <c r="O341" i="1" s="1"/>
  <c r="AB341" i="1" s="1"/>
  <c r="P341" i="1"/>
  <c r="AA341" i="1" s="1"/>
  <c r="M340" i="1"/>
  <c r="O340" i="1" s="1"/>
  <c r="AB340" i="1" s="1"/>
  <c r="M339" i="1"/>
  <c r="M338" i="1"/>
  <c r="O338" i="1" s="1"/>
  <c r="AB338" i="1" s="1"/>
  <c r="P338" i="1"/>
  <c r="AA338" i="1" s="1"/>
  <c r="M337" i="1"/>
  <c r="O337" i="1" s="1"/>
  <c r="AB337" i="1" s="1"/>
  <c r="P337" i="1"/>
  <c r="AA337" i="1" s="1"/>
  <c r="M336" i="1"/>
  <c r="O336" i="1" s="1"/>
  <c r="AB336" i="1" s="1"/>
  <c r="M335" i="1"/>
  <c r="O335" i="1" s="1"/>
  <c r="AB335" i="1" s="1"/>
  <c r="M334" i="1"/>
  <c r="O334" i="1" s="1"/>
  <c r="AB334" i="1" s="1"/>
  <c r="F333" i="1"/>
  <c r="M333" i="1"/>
  <c r="O333" i="1" s="1"/>
  <c r="AB333" i="1" s="1"/>
  <c r="M332" i="1"/>
  <c r="O332" i="1" s="1"/>
  <c r="AB332" i="1" s="1"/>
  <c r="M331" i="1"/>
  <c r="O331" i="1" s="1"/>
  <c r="AB331" i="1" s="1"/>
  <c r="P332" i="1"/>
  <c r="AA332" i="1" s="1"/>
  <c r="G330" i="1"/>
  <c r="N330" i="1" s="1"/>
  <c r="G329" i="1"/>
  <c r="N329" i="1" s="1"/>
  <c r="R329" i="1" s="1"/>
  <c r="F328" i="1"/>
  <c r="M328" i="1"/>
  <c r="O328" i="1" s="1"/>
  <c r="AB328" i="1" s="1"/>
  <c r="M327" i="1"/>
  <c r="G326" i="1"/>
  <c r="P329" i="1"/>
  <c r="AA329" i="1" s="1"/>
  <c r="F320" i="1"/>
  <c r="F319" i="1"/>
  <c r="P325" i="1"/>
  <c r="AA325" i="1" s="1"/>
  <c r="G323" i="1"/>
  <c r="N323" i="1" s="1"/>
  <c r="M322" i="1"/>
  <c r="O322" i="1" s="1"/>
  <c r="AB322" i="1" s="1"/>
  <c r="P322" i="1"/>
  <c r="AA322" i="1" s="1"/>
  <c r="Q281" i="1"/>
  <c r="M321" i="1"/>
  <c r="O321" i="1" s="1"/>
  <c r="AB321" i="1" s="1"/>
  <c r="M320" i="1"/>
  <c r="O320" i="1" s="1"/>
  <c r="AB320" i="1" s="1"/>
  <c r="R320" i="1"/>
  <c r="M319" i="1"/>
  <c r="R319" i="1"/>
  <c r="M317" i="1"/>
  <c r="O317" i="1" s="1"/>
  <c r="AB317" i="1" s="1"/>
  <c r="M316" i="1"/>
  <c r="O316" i="1" s="1"/>
  <c r="AB316" i="1" s="1"/>
  <c r="M315" i="1"/>
  <c r="O315" i="1" s="1"/>
  <c r="AB315" i="1" s="1"/>
  <c r="AB314" i="1"/>
  <c r="M313" i="1"/>
  <c r="O313" i="1" s="1"/>
  <c r="AB313" i="1" s="1"/>
  <c r="P313" i="1"/>
  <c r="AA313" i="1" s="1"/>
  <c r="G306" i="1"/>
  <c r="M306" i="1" s="1"/>
  <c r="G310" i="1"/>
  <c r="N310" i="1" s="1"/>
  <c r="G309" i="1"/>
  <c r="R306" i="1"/>
  <c r="G237" i="1"/>
  <c r="N237" i="1" s="1"/>
  <c r="G97" i="1"/>
  <c r="N97" i="1" s="1"/>
  <c r="R97" i="1" s="1"/>
  <c r="G140" i="1"/>
  <c r="N140" i="1" s="1"/>
  <c r="R140" i="1" s="1"/>
  <c r="M308" i="1"/>
  <c r="M307" i="1"/>
  <c r="O307" i="1" s="1"/>
  <c r="AB307" i="1" s="1"/>
  <c r="P307" i="1"/>
  <c r="AA307" i="1" s="1"/>
  <c r="G305" i="1"/>
  <c r="N305" i="1" s="1"/>
  <c r="R305" i="1" s="1"/>
  <c r="M304" i="1"/>
  <c r="O304" i="1" s="1"/>
  <c r="AB304" i="1" s="1"/>
  <c r="G303" i="1"/>
  <c r="M302" i="1"/>
  <c r="M301" i="1"/>
  <c r="G300" i="1"/>
  <c r="M300" i="1" s="1"/>
  <c r="O300" i="1" s="1"/>
  <c r="AB300" i="1" s="1"/>
  <c r="F299" i="1"/>
  <c r="M299" i="1"/>
  <c r="O299" i="1" s="1"/>
  <c r="AB299" i="1" s="1"/>
  <c r="M298" i="1"/>
  <c r="O298" i="1" s="1"/>
  <c r="AB298" i="1" s="1"/>
  <c r="P298" i="1"/>
  <c r="AA298" i="1" s="1"/>
  <c r="M297" i="1"/>
  <c r="O297" i="1" s="1"/>
  <c r="AB297" i="1" s="1"/>
  <c r="M296" i="1"/>
  <c r="O296" i="1" s="1"/>
  <c r="AB296" i="1" s="1"/>
  <c r="P296" i="1"/>
  <c r="AA296" i="1" s="1"/>
  <c r="M295" i="1"/>
  <c r="O295" i="1" s="1"/>
  <c r="AB295" i="1" s="1"/>
  <c r="P295" i="1"/>
  <c r="AA295" i="1" s="1"/>
  <c r="M294" i="1"/>
  <c r="M293" i="1"/>
  <c r="O293" i="1" s="1"/>
  <c r="AB293" i="1" s="1"/>
  <c r="M292" i="1"/>
  <c r="O292" i="1" s="1"/>
  <c r="AB292" i="1" s="1"/>
  <c r="M291" i="1"/>
  <c r="O291" i="1" s="1"/>
  <c r="AB291" i="1" s="1"/>
  <c r="M290" i="1"/>
  <c r="M289" i="1"/>
  <c r="O289" i="1" s="1"/>
  <c r="AB289" i="1" s="1"/>
  <c r="M288" i="1"/>
  <c r="O288" i="1" s="1"/>
  <c r="AB288" i="1" s="1"/>
  <c r="P288" i="1"/>
  <c r="AA288" i="1" s="1"/>
  <c r="M287" i="1"/>
  <c r="R287" i="1"/>
  <c r="M286" i="1"/>
  <c r="M285" i="1"/>
  <c r="M284" i="1"/>
  <c r="O284" i="1" s="1"/>
  <c r="AB284" i="1" s="1"/>
  <c r="R284" i="1"/>
  <c r="M283" i="1"/>
  <c r="O283" i="1" s="1"/>
  <c r="AB283" i="1" s="1"/>
  <c r="M282" i="1"/>
  <c r="R283" i="1"/>
  <c r="M281" i="1"/>
  <c r="M280" i="1"/>
  <c r="O280" i="1" s="1"/>
  <c r="AB280" i="1" s="1"/>
  <c r="M279" i="1"/>
  <c r="G53" i="1"/>
  <c r="M53" i="1" s="1"/>
  <c r="O53" i="1" s="1"/>
  <c r="AB53" i="1" s="1"/>
  <c r="M278" i="1"/>
  <c r="O278" i="1" s="1"/>
  <c r="AB278" i="1" s="1"/>
  <c r="M277" i="1"/>
  <c r="O277" i="1" s="1"/>
  <c r="AB277" i="1" s="1"/>
  <c r="M276" i="1"/>
  <c r="M275" i="1"/>
  <c r="O275" i="1" s="1"/>
  <c r="AB275" i="1" s="1"/>
  <c r="G274" i="1"/>
  <c r="N274" i="1" s="1"/>
  <c r="R274" i="1" s="1"/>
  <c r="M273" i="1"/>
  <c r="M272" i="1"/>
  <c r="O272" i="1" s="1"/>
  <c r="AB272" i="1" s="1"/>
  <c r="P272" i="1"/>
  <c r="AA272" i="1" s="1"/>
  <c r="M271" i="1"/>
  <c r="O271" i="1" s="1"/>
  <c r="AB271" i="1" s="1"/>
  <c r="M270" i="1"/>
  <c r="O270" i="1" s="1"/>
  <c r="AB270" i="1" s="1"/>
  <c r="M269" i="1"/>
  <c r="O269" i="1" s="1"/>
  <c r="AB269" i="1" s="1"/>
  <c r="M268" i="1"/>
  <c r="O268" i="1" s="1"/>
  <c r="AB268" i="1" s="1"/>
  <c r="M267" i="1"/>
  <c r="O267" i="1" s="1"/>
  <c r="AB267" i="1" s="1"/>
  <c r="M266" i="1"/>
  <c r="O266" i="1" s="1"/>
  <c r="AB266" i="1" s="1"/>
  <c r="M265" i="1"/>
  <c r="M264" i="1"/>
  <c r="M263" i="1"/>
  <c r="O263" i="1" s="1"/>
  <c r="AB263" i="1" s="1"/>
  <c r="M262" i="1"/>
  <c r="O262" i="1" s="1"/>
  <c r="AB262" i="1" s="1"/>
  <c r="P262" i="1"/>
  <c r="AA262" i="1" s="1"/>
  <c r="M256" i="1"/>
  <c r="M261" i="1"/>
  <c r="O261" i="1" s="1"/>
  <c r="AB261" i="1" s="1"/>
  <c r="P261" i="1"/>
  <c r="AA261" i="1" s="1"/>
  <c r="M260" i="1"/>
  <c r="O260" i="1" s="1"/>
  <c r="AB260" i="1" s="1"/>
  <c r="P260" i="1"/>
  <c r="AA260" i="1" s="1"/>
  <c r="M259" i="1"/>
  <c r="M257" i="1"/>
  <c r="O257" i="1" s="1"/>
  <c r="AB257" i="1" s="1"/>
  <c r="P257" i="1"/>
  <c r="AA257" i="1" s="1"/>
  <c r="M255" i="1"/>
  <c r="M254" i="1"/>
  <c r="O254" i="1" s="1"/>
  <c r="AB254" i="1" s="1"/>
  <c r="P254" i="1"/>
  <c r="AA254" i="1" s="1"/>
  <c r="M253" i="1"/>
  <c r="O253" i="1" s="1"/>
  <c r="AB253" i="1" s="1"/>
  <c r="M252" i="1"/>
  <c r="M251" i="1"/>
  <c r="M250" i="1"/>
  <c r="O250" i="1" s="1"/>
  <c r="AB250" i="1" s="1"/>
  <c r="M249" i="1"/>
  <c r="O249" i="1" s="1"/>
  <c r="AB249" i="1" s="1"/>
  <c r="M247" i="1"/>
  <c r="M248" i="1"/>
  <c r="M246" i="1"/>
  <c r="O246" i="1" s="1"/>
  <c r="AB246" i="1" s="1"/>
  <c r="P246" i="1"/>
  <c r="AA246" i="1" s="1"/>
  <c r="M245" i="1"/>
  <c r="O245" i="1" s="1"/>
  <c r="AB245" i="1" s="1"/>
  <c r="P249" i="1"/>
  <c r="AA249" i="1" s="1"/>
  <c r="G244" i="1"/>
  <c r="M244" i="1" s="1"/>
  <c r="O244" i="1" s="1"/>
  <c r="AB244" i="1" s="1"/>
  <c r="M243" i="1"/>
  <c r="O243" i="1" s="1"/>
  <c r="AB243" i="1" s="1"/>
  <c r="M242" i="1"/>
  <c r="M240" i="1"/>
  <c r="M241" i="1"/>
  <c r="O241" i="1" s="1"/>
  <c r="AB241" i="1" s="1"/>
  <c r="R240" i="1"/>
  <c r="M239" i="1"/>
  <c r="O239" i="1" s="1"/>
  <c r="AB239" i="1" s="1"/>
  <c r="M238" i="1"/>
  <c r="O238" i="1" s="1"/>
  <c r="AB238" i="1" s="1"/>
  <c r="P238" i="1"/>
  <c r="AA238" i="1" s="1"/>
  <c r="M236" i="1"/>
  <c r="O236" i="1" s="1"/>
  <c r="AB236" i="1" s="1"/>
  <c r="M235" i="1"/>
  <c r="O235" i="1" s="1"/>
  <c r="AB235" i="1" s="1"/>
  <c r="M234" i="1"/>
  <c r="M233" i="1"/>
  <c r="O233" i="1" s="1"/>
  <c r="AB233" i="1" s="1"/>
  <c r="M232" i="1"/>
  <c r="M231" i="1"/>
  <c r="M230" i="1"/>
  <c r="M3" i="1"/>
  <c r="O3" i="1" s="1"/>
  <c r="AB3" i="1" s="1"/>
  <c r="M4" i="1"/>
  <c r="M5" i="1"/>
  <c r="O5" i="1" s="1"/>
  <c r="AB5" i="1" s="1"/>
  <c r="M6" i="1"/>
  <c r="M7" i="1"/>
  <c r="O7" i="1" s="1"/>
  <c r="AB7" i="1" s="1"/>
  <c r="M10" i="1"/>
  <c r="O10" i="1" s="1"/>
  <c r="AB10" i="1" s="1"/>
  <c r="M12" i="1"/>
  <c r="O12" i="1" s="1"/>
  <c r="AB12" i="1" s="1"/>
  <c r="M13" i="1"/>
  <c r="O13" i="1" s="1"/>
  <c r="AB13" i="1" s="1"/>
  <c r="M15" i="1"/>
  <c r="M16" i="1"/>
  <c r="O16" i="1" s="1"/>
  <c r="AB16" i="1" s="1"/>
  <c r="M17" i="1"/>
  <c r="O17" i="1" s="1"/>
  <c r="AB17" i="1" s="1"/>
  <c r="M18" i="1"/>
  <c r="O18" i="1" s="1"/>
  <c r="AB18" i="1" s="1"/>
  <c r="M19" i="1"/>
  <c r="O19" i="1" s="1"/>
  <c r="AB19" i="1" s="1"/>
  <c r="M21" i="1"/>
  <c r="O21" i="1" s="1"/>
  <c r="AB21" i="1" s="1"/>
  <c r="M22" i="1"/>
  <c r="M24" i="1"/>
  <c r="O24" i="1" s="1"/>
  <c r="AB24" i="1" s="1"/>
  <c r="M26" i="1"/>
  <c r="O26" i="1" s="1"/>
  <c r="AB26" i="1" s="1"/>
  <c r="M28" i="1"/>
  <c r="O28" i="1" s="1"/>
  <c r="AB28" i="1" s="1"/>
  <c r="M32" i="1"/>
  <c r="O32" i="1" s="1"/>
  <c r="AB32" i="1" s="1"/>
  <c r="M34" i="1"/>
  <c r="O34" i="1" s="1"/>
  <c r="AB34" i="1" s="1"/>
  <c r="M35" i="1"/>
  <c r="O35" i="1" s="1"/>
  <c r="AB35" i="1" s="1"/>
  <c r="M39" i="1"/>
  <c r="O39" i="1" s="1"/>
  <c r="AB39" i="1" s="1"/>
  <c r="M40" i="1"/>
  <c r="O40" i="1" s="1"/>
  <c r="AB40" i="1" s="1"/>
  <c r="M41" i="1"/>
  <c r="O41" i="1" s="1"/>
  <c r="AB41" i="1" s="1"/>
  <c r="M43" i="1"/>
  <c r="O43" i="1" s="1"/>
  <c r="AB43" i="1" s="1"/>
  <c r="M44" i="1"/>
  <c r="M45" i="1"/>
  <c r="O45" i="1" s="1"/>
  <c r="AB45" i="1" s="1"/>
  <c r="M46" i="1"/>
  <c r="O46" i="1" s="1"/>
  <c r="AB46" i="1" s="1"/>
  <c r="M49" i="1"/>
  <c r="O49" i="1" s="1"/>
  <c r="M50" i="1"/>
  <c r="M51" i="1"/>
  <c r="O51" i="1" s="1"/>
  <c r="AB51" i="1" s="1"/>
  <c r="M52" i="1"/>
  <c r="O52" i="1" s="1"/>
  <c r="AB52" i="1" s="1"/>
  <c r="M55" i="1"/>
  <c r="O55" i="1" s="1"/>
  <c r="AB55" i="1" s="1"/>
  <c r="M56" i="1"/>
  <c r="O56" i="1" s="1"/>
  <c r="AB56" i="1" s="1"/>
  <c r="M57" i="1"/>
  <c r="M58" i="1"/>
  <c r="O58" i="1" s="1"/>
  <c r="AB58" i="1" s="1"/>
  <c r="M59" i="1"/>
  <c r="M61" i="1"/>
  <c r="M62" i="1"/>
  <c r="O62" i="1" s="1"/>
  <c r="AB62" i="1" s="1"/>
  <c r="M63" i="1"/>
  <c r="O63" i="1" s="1"/>
  <c r="AB63" i="1" s="1"/>
  <c r="M66" i="1"/>
  <c r="O66" i="1" s="1"/>
  <c r="AB66" i="1" s="1"/>
  <c r="M67" i="1"/>
  <c r="O67" i="1" s="1"/>
  <c r="AB67" i="1" s="1"/>
  <c r="M68" i="1"/>
  <c r="O68" i="1" s="1"/>
  <c r="AB68" i="1" s="1"/>
  <c r="M70" i="1"/>
  <c r="M71" i="1"/>
  <c r="O71" i="1" s="1"/>
  <c r="AB71" i="1" s="1"/>
  <c r="M72" i="1"/>
  <c r="O72" i="1" s="1"/>
  <c r="AB72" i="1" s="1"/>
  <c r="M73" i="1"/>
  <c r="O73" i="1" s="1"/>
  <c r="AB73" i="1" s="1"/>
  <c r="M74" i="1"/>
  <c r="O74" i="1" s="1"/>
  <c r="AB74" i="1" s="1"/>
  <c r="M77" i="1"/>
  <c r="O77" i="1" s="1"/>
  <c r="AB77" i="1" s="1"/>
  <c r="M78" i="1"/>
  <c r="O78" i="1" s="1"/>
  <c r="AB78" i="1" s="1"/>
  <c r="M79" i="1"/>
  <c r="O79" i="1" s="1"/>
  <c r="AB79" i="1" s="1"/>
  <c r="M80" i="1"/>
  <c r="O80" i="1" s="1"/>
  <c r="AB80" i="1" s="1"/>
  <c r="M81" i="1"/>
  <c r="O81" i="1" s="1"/>
  <c r="AB81" i="1" s="1"/>
  <c r="M82" i="1"/>
  <c r="P82" i="1" s="1"/>
  <c r="AA82" i="1" s="1"/>
  <c r="M83" i="1"/>
  <c r="O83" i="1" s="1"/>
  <c r="AB83" i="1" s="1"/>
  <c r="M84" i="1"/>
  <c r="M85" i="1"/>
  <c r="O85" i="1" s="1"/>
  <c r="M86" i="1"/>
  <c r="O86" i="1" s="1"/>
  <c r="AB86" i="1" s="1"/>
  <c r="M87" i="1"/>
  <c r="O87" i="1" s="1"/>
  <c r="AB87" i="1" s="1"/>
  <c r="M88" i="1"/>
  <c r="O88" i="1" s="1"/>
  <c r="AB88" i="1" s="1"/>
  <c r="M89" i="1"/>
  <c r="O89" i="1" s="1"/>
  <c r="AB89" i="1" s="1"/>
  <c r="M90" i="1"/>
  <c r="M91" i="1"/>
  <c r="M93" i="1"/>
  <c r="M94" i="1"/>
  <c r="M95" i="1"/>
  <c r="O95" i="1" s="1"/>
  <c r="AB95" i="1" s="1"/>
  <c r="M96" i="1"/>
  <c r="O96" i="1" s="1"/>
  <c r="AB96" i="1" s="1"/>
  <c r="M99" i="1"/>
  <c r="O99" i="1" s="1"/>
  <c r="AB99" i="1" s="1"/>
  <c r="M100" i="1"/>
  <c r="O100" i="1" s="1"/>
  <c r="AB100" i="1" s="1"/>
  <c r="M101" i="1"/>
  <c r="O101" i="1" s="1"/>
  <c r="AB101" i="1" s="1"/>
  <c r="M103" i="1"/>
  <c r="O103" i="1" s="1"/>
  <c r="AB103" i="1" s="1"/>
  <c r="M105" i="1"/>
  <c r="M106" i="1"/>
  <c r="O106" i="1" s="1"/>
  <c r="AB106" i="1" s="1"/>
  <c r="M107" i="1"/>
  <c r="O107" i="1" s="1"/>
  <c r="AB107" i="1" s="1"/>
  <c r="M109" i="1"/>
  <c r="O109" i="1" s="1"/>
  <c r="AB109" i="1" s="1"/>
  <c r="M110" i="1"/>
  <c r="O110" i="1" s="1"/>
  <c r="AB110" i="1" s="1"/>
  <c r="M111" i="1"/>
  <c r="O111" i="1" s="1"/>
  <c r="AB111" i="1" s="1"/>
  <c r="M115" i="1"/>
  <c r="P115" i="1" s="1"/>
  <c r="AA115" i="1" s="1"/>
  <c r="M116" i="1"/>
  <c r="O116" i="1" s="1"/>
  <c r="AB116" i="1" s="1"/>
  <c r="M117" i="1"/>
  <c r="O117" i="1" s="1"/>
  <c r="AB117" i="1" s="1"/>
  <c r="M119" i="1"/>
  <c r="O119" i="1" s="1"/>
  <c r="AB119" i="1" s="1"/>
  <c r="M120" i="1"/>
  <c r="O120" i="1" s="1"/>
  <c r="AB120" i="1" s="1"/>
  <c r="M121" i="1"/>
  <c r="O121" i="1" s="1"/>
  <c r="AB121" i="1" s="1"/>
  <c r="M122" i="1"/>
  <c r="O122" i="1" s="1"/>
  <c r="AB122" i="1" s="1"/>
  <c r="M123" i="1"/>
  <c r="M124" i="1"/>
  <c r="O124" i="1" s="1"/>
  <c r="AB124" i="1" s="1"/>
  <c r="M125" i="1"/>
  <c r="O125" i="1" s="1"/>
  <c r="AB125" i="1" s="1"/>
  <c r="M126" i="1"/>
  <c r="M127" i="1"/>
  <c r="M129" i="1"/>
  <c r="M130" i="1"/>
  <c r="O130" i="1" s="1"/>
  <c r="AB130" i="1" s="1"/>
  <c r="M131" i="1"/>
  <c r="O131" i="1" s="1"/>
  <c r="AB131" i="1" s="1"/>
  <c r="M133" i="1"/>
  <c r="O133" i="1" s="1"/>
  <c r="AB133" i="1" s="1"/>
  <c r="M134" i="1"/>
  <c r="O134" i="1" s="1"/>
  <c r="AB134" i="1" s="1"/>
  <c r="M135" i="1"/>
  <c r="O135" i="1" s="1"/>
  <c r="AB135" i="1" s="1"/>
  <c r="M136" i="1"/>
  <c r="O136" i="1" s="1"/>
  <c r="AB136" i="1" s="1"/>
  <c r="M137" i="1"/>
  <c r="O137" i="1" s="1"/>
  <c r="AB137" i="1" s="1"/>
  <c r="M138" i="1"/>
  <c r="O138" i="1" s="1"/>
  <c r="AB138" i="1" s="1"/>
  <c r="M139" i="1"/>
  <c r="O139" i="1" s="1"/>
  <c r="AB139" i="1" s="1"/>
  <c r="M141" i="1"/>
  <c r="O141" i="1" s="1"/>
  <c r="AB141" i="1" s="1"/>
  <c r="M142" i="1"/>
  <c r="O142" i="1" s="1"/>
  <c r="AB142" i="1" s="1"/>
  <c r="M143" i="1"/>
  <c r="O143" i="1" s="1"/>
  <c r="AB143" i="1" s="1"/>
  <c r="M144" i="1"/>
  <c r="O144" i="1" s="1"/>
  <c r="AB144" i="1" s="1"/>
  <c r="M146" i="1"/>
  <c r="O146" i="1" s="1"/>
  <c r="AB146" i="1" s="1"/>
  <c r="M147" i="1"/>
  <c r="M148" i="1"/>
  <c r="M149" i="1"/>
  <c r="O149" i="1" s="1"/>
  <c r="AB149" i="1" s="1"/>
  <c r="M151" i="1"/>
  <c r="O151" i="1" s="1"/>
  <c r="AB151" i="1" s="1"/>
  <c r="M152" i="1"/>
  <c r="O152" i="1" s="1"/>
  <c r="AB152" i="1" s="1"/>
  <c r="M153" i="1"/>
  <c r="O153" i="1" s="1"/>
  <c r="AB153" i="1" s="1"/>
  <c r="M154" i="1"/>
  <c r="O154" i="1" s="1"/>
  <c r="AB154" i="1" s="1"/>
  <c r="M155" i="1"/>
  <c r="O155" i="1" s="1"/>
  <c r="AB155" i="1" s="1"/>
  <c r="M156" i="1"/>
  <c r="O156" i="1" s="1"/>
  <c r="AB156" i="1" s="1"/>
  <c r="M157" i="1"/>
  <c r="O157" i="1" s="1"/>
  <c r="AB157" i="1" s="1"/>
  <c r="M158" i="1"/>
  <c r="O158" i="1" s="1"/>
  <c r="AB158" i="1" s="1"/>
  <c r="M159" i="1"/>
  <c r="O159" i="1" s="1"/>
  <c r="AB159" i="1" s="1"/>
  <c r="M160" i="1"/>
  <c r="O160" i="1" s="1"/>
  <c r="AB160" i="1" s="1"/>
  <c r="M162" i="1"/>
  <c r="M165" i="1"/>
  <c r="O165" i="1" s="1"/>
  <c r="AB165" i="1" s="1"/>
  <c r="M166" i="1"/>
  <c r="O166" i="1" s="1"/>
  <c r="AB166" i="1" s="1"/>
  <c r="M167" i="1"/>
  <c r="O167" i="1" s="1"/>
  <c r="AB167" i="1" s="1"/>
  <c r="M169" i="1"/>
  <c r="O169" i="1" s="1"/>
  <c r="AB169" i="1" s="1"/>
  <c r="M170" i="1"/>
  <c r="O170" i="1" s="1"/>
  <c r="AB170" i="1" s="1"/>
  <c r="M174" i="1"/>
  <c r="M175" i="1"/>
  <c r="O175" i="1" s="1"/>
  <c r="AB175" i="1" s="1"/>
  <c r="M176" i="1"/>
  <c r="O176" i="1" s="1"/>
  <c r="AB176" i="1" s="1"/>
  <c r="M177" i="1"/>
  <c r="O177" i="1" s="1"/>
  <c r="AB177" i="1" s="1"/>
  <c r="M178" i="1"/>
  <c r="M179" i="1"/>
  <c r="O179" i="1" s="1"/>
  <c r="AB179" i="1" s="1"/>
  <c r="M180" i="1"/>
  <c r="M181" i="1"/>
  <c r="O181" i="1" s="1"/>
  <c r="AB181" i="1" s="1"/>
  <c r="M182" i="1"/>
  <c r="O182" i="1" s="1"/>
  <c r="AB182" i="1" s="1"/>
  <c r="M183" i="1"/>
  <c r="O183" i="1" s="1"/>
  <c r="AB183" i="1" s="1"/>
  <c r="M184" i="1"/>
  <c r="O184" i="1" s="1"/>
  <c r="AB184" i="1" s="1"/>
  <c r="M185" i="1"/>
  <c r="O185" i="1" s="1"/>
  <c r="AB185" i="1" s="1"/>
  <c r="M186" i="1"/>
  <c r="O186" i="1" s="1"/>
  <c r="AB186" i="1" s="1"/>
  <c r="M187" i="1"/>
  <c r="M189" i="1"/>
  <c r="O189" i="1" s="1"/>
  <c r="AB189" i="1" s="1"/>
  <c r="M190" i="1"/>
  <c r="O190" i="1" s="1"/>
  <c r="AB190" i="1" s="1"/>
  <c r="M191" i="1"/>
  <c r="O191" i="1" s="1"/>
  <c r="AB191" i="1" s="1"/>
  <c r="M192" i="1"/>
  <c r="O192" i="1" s="1"/>
  <c r="AB192" i="1" s="1"/>
  <c r="M193" i="1"/>
  <c r="O193" i="1" s="1"/>
  <c r="AB193" i="1" s="1"/>
  <c r="M194" i="1"/>
  <c r="O194" i="1" s="1"/>
  <c r="AB194" i="1" s="1"/>
  <c r="M195" i="1"/>
  <c r="M196" i="1"/>
  <c r="O196" i="1" s="1"/>
  <c r="AB196" i="1" s="1"/>
  <c r="M197" i="1"/>
  <c r="O197" i="1" s="1"/>
  <c r="AB197" i="1" s="1"/>
  <c r="M198" i="1"/>
  <c r="O198" i="1" s="1"/>
  <c r="AB198" i="1" s="1"/>
  <c r="M199" i="1"/>
  <c r="O199" i="1" s="1"/>
  <c r="AB199" i="1" s="1"/>
  <c r="M200" i="1"/>
  <c r="M201" i="1"/>
  <c r="O201" i="1" s="1"/>
  <c r="AB201" i="1" s="1"/>
  <c r="M202" i="1"/>
  <c r="O202" i="1" s="1"/>
  <c r="AB202" i="1" s="1"/>
  <c r="M203" i="1"/>
  <c r="M204" i="1"/>
  <c r="O204" i="1" s="1"/>
  <c r="AB204" i="1" s="1"/>
  <c r="M206" i="1"/>
  <c r="M208" i="1"/>
  <c r="O208" i="1" s="1"/>
  <c r="AB208" i="1" s="1"/>
  <c r="M210" i="1"/>
  <c r="O210" i="1" s="1"/>
  <c r="AB210" i="1" s="1"/>
  <c r="M211" i="1"/>
  <c r="O211" i="1" s="1"/>
  <c r="AB211" i="1" s="1"/>
  <c r="M212" i="1"/>
  <c r="O212" i="1" s="1"/>
  <c r="AB212" i="1" s="1"/>
  <c r="M213" i="1"/>
  <c r="O213" i="1" s="1"/>
  <c r="AB213" i="1" s="1"/>
  <c r="M214" i="1"/>
  <c r="O214" i="1" s="1"/>
  <c r="AB214" i="1" s="1"/>
  <c r="M215" i="1"/>
  <c r="O215" i="1" s="1"/>
  <c r="AB215" i="1" s="1"/>
  <c r="M217" i="1"/>
  <c r="M218" i="1"/>
  <c r="O218" i="1" s="1"/>
  <c r="AB218" i="1" s="1"/>
  <c r="M219" i="1"/>
  <c r="O219" i="1" s="1"/>
  <c r="AB219" i="1" s="1"/>
  <c r="M220" i="1"/>
  <c r="P220" i="1" s="1"/>
  <c r="AA220" i="1" s="1"/>
  <c r="M221" i="1"/>
  <c r="O221" i="1" s="1"/>
  <c r="AB221" i="1" s="1"/>
  <c r="M222" i="1"/>
  <c r="O222" i="1" s="1"/>
  <c r="AB222" i="1" s="1"/>
  <c r="M223" i="1"/>
  <c r="O223" i="1" s="1"/>
  <c r="AB223" i="1" s="1"/>
  <c r="M224" i="1"/>
  <c r="M225" i="1"/>
  <c r="M227" i="1"/>
  <c r="O227" i="1" s="1"/>
  <c r="AB227" i="1" s="1"/>
  <c r="M228" i="1"/>
  <c r="O228" i="1" s="1"/>
  <c r="AB228" i="1" s="1"/>
  <c r="M229" i="1"/>
  <c r="O229" i="1" s="1"/>
  <c r="AB229" i="1" s="1"/>
  <c r="G226" i="1"/>
  <c r="N226" i="1" s="1"/>
  <c r="P221" i="1"/>
  <c r="AA221" i="1" s="1"/>
  <c r="R220" i="1"/>
  <c r="P219" i="1"/>
  <c r="AA219" i="1" s="1"/>
  <c r="P214" i="1"/>
  <c r="AA214" i="1" s="1"/>
  <c r="G209" i="1"/>
  <c r="N209" i="1" s="1"/>
  <c r="P212" i="1"/>
  <c r="AA212" i="1" s="1"/>
  <c r="P211" i="1"/>
  <c r="AA211" i="1" s="1"/>
  <c r="P208" i="1"/>
  <c r="AA208" i="1" s="1"/>
  <c r="G207" i="1"/>
  <c r="N207" i="1" s="1"/>
  <c r="F206" i="1"/>
  <c r="F205" i="1"/>
  <c r="G205" i="1" s="1"/>
  <c r="N205" i="1" s="1"/>
  <c r="P202" i="1"/>
  <c r="AA202" i="1" s="1"/>
  <c r="Q187" i="1"/>
  <c r="P197" i="1"/>
  <c r="AA197" i="1" s="1"/>
  <c r="Q189" i="1"/>
  <c r="F184" i="1"/>
  <c r="P194" i="1"/>
  <c r="AA194" i="1" s="1"/>
  <c r="P193" i="1"/>
  <c r="AA193" i="1" s="1"/>
  <c r="P190" i="1"/>
  <c r="AA190" i="1" s="1"/>
  <c r="G188" i="1"/>
  <c r="R186" i="1"/>
  <c r="P186" i="1"/>
  <c r="AA186" i="1" s="1"/>
  <c r="R185" i="1"/>
  <c r="R182" i="1"/>
  <c r="G173" i="1"/>
  <c r="G172" i="1"/>
  <c r="M172" i="1" s="1"/>
  <c r="O172" i="1" s="1"/>
  <c r="AB172" i="1" s="1"/>
  <c r="G171" i="1"/>
  <c r="M171" i="1" s="1"/>
  <c r="O171" i="1" s="1"/>
  <c r="AB171" i="1" s="1"/>
  <c r="P172" i="1"/>
  <c r="AA172" i="1" s="1"/>
  <c r="P171" i="1"/>
  <c r="AA171" i="1" s="1"/>
  <c r="R170" i="1"/>
  <c r="P169" i="1"/>
  <c r="AA169" i="1" s="1"/>
  <c r="G168" i="1"/>
  <c r="M168" i="1" s="1"/>
  <c r="O168" i="1" s="1"/>
  <c r="AB168" i="1" s="1"/>
  <c r="P166" i="1"/>
  <c r="AA166" i="1" s="1"/>
  <c r="F165" i="1"/>
  <c r="G164" i="1"/>
  <c r="G163" i="1"/>
  <c r="M163" i="1" s="1"/>
  <c r="O163" i="1" s="1"/>
  <c r="AB163" i="1" s="1"/>
  <c r="G161" i="1"/>
  <c r="M161" i="1" s="1"/>
  <c r="O161" i="1" s="1"/>
  <c r="AB161" i="1" s="1"/>
  <c r="P160" i="1"/>
  <c r="AA160" i="1" s="1"/>
  <c r="P159" i="1"/>
  <c r="AA159" i="1" s="1"/>
  <c r="P158" i="1"/>
  <c r="AA158" i="1" s="1"/>
  <c r="P156" i="1"/>
  <c r="AA156" i="1" s="1"/>
  <c r="P155" i="1"/>
  <c r="AA155" i="1" s="1"/>
  <c r="R155" i="1"/>
  <c r="P153" i="1"/>
  <c r="AA153" i="1" s="1"/>
  <c r="P152" i="1"/>
  <c r="AA152" i="1" s="1"/>
  <c r="G150" i="1"/>
  <c r="M150" i="1" s="1"/>
  <c r="O150" i="1" s="1"/>
  <c r="AB150" i="1" s="1"/>
  <c r="P150" i="1"/>
  <c r="AA150" i="1" s="1"/>
  <c r="F145" i="1"/>
  <c r="G145" i="1" s="1"/>
  <c r="N145" i="1" s="1"/>
  <c r="P142" i="1"/>
  <c r="AA142" i="1" s="1"/>
  <c r="P141" i="1"/>
  <c r="AA141" i="1" s="1"/>
  <c r="P140" i="1"/>
  <c r="AA140" i="1" s="1"/>
  <c r="P137" i="1"/>
  <c r="AA137" i="1" s="1"/>
  <c r="P135" i="1"/>
  <c r="AA135" i="1" s="1"/>
  <c r="G132" i="1"/>
  <c r="M132" i="1" s="1"/>
  <c r="O132" i="1" s="1"/>
  <c r="AB132" i="1" s="1"/>
  <c r="G128" i="1"/>
  <c r="X49" i="1"/>
  <c r="P119" i="1"/>
  <c r="AA119" i="1" s="1"/>
  <c r="X113" i="1"/>
  <c r="G118" i="1"/>
  <c r="M118" i="1" s="1"/>
  <c r="O118" i="1" s="1"/>
  <c r="AB118" i="1" s="1"/>
  <c r="R116" i="1"/>
  <c r="R115" i="1"/>
  <c r="G114" i="1"/>
  <c r="M114" i="1" s="1"/>
  <c r="O114" i="1" s="1"/>
  <c r="AB114" i="1" s="1"/>
  <c r="G113" i="1"/>
  <c r="N113" i="1" s="1"/>
  <c r="R113" i="1" s="1"/>
  <c r="G112" i="1"/>
  <c r="N112" i="1" s="1"/>
  <c r="R112" i="1" s="1"/>
  <c r="P112" i="1"/>
  <c r="AA112" i="1" s="1"/>
  <c r="P111" i="1"/>
  <c r="AA111" i="1" s="1"/>
  <c r="R111" i="1"/>
  <c r="P110" i="1"/>
  <c r="AA110" i="1" s="1"/>
  <c r="G108" i="1"/>
  <c r="N108" i="1" s="1"/>
  <c r="P107" i="1"/>
  <c r="AA107" i="1" s="1"/>
  <c r="P106" i="1"/>
  <c r="AA106" i="1" s="1"/>
  <c r="G104" i="1"/>
  <c r="N104" i="1" s="1"/>
  <c r="R104" i="1" s="1"/>
  <c r="F103" i="1"/>
  <c r="G102" i="1"/>
  <c r="M102" i="1" s="1"/>
  <c r="O102" i="1" s="1"/>
  <c r="AB102" i="1" s="1"/>
  <c r="F101" i="1"/>
  <c r="P101" i="1"/>
  <c r="AA101" i="1" s="1"/>
  <c r="P100" i="1"/>
  <c r="AA100" i="1" s="1"/>
  <c r="R99" i="1"/>
  <c r="G98" i="1"/>
  <c r="R96" i="1"/>
  <c r="G92" i="1"/>
  <c r="M92" i="1" s="1"/>
  <c r="O92" i="1" s="1"/>
  <c r="AB92" i="1" s="1"/>
  <c r="P92" i="1"/>
  <c r="AA92" i="1" s="1"/>
  <c r="G36" i="1"/>
  <c r="N36" i="1" s="1"/>
  <c r="G65" i="1"/>
  <c r="M65" i="1" s="1"/>
  <c r="O65" i="1" s="1"/>
  <c r="AB65" i="1" s="1"/>
  <c r="G69" i="1"/>
  <c r="M69" i="1" s="1"/>
  <c r="O69" i="1" s="1"/>
  <c r="AB69" i="1" s="1"/>
  <c r="G48" i="1"/>
  <c r="M48" i="1" s="1"/>
  <c r="O48" i="1" s="1"/>
  <c r="AB48" i="1" s="1"/>
  <c r="G47" i="1"/>
  <c r="M47" i="1" s="1"/>
  <c r="O47" i="1" s="1"/>
  <c r="AB47" i="1" s="1"/>
  <c r="G42" i="1"/>
  <c r="M42" i="1" s="1"/>
  <c r="O42" i="1" s="1"/>
  <c r="AB42" i="1" s="1"/>
  <c r="G54" i="1"/>
  <c r="M54" i="1" s="1"/>
  <c r="O54" i="1" s="1"/>
  <c r="AB54" i="1" s="1"/>
  <c r="G60" i="1"/>
  <c r="G64" i="1"/>
  <c r="M64" i="1" s="1"/>
  <c r="O64" i="1" s="1"/>
  <c r="AB64" i="1" s="1"/>
  <c r="G38" i="1"/>
  <c r="M38" i="1" s="1"/>
  <c r="O38" i="1" s="1"/>
  <c r="AB38" i="1" s="1"/>
  <c r="G37" i="1"/>
  <c r="M37" i="1" s="1"/>
  <c r="O37" i="1" s="1"/>
  <c r="AB37" i="1" s="1"/>
  <c r="R49" i="1"/>
  <c r="R83" i="1"/>
  <c r="G75" i="1"/>
  <c r="M75" i="1" s="1"/>
  <c r="O75" i="1" s="1"/>
  <c r="AB75" i="1" s="1"/>
  <c r="G76" i="1"/>
  <c r="N76" i="1" s="1"/>
  <c r="R76" i="1" s="1"/>
  <c r="P3" i="1"/>
  <c r="AA3" i="1" s="1"/>
  <c r="P5" i="1"/>
  <c r="AA5" i="1" s="1"/>
  <c r="P13" i="1"/>
  <c r="AA13" i="1" s="1"/>
  <c r="P17" i="1"/>
  <c r="AA17" i="1" s="1"/>
  <c r="P19" i="1"/>
  <c r="AA19" i="1" s="1"/>
  <c r="P21" i="1"/>
  <c r="AA21" i="1" s="1"/>
  <c r="P24" i="1"/>
  <c r="AA24" i="1" s="1"/>
  <c r="P25" i="1"/>
  <c r="AA25" i="1" s="1"/>
  <c r="P26" i="1"/>
  <c r="AA26" i="1" s="1"/>
  <c r="P28" i="1"/>
  <c r="AA28" i="1" s="1"/>
  <c r="P29" i="1"/>
  <c r="AA29" i="1" s="1"/>
  <c r="P33" i="1"/>
  <c r="AA33" i="1" s="1"/>
  <c r="P35" i="1"/>
  <c r="AA35" i="1" s="1"/>
  <c r="P45" i="1"/>
  <c r="AA45" i="1" s="1"/>
  <c r="P51" i="1"/>
  <c r="AA51" i="1" s="1"/>
  <c r="P58" i="1"/>
  <c r="AA58" i="1" s="1"/>
  <c r="P62" i="1"/>
  <c r="AA62" i="1" s="1"/>
  <c r="P67" i="1"/>
  <c r="AA67" i="1" s="1"/>
  <c r="P74" i="1"/>
  <c r="AA74" i="1" s="1"/>
  <c r="P75" i="1"/>
  <c r="AA75" i="1" s="1"/>
  <c r="P81" i="1"/>
  <c r="AA81" i="1" s="1"/>
  <c r="P86" i="1"/>
  <c r="AA86" i="1" s="1"/>
  <c r="R82" i="1"/>
  <c r="Y9" i="1"/>
  <c r="G31" i="1"/>
  <c r="M31" i="1" s="1"/>
  <c r="O31" i="1" s="1"/>
  <c r="AB31" i="1" s="1"/>
  <c r="G33" i="1"/>
  <c r="N33" i="1" s="1"/>
  <c r="R33" i="1" s="1"/>
  <c r="G30" i="1"/>
  <c r="M30" i="1" s="1"/>
  <c r="O30" i="1" s="1"/>
  <c r="AB30" i="1" s="1"/>
  <c r="G29" i="1"/>
  <c r="M29" i="1" s="1"/>
  <c r="O29" i="1" s="1"/>
  <c r="AB29" i="1" s="1"/>
  <c r="G27" i="1"/>
  <c r="N27" i="1" s="1"/>
  <c r="G25" i="1"/>
  <c r="M25" i="1" s="1"/>
  <c r="O25" i="1" s="1"/>
  <c r="AB25" i="1" s="1"/>
  <c r="G23" i="1"/>
  <c r="M23" i="1" s="1"/>
  <c r="O23" i="1" s="1"/>
  <c r="AB23" i="1" s="1"/>
  <c r="G20" i="1"/>
  <c r="M20" i="1" s="1"/>
  <c r="O20" i="1" s="1"/>
  <c r="AB20" i="1" s="1"/>
  <c r="F14" i="1"/>
  <c r="G14" i="1" s="1"/>
  <c r="M14" i="1" s="1"/>
  <c r="G11" i="1"/>
  <c r="M11" i="1" s="1"/>
  <c r="G9" i="1"/>
  <c r="G8" i="1"/>
  <c r="M8" i="1" s="1"/>
  <c r="R324" i="1"/>
  <c r="R258" i="1"/>
  <c r="G324" i="1"/>
  <c r="F324" i="1" s="1"/>
  <c r="G325" i="1"/>
  <c r="F325" i="1" s="1"/>
  <c r="R325" i="1"/>
  <c r="G312" i="1"/>
  <c r="M312" i="1" s="1"/>
  <c r="R312" i="1"/>
  <c r="M258" i="1"/>
  <c r="O258" i="1" s="1"/>
  <c r="AB258" i="1" s="1"/>
  <c r="R548" i="1" l="1"/>
  <c r="N172" i="1"/>
  <c r="R172" i="1" s="1"/>
  <c r="R357" i="1"/>
  <c r="M36" i="1"/>
  <c r="O36" i="1" s="1"/>
  <c r="AB36" i="1" s="1"/>
  <c r="N150" i="1"/>
  <c r="R150" i="1" s="1"/>
  <c r="R680" i="1"/>
  <c r="N499" i="1"/>
  <c r="R499" i="1" s="1"/>
  <c r="N42" i="1"/>
  <c r="R42" i="1" s="1"/>
  <c r="N118" i="1"/>
  <c r="R118" i="1" s="1"/>
  <c r="N69" i="1"/>
  <c r="R69" i="1" s="1"/>
  <c r="M104" i="1"/>
  <c r="P104" i="1" s="1"/>
  <c r="AA104" i="1" s="1"/>
  <c r="N38" i="1"/>
  <c r="R38" i="1" s="1"/>
  <c r="M113" i="1"/>
  <c r="O113" i="1" s="1"/>
  <c r="AB113" i="1" s="1"/>
  <c r="M207" i="1"/>
  <c r="O207" i="1" s="1"/>
  <c r="AB207" i="1" s="1"/>
  <c r="N37" i="1"/>
  <c r="R37" i="1" s="1"/>
  <c r="M108" i="1"/>
  <c r="O108" i="1" s="1"/>
  <c r="AB108" i="1" s="1"/>
  <c r="N163" i="1"/>
  <c r="R163" i="1" s="1"/>
  <c r="N171" i="1"/>
  <c r="R171" i="1" s="1"/>
  <c r="N65" i="1"/>
  <c r="R65" i="1" s="1"/>
  <c r="R380" i="1"/>
  <c r="R546" i="1"/>
  <c r="N30" i="1"/>
  <c r="R30" i="1" s="1"/>
  <c r="R519" i="1"/>
  <c r="AB581" i="1"/>
  <c r="AB382" i="1"/>
  <c r="R496" i="1"/>
  <c r="AB499" i="1"/>
  <c r="P70" i="1"/>
  <c r="AA70" i="1" s="1"/>
  <c r="P6" i="1"/>
  <c r="AA6" i="1" s="1"/>
  <c r="AB49" i="1"/>
  <c r="N47" i="1"/>
  <c r="P47" i="1" s="1"/>
  <c r="AA47" i="1" s="1"/>
  <c r="R377" i="1"/>
  <c r="R281" i="1"/>
  <c r="N31" i="1"/>
  <c r="R31" i="1" s="1"/>
  <c r="N168" i="1"/>
  <c r="P168" i="1" s="1"/>
  <c r="AA168" i="1" s="1"/>
  <c r="R187" i="1"/>
  <c r="N23" i="1"/>
  <c r="R23" i="1" s="1"/>
  <c r="N48" i="1"/>
  <c r="R48" i="1" s="1"/>
  <c r="N161" i="1"/>
  <c r="R161" i="1" s="1"/>
  <c r="N53" i="1"/>
  <c r="P53" i="1" s="1"/>
  <c r="AA53" i="1" s="1"/>
  <c r="R432" i="1"/>
  <c r="P57" i="1"/>
  <c r="AA57" i="1" s="1"/>
  <c r="M408" i="1"/>
  <c r="P408" i="1" s="1"/>
  <c r="AA408" i="1" s="1"/>
  <c r="P195" i="1"/>
  <c r="AA195" i="1" s="1"/>
  <c r="P90" i="1"/>
  <c r="AA90" i="1" s="1"/>
  <c r="P34" i="1"/>
  <c r="AA34" i="1" s="1"/>
  <c r="O70" i="1"/>
  <c r="AB70" i="1" s="1"/>
  <c r="P46" i="1"/>
  <c r="AA46" i="1" s="1"/>
  <c r="P80" i="1"/>
  <c r="AA80" i="1" s="1"/>
  <c r="O6" i="1"/>
  <c r="AB6" i="1" s="1"/>
  <c r="P18" i="1"/>
  <c r="AA18" i="1" s="1"/>
  <c r="P22" i="1"/>
  <c r="AA22" i="1" s="1"/>
  <c r="P99" i="1"/>
  <c r="AA99" i="1" s="1"/>
  <c r="P320" i="1"/>
  <c r="AA320" i="1" s="1"/>
  <c r="P91" i="1"/>
  <c r="AA91" i="1" s="1"/>
  <c r="P162" i="1"/>
  <c r="AA162" i="1" s="1"/>
  <c r="P50" i="1"/>
  <c r="AA50" i="1" s="1"/>
  <c r="P61" i="1"/>
  <c r="AA61" i="1" s="1"/>
  <c r="P123" i="1"/>
  <c r="AA123" i="1" s="1"/>
  <c r="P59" i="1"/>
  <c r="AA59" i="1" s="1"/>
  <c r="P339" i="1"/>
  <c r="AA339" i="1" s="1"/>
  <c r="P84" i="1"/>
  <c r="AA84" i="1" s="1"/>
  <c r="P12" i="1"/>
  <c r="AA12" i="1" s="1"/>
  <c r="P131" i="1"/>
  <c r="AA131" i="1" s="1"/>
  <c r="R131" i="1"/>
  <c r="M140" i="1"/>
  <c r="O140" i="1" s="1"/>
  <c r="AB140" i="1" s="1"/>
  <c r="P228" i="1"/>
  <c r="AA228" i="1" s="1"/>
  <c r="P124" i="1"/>
  <c r="AA124" i="1" s="1"/>
  <c r="R12" i="1"/>
  <c r="P122" i="1"/>
  <c r="AA122" i="1" s="1"/>
  <c r="N353" i="1"/>
  <c r="R353" i="1" s="1"/>
  <c r="P360" i="1"/>
  <c r="AA360" i="1" s="1"/>
  <c r="P558" i="1"/>
  <c r="AA558" i="1" s="1"/>
  <c r="P185" i="1"/>
  <c r="AA185" i="1" s="1"/>
  <c r="P225" i="1"/>
  <c r="AA225" i="1" s="1"/>
  <c r="P88" i="1"/>
  <c r="AA88" i="1" s="1"/>
  <c r="P56" i="1"/>
  <c r="AA56" i="1" s="1"/>
  <c r="P116" i="1"/>
  <c r="AA116" i="1" s="1"/>
  <c r="P187" i="1"/>
  <c r="AA187" i="1" s="1"/>
  <c r="P94" i="1"/>
  <c r="AA94" i="1" s="1"/>
  <c r="P321" i="1"/>
  <c r="AA321" i="1" s="1"/>
  <c r="P331" i="1"/>
  <c r="AA331" i="1" s="1"/>
  <c r="P631" i="1"/>
  <c r="AA631" i="1" s="1"/>
  <c r="M237" i="1"/>
  <c r="O237" i="1" s="1"/>
  <c r="AB237" i="1" s="1"/>
  <c r="P264" i="1"/>
  <c r="AA264" i="1" s="1"/>
  <c r="P191" i="1"/>
  <c r="AA191" i="1" s="1"/>
  <c r="P179" i="1"/>
  <c r="AA179" i="1" s="1"/>
  <c r="P125" i="1"/>
  <c r="AA125" i="1" s="1"/>
  <c r="P41" i="1"/>
  <c r="AA41" i="1" s="1"/>
  <c r="P460" i="1"/>
  <c r="AA460" i="1" s="1"/>
  <c r="R88" i="1"/>
  <c r="R56" i="1"/>
  <c r="P40" i="1"/>
  <c r="AA40" i="1" s="1"/>
  <c r="M76" i="1"/>
  <c r="O76" i="1" s="1"/>
  <c r="AB76" i="1" s="1"/>
  <c r="P165" i="1"/>
  <c r="AA165" i="1" s="1"/>
  <c r="P429" i="1"/>
  <c r="AA429" i="1" s="1"/>
  <c r="P16" i="1"/>
  <c r="AA16" i="1" s="1"/>
  <c r="P181" i="1"/>
  <c r="AA181" i="1" s="1"/>
  <c r="P684" i="1"/>
  <c r="AA684" i="1" s="1"/>
  <c r="P73" i="1"/>
  <c r="AA73" i="1" s="1"/>
  <c r="P44" i="1"/>
  <c r="AA44" i="1" s="1"/>
  <c r="P4" i="1"/>
  <c r="AA4" i="1" s="1"/>
  <c r="P593" i="1"/>
  <c r="AA593" i="1" s="1"/>
  <c r="O22" i="1"/>
  <c r="AB22" i="1" s="1"/>
  <c r="P147" i="1"/>
  <c r="AA147" i="1" s="1"/>
  <c r="P127" i="1"/>
  <c r="AA127" i="1" s="1"/>
  <c r="O61" i="1"/>
  <c r="AB61" i="1" s="1"/>
  <c r="P134" i="1"/>
  <c r="AA134" i="1" s="1"/>
  <c r="P143" i="1"/>
  <c r="AA143" i="1" s="1"/>
  <c r="O162" i="1"/>
  <c r="AB162" i="1" s="1"/>
  <c r="P267" i="1"/>
  <c r="AA267" i="1" s="1"/>
  <c r="P302" i="1"/>
  <c r="AA302" i="1" s="1"/>
  <c r="P367" i="1"/>
  <c r="AA367" i="1" s="1"/>
  <c r="O115" i="1"/>
  <c r="AB115" i="1" s="1"/>
  <c r="P72" i="1"/>
  <c r="AA72" i="1" s="1"/>
  <c r="P39" i="1"/>
  <c r="AA39" i="1" s="1"/>
  <c r="P109" i="1"/>
  <c r="AA109" i="1" s="1"/>
  <c r="P184" i="1"/>
  <c r="AA184" i="1" s="1"/>
  <c r="P464" i="1"/>
  <c r="AA464" i="1" s="1"/>
  <c r="P564" i="1"/>
  <c r="AA564" i="1" s="1"/>
  <c r="P725" i="1"/>
  <c r="AA725" i="1" s="1"/>
  <c r="O90" i="1"/>
  <c r="AB90" i="1" s="1"/>
  <c r="P553" i="1"/>
  <c r="AA553" i="1" s="1"/>
  <c r="O82" i="1"/>
  <c r="AB82" i="1" s="1"/>
  <c r="O50" i="1"/>
  <c r="AB50" i="1" s="1"/>
  <c r="P176" i="1"/>
  <c r="AA176" i="1" s="1"/>
  <c r="P199" i="1"/>
  <c r="AA199" i="1" s="1"/>
  <c r="M205" i="1"/>
  <c r="O205" i="1" s="1"/>
  <c r="AB205" i="1" s="1"/>
  <c r="N300" i="1"/>
  <c r="R300" i="1" s="1"/>
  <c r="R321" i="1"/>
  <c r="P546" i="1"/>
  <c r="AA546" i="1" s="1"/>
  <c r="P201" i="1"/>
  <c r="AA201" i="1" s="1"/>
  <c r="P446" i="1"/>
  <c r="AA446" i="1" s="1"/>
  <c r="P213" i="1"/>
  <c r="AA213" i="1" s="1"/>
  <c r="P103" i="1"/>
  <c r="AA103" i="1" s="1"/>
  <c r="P68" i="1"/>
  <c r="AA68" i="1" s="1"/>
  <c r="P32" i="1"/>
  <c r="AA32" i="1" s="1"/>
  <c r="P200" i="1"/>
  <c r="AA200" i="1" s="1"/>
  <c r="N25" i="1"/>
  <c r="R25" i="1" s="1"/>
  <c r="P10" i="1"/>
  <c r="AA10" i="1" s="1"/>
  <c r="P392" i="1"/>
  <c r="AA392" i="1" s="1"/>
  <c r="P538" i="1"/>
  <c r="AA538" i="1" s="1"/>
  <c r="R68" i="1"/>
  <c r="P7" i="1"/>
  <c r="AA7" i="1" s="1"/>
  <c r="M97" i="1"/>
  <c r="O97" i="1" s="1"/>
  <c r="AB97" i="1" s="1"/>
  <c r="P218" i="1"/>
  <c r="AA218" i="1" s="1"/>
  <c r="P418" i="1"/>
  <c r="AA418" i="1" s="1"/>
  <c r="P509" i="1"/>
  <c r="AA509" i="1" s="1"/>
  <c r="R558" i="1"/>
  <c r="P266" i="1"/>
  <c r="AA266" i="1" s="1"/>
  <c r="R41" i="1"/>
  <c r="O220" i="1"/>
  <c r="AB220" i="1" s="1"/>
  <c r="Y456" i="1"/>
  <c r="AB456" i="1" s="1"/>
  <c r="P470" i="1"/>
  <c r="AA470" i="1" s="1"/>
  <c r="P455" i="1"/>
  <c r="AA455" i="1" s="1"/>
  <c r="P576" i="1"/>
  <c r="AA576" i="1" s="1"/>
  <c r="R103" i="1"/>
  <c r="R179" i="1"/>
  <c r="P63" i="1"/>
  <c r="AA63" i="1" s="1"/>
  <c r="P52" i="1"/>
  <c r="AA52" i="1" s="1"/>
  <c r="P230" i="1"/>
  <c r="AA230" i="1" s="1"/>
  <c r="P293" i="1"/>
  <c r="AA293" i="1" s="1"/>
  <c r="P403" i="1"/>
  <c r="AA403" i="1" s="1"/>
  <c r="R460" i="1"/>
  <c r="P707" i="1"/>
  <c r="AA707" i="1" s="1"/>
  <c r="P733" i="1"/>
  <c r="AA733" i="1" s="1"/>
  <c r="R32" i="1"/>
  <c r="P96" i="1"/>
  <c r="AA96" i="1" s="1"/>
  <c r="R125" i="1"/>
  <c r="P157" i="1"/>
  <c r="AA157" i="1" s="1"/>
  <c r="P210" i="1"/>
  <c r="AA210" i="1" s="1"/>
  <c r="R213" i="1"/>
  <c r="P144" i="1"/>
  <c r="AA144" i="1" s="1"/>
  <c r="P277" i="1"/>
  <c r="AA277" i="1" s="1"/>
  <c r="P407" i="1"/>
  <c r="AA407" i="1" s="1"/>
  <c r="R455" i="1"/>
  <c r="P573" i="1"/>
  <c r="AA573" i="1" s="1"/>
  <c r="P644" i="1"/>
  <c r="AA644" i="1" s="1"/>
  <c r="P675" i="1"/>
  <c r="AA675" i="1" s="1"/>
  <c r="N14" i="1"/>
  <c r="R14" i="1" s="1"/>
  <c r="N29" i="1"/>
  <c r="R29" i="1" s="1"/>
  <c r="P79" i="1"/>
  <c r="AA79" i="1" s="1"/>
  <c r="P198" i="1"/>
  <c r="AA198" i="1" s="1"/>
  <c r="N311" i="1"/>
  <c r="R311" i="1" s="1"/>
  <c r="P426" i="1"/>
  <c r="AA426" i="1" s="1"/>
  <c r="P533" i="1"/>
  <c r="AA533" i="1" s="1"/>
  <c r="P734" i="1"/>
  <c r="AA734" i="1" s="1"/>
  <c r="N11" i="1"/>
  <c r="R11" i="1" s="1"/>
  <c r="P77" i="1"/>
  <c r="AA77" i="1" s="1"/>
  <c r="O91" i="1"/>
  <c r="AB91" i="1" s="1"/>
  <c r="O123" i="1"/>
  <c r="AB123" i="1" s="1"/>
  <c r="P130" i="1"/>
  <c r="AA130" i="1" s="1"/>
  <c r="M209" i="1"/>
  <c r="O209" i="1" s="1"/>
  <c r="AB209" i="1" s="1"/>
  <c r="P239" i="1"/>
  <c r="AA239" i="1" s="1"/>
  <c r="P281" i="1"/>
  <c r="AA281" i="1" s="1"/>
  <c r="M357" i="1"/>
  <c r="O357" i="1" s="1"/>
  <c r="AB357" i="1" s="1"/>
  <c r="P363" i="1"/>
  <c r="AA363" i="1" s="1"/>
  <c r="P373" i="1"/>
  <c r="AA373" i="1" s="1"/>
  <c r="N381" i="1"/>
  <c r="R381" i="1" s="1"/>
  <c r="N400" i="1"/>
  <c r="P400" i="1" s="1"/>
  <c r="AA400" i="1" s="1"/>
  <c r="P454" i="1"/>
  <c r="AA454" i="1" s="1"/>
  <c r="O464" i="1"/>
  <c r="AB464" i="1" s="1"/>
  <c r="P561" i="1"/>
  <c r="AA561" i="1" s="1"/>
  <c r="P567" i="1"/>
  <c r="AA567" i="1" s="1"/>
  <c r="P618" i="1"/>
  <c r="AA618" i="1" s="1"/>
  <c r="P620" i="1"/>
  <c r="AA620" i="1" s="1"/>
  <c r="P649" i="1"/>
  <c r="AA649" i="1" s="1"/>
  <c r="P723" i="1"/>
  <c r="AA723" i="1" s="1"/>
  <c r="R733" i="1"/>
  <c r="P133" i="1"/>
  <c r="AA133" i="1" s="1"/>
  <c r="P175" i="1"/>
  <c r="AA175" i="1" s="1"/>
  <c r="P391" i="1"/>
  <c r="AA391" i="1" s="1"/>
  <c r="O200" i="1"/>
  <c r="AB200" i="1" s="1"/>
  <c r="O59" i="1"/>
  <c r="AB59" i="1" s="1"/>
  <c r="P136" i="1"/>
  <c r="AA136" i="1" s="1"/>
  <c r="P154" i="1"/>
  <c r="AA154" i="1" s="1"/>
  <c r="P183" i="1"/>
  <c r="AA183" i="1" s="1"/>
  <c r="P180" i="1"/>
  <c r="AA180" i="1" s="1"/>
  <c r="N402" i="1"/>
  <c r="P431" i="1"/>
  <c r="AA431" i="1" s="1"/>
  <c r="P456" i="1"/>
  <c r="AA456" i="1" s="1"/>
  <c r="P491" i="1"/>
  <c r="AA491" i="1" s="1"/>
  <c r="P522" i="1"/>
  <c r="AA522" i="1" s="1"/>
  <c r="AA554" i="1"/>
  <c r="P587" i="1"/>
  <c r="AA587" i="1" s="1"/>
  <c r="P87" i="1"/>
  <c r="AA87" i="1" s="1"/>
  <c r="P89" i="1"/>
  <c r="AA89" i="1" s="1"/>
  <c r="O57" i="1"/>
  <c r="AB57" i="1" s="1"/>
  <c r="P192" i="1"/>
  <c r="AA192" i="1" s="1"/>
  <c r="P222" i="1"/>
  <c r="AA222" i="1" s="1"/>
  <c r="P66" i="1"/>
  <c r="AA66" i="1" s="1"/>
  <c r="P55" i="1"/>
  <c r="AA55" i="1" s="1"/>
  <c r="P15" i="1"/>
  <c r="AA15" i="1" s="1"/>
  <c r="P241" i="1"/>
  <c r="AA241" i="1" s="1"/>
  <c r="P268" i="1"/>
  <c r="AA268" i="1" s="1"/>
  <c r="P275" i="1"/>
  <c r="AA275" i="1" s="1"/>
  <c r="M323" i="1"/>
  <c r="O323" i="1" s="1"/>
  <c r="AB323" i="1" s="1"/>
  <c r="P315" i="1"/>
  <c r="AA315" i="1" s="1"/>
  <c r="P486" i="1"/>
  <c r="AA486" i="1" s="1"/>
  <c r="P632" i="1"/>
  <c r="AA632" i="1" s="1"/>
  <c r="P335" i="1"/>
  <c r="AA335" i="1" s="1"/>
  <c r="P170" i="1"/>
  <c r="AA170" i="1" s="1"/>
  <c r="M305" i="1"/>
  <c r="O305" i="1" s="1"/>
  <c r="AB305" i="1" s="1"/>
  <c r="P308" i="1"/>
  <c r="AA308" i="1" s="1"/>
  <c r="P346" i="1"/>
  <c r="AA346" i="1" s="1"/>
  <c r="O426" i="1"/>
  <c r="AB426" i="1" s="1"/>
  <c r="O446" i="1"/>
  <c r="AB446" i="1" s="1"/>
  <c r="P506" i="1"/>
  <c r="AA506" i="1" s="1"/>
  <c r="P517" i="1"/>
  <c r="AA517" i="1" s="1"/>
  <c r="P580" i="1"/>
  <c r="AA580" i="1" s="1"/>
  <c r="P647" i="1"/>
  <c r="AA647" i="1" s="1"/>
  <c r="P229" i="1"/>
  <c r="AA229" i="1" s="1"/>
  <c r="P442" i="1"/>
  <c r="AA442" i="1" s="1"/>
  <c r="P49" i="1"/>
  <c r="AA49" i="1" s="1"/>
  <c r="P204" i="1"/>
  <c r="AA204" i="1" s="1"/>
  <c r="O230" i="1"/>
  <c r="AB230" i="1" s="1"/>
  <c r="P715" i="1"/>
  <c r="AA715" i="1" s="1"/>
  <c r="O94" i="1"/>
  <c r="AB94" i="1" s="1"/>
  <c r="O187" i="1"/>
  <c r="AB187" i="1" s="1"/>
  <c r="O129" i="1"/>
  <c r="AB129" i="1" s="1"/>
  <c r="P129" i="1"/>
  <c r="AA129" i="1" s="1"/>
  <c r="P443" i="1"/>
  <c r="AA443" i="1" s="1"/>
  <c r="R376" i="1"/>
  <c r="P376" i="1"/>
  <c r="AA376" i="1" s="1"/>
  <c r="R359" i="1"/>
  <c r="P359" i="1"/>
  <c r="AA359" i="1" s="1"/>
  <c r="P340" i="1"/>
  <c r="AA340" i="1" s="1"/>
  <c r="R340" i="1"/>
  <c r="R316" i="1"/>
  <c r="P316" i="1"/>
  <c r="AA316" i="1" s="1"/>
  <c r="R271" i="1"/>
  <c r="P271" i="1"/>
  <c r="AA271" i="1" s="1"/>
  <c r="P263" i="1"/>
  <c r="AA263" i="1" s="1"/>
  <c r="R235" i="1"/>
  <c r="P235" i="1"/>
  <c r="AA235" i="1" s="1"/>
  <c r="P189" i="1"/>
  <c r="AA189" i="1" s="1"/>
  <c r="R189" i="1"/>
  <c r="P177" i="1"/>
  <c r="AA177" i="1" s="1"/>
  <c r="R177" i="1"/>
  <c r="O452" i="1"/>
  <c r="AB452" i="1" s="1"/>
  <c r="P452" i="1"/>
  <c r="AA452" i="1" s="1"/>
  <c r="P231" i="1"/>
  <c r="AA231" i="1" s="1"/>
  <c r="O231" i="1"/>
  <c r="AB231" i="1" s="1"/>
  <c r="N361" i="1"/>
  <c r="R361" i="1" s="1"/>
  <c r="M361" i="1"/>
  <c r="O361" i="1" s="1"/>
  <c r="AB361" i="1" s="1"/>
  <c r="R536" i="1"/>
  <c r="P536" i="1"/>
  <c r="AA536" i="1" s="1"/>
  <c r="O180" i="1"/>
  <c r="AB180" i="1" s="1"/>
  <c r="P105" i="1"/>
  <c r="AA105" i="1" s="1"/>
  <c r="O105" i="1"/>
  <c r="AB105" i="1" s="1"/>
  <c r="P343" i="1"/>
  <c r="AA343" i="1" s="1"/>
  <c r="O343" i="1"/>
  <c r="AB343" i="1" s="1"/>
  <c r="R297" i="1"/>
  <c r="P297" i="1"/>
  <c r="AA297" i="1" s="1"/>
  <c r="P278" i="1"/>
  <c r="AA278" i="1" s="1"/>
  <c r="R278" i="1"/>
  <c r="R233" i="1"/>
  <c r="P233" i="1"/>
  <c r="AA233" i="1" s="1"/>
  <c r="R149" i="1"/>
  <c r="P149" i="1"/>
  <c r="AA149" i="1" s="1"/>
  <c r="P466" i="1"/>
  <c r="AA466" i="1" s="1"/>
  <c r="O466" i="1"/>
  <c r="AB466" i="1" s="1"/>
  <c r="R613" i="1"/>
  <c r="P613" i="1"/>
  <c r="AA613" i="1" s="1"/>
  <c r="R671" i="1"/>
  <c r="P671" i="1"/>
  <c r="AA671" i="1" s="1"/>
  <c r="P285" i="1"/>
  <c r="AA285" i="1" s="1"/>
  <c r="O285" i="1"/>
  <c r="AB285" i="1" s="1"/>
  <c r="R704" i="1"/>
  <c r="P704" i="1"/>
  <c r="AA704" i="1" s="1"/>
  <c r="P258" i="1"/>
  <c r="AA258" i="1" s="1"/>
  <c r="M324" i="1"/>
  <c r="P43" i="1"/>
  <c r="AA43" i="1" s="1"/>
  <c r="O15" i="1"/>
  <c r="AB15" i="1" s="1"/>
  <c r="O127" i="1"/>
  <c r="AB127" i="1" s="1"/>
  <c r="O147" i="1"/>
  <c r="AB147" i="1" s="1"/>
  <c r="P215" i="1"/>
  <c r="AA215" i="1" s="1"/>
  <c r="O255" i="1"/>
  <c r="AB255" i="1" s="1"/>
  <c r="P255" i="1"/>
  <c r="AA255" i="1" s="1"/>
  <c r="M309" i="1"/>
  <c r="O309" i="1" s="1"/>
  <c r="AB309" i="1" s="1"/>
  <c r="N309" i="1"/>
  <c r="M326" i="1"/>
  <c r="O326" i="1" s="1"/>
  <c r="AB326" i="1" s="1"/>
  <c r="N326" i="1"/>
  <c r="R326" i="1" s="1"/>
  <c r="R634" i="1"/>
  <c r="P634" i="1"/>
  <c r="AA634" i="1" s="1"/>
  <c r="P689" i="1"/>
  <c r="AA689" i="1" s="1"/>
  <c r="R689" i="1"/>
  <c r="P705" i="1"/>
  <c r="AA705" i="1" s="1"/>
  <c r="R705" i="1"/>
  <c r="P545" i="1"/>
  <c r="AA545" i="1" s="1"/>
  <c r="R545" i="1"/>
  <c r="R616" i="1"/>
  <c r="P616" i="1"/>
  <c r="AA616" i="1" s="1"/>
  <c r="P93" i="1"/>
  <c r="AA93" i="1" s="1"/>
  <c r="O93" i="1"/>
  <c r="AB93" i="1" s="1"/>
  <c r="N8" i="1"/>
  <c r="R8" i="1" s="1"/>
  <c r="N20" i="1"/>
  <c r="R20" i="1" s="1"/>
  <c r="P120" i="1"/>
  <c r="AA120" i="1" s="1"/>
  <c r="P138" i="1"/>
  <c r="AA138" i="1" s="1"/>
  <c r="M188" i="1"/>
  <c r="O188" i="1" s="1"/>
  <c r="AB188" i="1" s="1"/>
  <c r="N188" i="1"/>
  <c r="R188" i="1" s="1"/>
  <c r="O234" i="1"/>
  <c r="AB234" i="1" s="1"/>
  <c r="P234" i="1"/>
  <c r="AA234" i="1" s="1"/>
  <c r="P282" i="1"/>
  <c r="AA282" i="1" s="1"/>
  <c r="O282" i="1"/>
  <c r="AB282" i="1" s="1"/>
  <c r="O290" i="1"/>
  <c r="AB290" i="1" s="1"/>
  <c r="P290" i="1"/>
  <c r="AA290" i="1" s="1"/>
  <c r="O319" i="1"/>
  <c r="AB319" i="1" s="1"/>
  <c r="P319" i="1"/>
  <c r="AA319" i="1" s="1"/>
  <c r="P697" i="1"/>
  <c r="AA697" i="1" s="1"/>
  <c r="R697" i="1"/>
  <c r="O4" i="1"/>
  <c r="AB4" i="1" s="1"/>
  <c r="O44" i="1"/>
  <c r="AB44" i="1" s="1"/>
  <c r="P95" i="1"/>
  <c r="AA95" i="1" s="1"/>
  <c r="P167" i="1"/>
  <c r="AA167" i="1" s="1"/>
  <c r="P196" i="1"/>
  <c r="AA196" i="1" s="1"/>
  <c r="P253" i="1"/>
  <c r="AA253" i="1" s="1"/>
  <c r="R461" i="1"/>
  <c r="P461" i="1"/>
  <c r="AA461" i="1" s="1"/>
  <c r="R660" i="1"/>
  <c r="P660" i="1"/>
  <c r="AA660" i="1" s="1"/>
  <c r="O714" i="1"/>
  <c r="AB714" i="1" s="1"/>
  <c r="P714" i="1"/>
  <c r="AA714" i="1" s="1"/>
  <c r="N98" i="1"/>
  <c r="R98" i="1" s="1"/>
  <c r="M98" i="1"/>
  <c r="O98" i="1" s="1"/>
  <c r="AB98" i="1" s="1"/>
  <c r="M216" i="1"/>
  <c r="O216" i="1" s="1"/>
  <c r="AB216" i="1" s="1"/>
  <c r="N216" i="1"/>
  <c r="R216" i="1" s="1"/>
  <c r="P178" i="1"/>
  <c r="AA178" i="1" s="1"/>
  <c r="O178" i="1"/>
  <c r="AB178" i="1" s="1"/>
  <c r="P78" i="1"/>
  <c r="AA78" i="1" s="1"/>
  <c r="M173" i="1"/>
  <c r="O173" i="1" s="1"/>
  <c r="AB173" i="1" s="1"/>
  <c r="N173" i="1"/>
  <c r="R173" i="1" s="1"/>
  <c r="R539" i="1"/>
  <c r="P539" i="1"/>
  <c r="AA539" i="1" s="1"/>
  <c r="P478" i="1"/>
  <c r="AA478" i="1" s="1"/>
  <c r="P574" i="1"/>
  <c r="AA574" i="1" s="1"/>
  <c r="P594" i="1"/>
  <c r="AA594" i="1" s="1"/>
  <c r="P595" i="1"/>
  <c r="AA595" i="1" s="1"/>
  <c r="P683" i="1"/>
  <c r="AA683" i="1" s="1"/>
  <c r="P690" i="1"/>
  <c r="AA690" i="1" s="1"/>
  <c r="N244" i="1"/>
  <c r="P244" i="1" s="1"/>
  <c r="AA244" i="1" s="1"/>
  <c r="O281" i="1"/>
  <c r="AB281" i="1" s="1"/>
  <c r="P291" i="1"/>
  <c r="AA291" i="1" s="1"/>
  <c r="O391" i="1"/>
  <c r="AB391" i="1" s="1"/>
  <c r="N406" i="1"/>
  <c r="R406" i="1" s="1"/>
  <c r="O418" i="1"/>
  <c r="AB418" i="1" s="1"/>
  <c r="P441" i="1"/>
  <c r="AA441" i="1" s="1"/>
  <c r="P503" i="1"/>
  <c r="AA503" i="1" s="1"/>
  <c r="P537" i="1"/>
  <c r="AA537" i="1" s="1"/>
  <c r="P585" i="1"/>
  <c r="AA585" i="1" s="1"/>
  <c r="R595" i="1"/>
  <c r="P604" i="1"/>
  <c r="AA604" i="1" s="1"/>
  <c r="P610" i="1"/>
  <c r="AA610" i="1" s="1"/>
  <c r="P661" i="1"/>
  <c r="AA661" i="1" s="1"/>
  <c r="P681" i="1"/>
  <c r="AA681" i="1" s="1"/>
  <c r="R684" i="1"/>
  <c r="P698" i="1"/>
  <c r="AA698" i="1" s="1"/>
  <c r="P719" i="1"/>
  <c r="AA719" i="1" s="1"/>
  <c r="P401" i="1"/>
  <c r="AA401" i="1" s="1"/>
  <c r="P354" i="1"/>
  <c r="AA354" i="1" s="1"/>
  <c r="P543" i="1"/>
  <c r="AA543" i="1" s="1"/>
  <c r="O564" i="1"/>
  <c r="AB564" i="1" s="1"/>
  <c r="P596" i="1"/>
  <c r="AA596" i="1" s="1"/>
  <c r="P655" i="1"/>
  <c r="AA655" i="1" s="1"/>
  <c r="P182" i="1"/>
  <c r="AA182" i="1" s="1"/>
  <c r="M274" i="1"/>
  <c r="O274" i="1" s="1"/>
  <c r="AB274" i="1" s="1"/>
  <c r="N382" i="1"/>
  <c r="R382" i="1" s="1"/>
  <c r="P423" i="1"/>
  <c r="AA423" i="1" s="1"/>
  <c r="P227" i="1"/>
  <c r="AA227" i="1" s="1"/>
  <c r="P356" i="1"/>
  <c r="AA356" i="1" s="1"/>
  <c r="P379" i="1"/>
  <c r="AA379" i="1" s="1"/>
  <c r="P390" i="1"/>
  <c r="AA390" i="1" s="1"/>
  <c r="R478" i="1"/>
  <c r="P511" i="1"/>
  <c r="AA511" i="1" s="1"/>
  <c r="P527" i="1"/>
  <c r="AA527" i="1" s="1"/>
  <c r="P662" i="1"/>
  <c r="AA662" i="1" s="1"/>
  <c r="P703" i="1"/>
  <c r="AA703" i="1" s="1"/>
  <c r="P217" i="1"/>
  <c r="AA217" i="1" s="1"/>
  <c r="P139" i="1"/>
  <c r="AA139" i="1" s="1"/>
  <c r="P299" i="1"/>
  <c r="AA299" i="1" s="1"/>
  <c r="P413" i="1"/>
  <c r="AA413" i="1" s="1"/>
  <c r="P416" i="1"/>
  <c r="AA416" i="1" s="1"/>
  <c r="P405" i="1"/>
  <c r="AA405" i="1" s="1"/>
  <c r="P477" i="1"/>
  <c r="AA477" i="1" s="1"/>
  <c r="P510" i="1"/>
  <c r="AA510" i="1" s="1"/>
  <c r="P636" i="1"/>
  <c r="AA636" i="1" s="1"/>
  <c r="P692" i="1"/>
  <c r="AA692" i="1" s="1"/>
  <c r="O8" i="1"/>
  <c r="AB8" i="1" s="1"/>
  <c r="O11" i="1"/>
  <c r="AB11" i="1" s="1"/>
  <c r="O203" i="1"/>
  <c r="AB203" i="1" s="1"/>
  <c r="P203" i="1"/>
  <c r="AA203" i="1" s="1"/>
  <c r="M128" i="1"/>
  <c r="O128" i="1" s="1"/>
  <c r="AB128" i="1" s="1"/>
  <c r="N128" i="1"/>
  <c r="R128" i="1" s="1"/>
  <c r="O126" i="1"/>
  <c r="AB126" i="1" s="1"/>
  <c r="P126" i="1"/>
  <c r="AA126" i="1" s="1"/>
  <c r="O242" i="1"/>
  <c r="AB242" i="1" s="1"/>
  <c r="P242" i="1"/>
  <c r="AA242" i="1" s="1"/>
  <c r="P301" i="1"/>
  <c r="AA301" i="1" s="1"/>
  <c r="O301" i="1"/>
  <c r="AB301" i="1" s="1"/>
  <c r="P473" i="1"/>
  <c r="AA473" i="1" s="1"/>
  <c r="O473" i="1"/>
  <c r="AB473" i="1" s="1"/>
  <c r="R534" i="1"/>
  <c r="P534" i="1"/>
  <c r="AA534" i="1" s="1"/>
  <c r="P562" i="1"/>
  <c r="AA562" i="1" s="1"/>
  <c r="R562" i="1"/>
  <c r="O265" i="1"/>
  <c r="AB265" i="1" s="1"/>
  <c r="P265" i="1"/>
  <c r="AA265" i="1" s="1"/>
  <c r="O84" i="1"/>
  <c r="AB84" i="1" s="1"/>
  <c r="N64" i="1"/>
  <c r="M164" i="1"/>
  <c r="O164" i="1" s="1"/>
  <c r="AB164" i="1" s="1"/>
  <c r="N164" i="1"/>
  <c r="R164" i="1" s="1"/>
  <c r="O195" i="1"/>
  <c r="AB195" i="1" s="1"/>
  <c r="P306" i="1"/>
  <c r="AA306" i="1" s="1"/>
  <c r="O306" i="1"/>
  <c r="AB306" i="1" s="1"/>
  <c r="P383" i="1"/>
  <c r="AA383" i="1" s="1"/>
  <c r="P450" i="1"/>
  <c r="AA450" i="1" s="1"/>
  <c r="R450" i="1"/>
  <c r="P520" i="1"/>
  <c r="AA520" i="1" s="1"/>
  <c r="R520" i="1"/>
  <c r="R677" i="1"/>
  <c r="P677" i="1"/>
  <c r="AA677" i="1" s="1"/>
  <c r="M325" i="1"/>
  <c r="O325" i="1" s="1"/>
  <c r="AB325" i="1" s="1"/>
  <c r="P151" i="1"/>
  <c r="AA151" i="1" s="1"/>
  <c r="O217" i="1"/>
  <c r="AB217" i="1" s="1"/>
  <c r="P279" i="1"/>
  <c r="AA279" i="1" s="1"/>
  <c r="O279" i="1"/>
  <c r="AB279" i="1" s="1"/>
  <c r="R36" i="1"/>
  <c r="N92" i="1"/>
  <c r="R92" i="1" s="1"/>
  <c r="M145" i="1"/>
  <c r="O145" i="1" s="1"/>
  <c r="AB145" i="1" s="1"/>
  <c r="O287" i="1"/>
  <c r="AB287" i="1" s="1"/>
  <c r="P287" i="1"/>
  <c r="AA287" i="1" s="1"/>
  <c r="R237" i="1"/>
  <c r="O344" i="1"/>
  <c r="AB344" i="1" s="1"/>
  <c r="P344" i="1"/>
  <c r="AA344" i="1" s="1"/>
  <c r="R447" i="1"/>
  <c r="P447" i="1"/>
  <c r="AA447" i="1" s="1"/>
  <c r="O451" i="1"/>
  <c r="AB451" i="1" s="1"/>
  <c r="P451" i="1"/>
  <c r="AA451" i="1" s="1"/>
  <c r="R453" i="1"/>
  <c r="P453" i="1"/>
  <c r="AA453" i="1" s="1"/>
  <c r="O409" i="1"/>
  <c r="AB409" i="1" s="1"/>
  <c r="P409" i="1"/>
  <c r="AA409" i="1" s="1"/>
  <c r="O174" i="1"/>
  <c r="AB174" i="1" s="1"/>
  <c r="P174" i="1"/>
  <c r="AA174" i="1" s="1"/>
  <c r="O256" i="1"/>
  <c r="AB256" i="1" s="1"/>
  <c r="P256" i="1"/>
  <c r="AA256" i="1" s="1"/>
  <c r="N303" i="1"/>
  <c r="M303" i="1"/>
  <c r="O303" i="1" s="1"/>
  <c r="AB303" i="1" s="1"/>
  <c r="O362" i="1"/>
  <c r="AB362" i="1" s="1"/>
  <c r="P362" i="1"/>
  <c r="AA362" i="1" s="1"/>
  <c r="R659" i="1"/>
  <c r="P659" i="1"/>
  <c r="AA659" i="1" s="1"/>
  <c r="O206" i="1"/>
  <c r="AB206" i="1" s="1"/>
  <c r="P206" i="1"/>
  <c r="AA206" i="1" s="1"/>
  <c r="P251" i="1"/>
  <c r="AA251" i="1" s="1"/>
  <c r="O251" i="1"/>
  <c r="AB251" i="1" s="1"/>
  <c r="P328" i="1"/>
  <c r="AA328" i="1" s="1"/>
  <c r="O358" i="1"/>
  <c r="AB358" i="1" s="1"/>
  <c r="P358" i="1"/>
  <c r="AA358" i="1" s="1"/>
  <c r="P368" i="1"/>
  <c r="AA368" i="1" s="1"/>
  <c r="M60" i="1"/>
  <c r="O60" i="1" s="1"/>
  <c r="AB60" i="1" s="1"/>
  <c r="N60" i="1"/>
  <c r="R60" i="1" s="1"/>
  <c r="O247" i="1"/>
  <c r="AB247" i="1" s="1"/>
  <c r="P247" i="1"/>
  <c r="AA247" i="1" s="1"/>
  <c r="O352" i="1"/>
  <c r="AB352" i="1" s="1"/>
  <c r="P352" i="1"/>
  <c r="AA352" i="1" s="1"/>
  <c r="G258" i="1"/>
  <c r="P117" i="1"/>
  <c r="AA117" i="1" s="1"/>
  <c r="P146" i="1"/>
  <c r="AA146" i="1" s="1"/>
  <c r="P224" i="1"/>
  <c r="AA224" i="1" s="1"/>
  <c r="O224" i="1"/>
  <c r="AB224" i="1" s="1"/>
  <c r="O148" i="1"/>
  <c r="AB148" i="1" s="1"/>
  <c r="P148" i="1"/>
  <c r="AA148" i="1" s="1"/>
  <c r="O248" i="1"/>
  <c r="AB248" i="1" s="1"/>
  <c r="P248" i="1"/>
  <c r="AA248" i="1" s="1"/>
  <c r="P276" i="1"/>
  <c r="AA276" i="1" s="1"/>
  <c r="O276" i="1"/>
  <c r="AB276" i="1" s="1"/>
  <c r="P385" i="1"/>
  <c r="AA385" i="1" s="1"/>
  <c r="O385" i="1"/>
  <c r="AB385" i="1" s="1"/>
  <c r="R569" i="1"/>
  <c r="P569" i="1"/>
  <c r="AA569" i="1" s="1"/>
  <c r="P280" i="1"/>
  <c r="AA280" i="1" s="1"/>
  <c r="P304" i="1"/>
  <c r="AA304" i="1" s="1"/>
  <c r="P439" i="1"/>
  <c r="AA439" i="1" s="1"/>
  <c r="R439" i="1"/>
  <c r="P591" i="1"/>
  <c r="AA591" i="1" s="1"/>
  <c r="AA706" i="1"/>
  <c r="R706" i="1"/>
  <c r="P121" i="1"/>
  <c r="AA121" i="1" s="1"/>
  <c r="O264" i="1"/>
  <c r="AB264" i="1" s="1"/>
  <c r="O302" i="1"/>
  <c r="AB302" i="1" s="1"/>
  <c r="O308" i="1"/>
  <c r="AB308" i="1" s="1"/>
  <c r="P317" i="1"/>
  <c r="AA317" i="1" s="1"/>
  <c r="P333" i="1"/>
  <c r="AA333" i="1" s="1"/>
  <c r="P318" i="1"/>
  <c r="AA318" i="1" s="1"/>
  <c r="P345" i="1"/>
  <c r="AA345" i="1" s="1"/>
  <c r="P347" i="1"/>
  <c r="AA347" i="1" s="1"/>
  <c r="O356" i="1"/>
  <c r="AB356" i="1" s="1"/>
  <c r="P380" i="1"/>
  <c r="AA380" i="1" s="1"/>
  <c r="R405" i="1"/>
  <c r="R416" i="1"/>
  <c r="P467" i="1"/>
  <c r="AA467" i="1" s="1"/>
  <c r="R484" i="1"/>
  <c r="P484" i="1"/>
  <c r="AA484" i="1" s="1"/>
  <c r="O563" i="1"/>
  <c r="AB563" i="1" s="1"/>
  <c r="P563" i="1"/>
  <c r="AA563" i="1" s="1"/>
  <c r="O635" i="1"/>
  <c r="AB635" i="1" s="1"/>
  <c r="P635" i="1"/>
  <c r="AA635" i="1" s="1"/>
  <c r="P643" i="1"/>
  <c r="AA643" i="1" s="1"/>
  <c r="O643" i="1"/>
  <c r="AB643" i="1" s="1"/>
  <c r="R654" i="1"/>
  <c r="P654" i="1"/>
  <c r="AA654" i="1" s="1"/>
  <c r="P688" i="1"/>
  <c r="AA688" i="1" s="1"/>
  <c r="R732" i="1"/>
  <c r="P732" i="1"/>
  <c r="AA732" i="1" s="1"/>
  <c r="M427" i="1"/>
  <c r="O427" i="1" s="1"/>
  <c r="AB427" i="1" s="1"/>
  <c r="N427" i="1"/>
  <c r="R427" i="1" s="1"/>
  <c r="P425" i="1"/>
  <c r="AA425" i="1" s="1"/>
  <c r="R425" i="1"/>
  <c r="P483" i="1"/>
  <c r="AA483" i="1" s="1"/>
  <c r="O483" i="1"/>
  <c r="AB483" i="1" s="1"/>
  <c r="P490" i="1"/>
  <c r="AA490" i="1" s="1"/>
  <c r="R490" i="1"/>
  <c r="P523" i="1"/>
  <c r="AA523" i="1" s="1"/>
  <c r="R523" i="1"/>
  <c r="P529" i="1"/>
  <c r="AA529" i="1" s="1"/>
  <c r="R529" i="1"/>
  <c r="P731" i="1"/>
  <c r="AA731" i="1" s="1"/>
  <c r="R731" i="1"/>
  <c r="P284" i="1"/>
  <c r="AA284" i="1" s="1"/>
  <c r="M330" i="1"/>
  <c r="O330" i="1" s="1"/>
  <c r="AB330" i="1" s="1"/>
  <c r="O417" i="1"/>
  <c r="AB417" i="1" s="1"/>
  <c r="P417" i="1"/>
  <c r="AA417" i="1" s="1"/>
  <c r="P444" i="1"/>
  <c r="AA444" i="1" s="1"/>
  <c r="O444" i="1"/>
  <c r="AB444" i="1" s="1"/>
  <c r="O518" i="1"/>
  <c r="AB518" i="1" s="1"/>
  <c r="P518" i="1"/>
  <c r="AA518" i="1" s="1"/>
  <c r="O521" i="1"/>
  <c r="AB521" i="1" s="1"/>
  <c r="P521" i="1"/>
  <c r="AA521" i="1" s="1"/>
  <c r="P556" i="1"/>
  <c r="AA556" i="1" s="1"/>
  <c r="R556" i="1"/>
  <c r="R601" i="1"/>
  <c r="P601" i="1"/>
  <c r="AA601" i="1" s="1"/>
  <c r="O701" i="1"/>
  <c r="AB701" i="1" s="1"/>
  <c r="P701" i="1"/>
  <c r="AA701" i="1" s="1"/>
  <c r="P269" i="1"/>
  <c r="AA269" i="1" s="1"/>
  <c r="O413" i="1"/>
  <c r="AB413" i="1" s="1"/>
  <c r="O449" i="1"/>
  <c r="AB449" i="1" s="1"/>
  <c r="P449" i="1"/>
  <c r="AA449" i="1" s="1"/>
  <c r="P525" i="1"/>
  <c r="AA525" i="1" s="1"/>
  <c r="O597" i="1"/>
  <c r="AB597" i="1" s="1"/>
  <c r="P597" i="1"/>
  <c r="AA597" i="1" s="1"/>
  <c r="O619" i="1"/>
  <c r="AB619" i="1" s="1"/>
  <c r="P619" i="1"/>
  <c r="AA619" i="1" s="1"/>
  <c r="P637" i="1"/>
  <c r="AA637" i="1" s="1"/>
  <c r="O685" i="1"/>
  <c r="AB685" i="1" s="1"/>
  <c r="P685" i="1"/>
  <c r="AA685" i="1" s="1"/>
  <c r="O724" i="1"/>
  <c r="AB724" i="1" s="1"/>
  <c r="P724" i="1"/>
  <c r="AA724" i="1" s="1"/>
  <c r="P270" i="1"/>
  <c r="AA270" i="1" s="1"/>
  <c r="P283" i="1"/>
  <c r="AA283" i="1" s="1"/>
  <c r="P468" i="1"/>
  <c r="AA468" i="1" s="1"/>
  <c r="R468" i="1"/>
  <c r="O625" i="1"/>
  <c r="AB625" i="1" s="1"/>
  <c r="P625" i="1"/>
  <c r="AA625" i="1" s="1"/>
  <c r="R718" i="1"/>
  <c r="P718" i="1"/>
  <c r="AA718" i="1" s="1"/>
  <c r="P410" i="1"/>
  <c r="AA410" i="1" s="1"/>
  <c r="R491" i="1"/>
  <c r="P500" i="1"/>
  <c r="AA500" i="1" s="1"/>
  <c r="P505" i="1"/>
  <c r="AA505" i="1" s="1"/>
  <c r="P528" i="1"/>
  <c r="AA528" i="1" s="1"/>
  <c r="P531" i="1"/>
  <c r="AA531" i="1" s="1"/>
  <c r="P565" i="1"/>
  <c r="AA565" i="1" s="1"/>
  <c r="P624" i="1"/>
  <c r="AA624" i="1" s="1"/>
  <c r="P645" i="1"/>
  <c r="AA645" i="1" s="1"/>
  <c r="P657" i="1"/>
  <c r="AA657" i="1" s="1"/>
  <c r="P674" i="1"/>
  <c r="AA674" i="1" s="1"/>
  <c r="P716" i="1"/>
  <c r="AA716" i="1" s="1"/>
  <c r="P720" i="1"/>
  <c r="AA720" i="1" s="1"/>
  <c r="P501" i="1"/>
  <c r="AA501" i="1" s="1"/>
  <c r="P598" i="1"/>
  <c r="AA598" i="1" s="1"/>
  <c r="P650" i="1"/>
  <c r="AA650" i="1" s="1"/>
  <c r="P672" i="1"/>
  <c r="AA672" i="1" s="1"/>
  <c r="P700" i="1"/>
  <c r="AA700" i="1" s="1"/>
  <c r="P424" i="1"/>
  <c r="AA424" i="1" s="1"/>
  <c r="P404" i="1"/>
  <c r="AA404" i="1" s="1"/>
  <c r="P535" i="1"/>
  <c r="AA535" i="1" s="1"/>
  <c r="P552" i="1"/>
  <c r="AA552" i="1" s="1"/>
  <c r="R574" i="1"/>
  <c r="P606" i="1"/>
  <c r="AA606" i="1" s="1"/>
  <c r="P609" i="1"/>
  <c r="AA609" i="1" s="1"/>
  <c r="O431" i="1"/>
  <c r="AB431" i="1" s="1"/>
  <c r="R443" i="1"/>
  <c r="P458" i="1"/>
  <c r="AA458" i="1" s="1"/>
  <c r="P479" i="1"/>
  <c r="AA479" i="1" s="1"/>
  <c r="P507" i="1"/>
  <c r="AA507" i="1" s="1"/>
  <c r="P513" i="1"/>
  <c r="AA513" i="1" s="1"/>
  <c r="P526" i="1"/>
  <c r="AA526" i="1" s="1"/>
  <c r="P530" i="1"/>
  <c r="AA530" i="1" s="1"/>
  <c r="P550" i="1"/>
  <c r="AA550" i="1" s="1"/>
  <c r="P575" i="1"/>
  <c r="AA575" i="1" s="1"/>
  <c r="P581" i="1"/>
  <c r="AA581" i="1" s="1"/>
  <c r="P584" i="1"/>
  <c r="AA584" i="1" s="1"/>
  <c r="R606" i="1"/>
  <c r="R620" i="1"/>
  <c r="P656" i="1"/>
  <c r="AA656" i="1" s="1"/>
  <c r="P702" i="1"/>
  <c r="AA702" i="1" s="1"/>
  <c r="P708" i="1"/>
  <c r="AA708" i="1" s="1"/>
  <c r="P721" i="1"/>
  <c r="AA721" i="1" s="1"/>
  <c r="P432" i="1"/>
  <c r="AA432" i="1" s="1"/>
  <c r="P494" i="1"/>
  <c r="AA494" i="1" s="1"/>
  <c r="O509" i="1"/>
  <c r="AB509" i="1" s="1"/>
  <c r="R537" i="1"/>
  <c r="P542" i="1"/>
  <c r="AA542" i="1" s="1"/>
  <c r="P589" i="1"/>
  <c r="AA589" i="1" s="1"/>
  <c r="P668" i="1"/>
  <c r="AA668" i="1" s="1"/>
  <c r="R690" i="1"/>
  <c r="P712" i="1"/>
  <c r="AA712" i="1" s="1"/>
  <c r="R734" i="1"/>
  <c r="P615" i="1"/>
  <c r="AA615" i="1" s="1"/>
  <c r="P638" i="1"/>
  <c r="AA638" i="1" s="1"/>
  <c r="P641" i="1"/>
  <c r="AA641" i="1" s="1"/>
  <c r="P652" i="1"/>
  <c r="AA652" i="1" s="1"/>
  <c r="P665" i="1"/>
  <c r="AA665" i="1" s="1"/>
  <c r="R27" i="1"/>
  <c r="O312" i="1"/>
  <c r="AB312" i="1" s="1"/>
  <c r="P312" i="1"/>
  <c r="AA312" i="1" s="1"/>
  <c r="R145" i="1"/>
  <c r="R205" i="1"/>
  <c r="R226" i="1"/>
  <c r="O14" i="1"/>
  <c r="AB14" i="1" s="1"/>
  <c r="M27" i="1"/>
  <c r="O27" i="1" s="1"/>
  <c r="AB27" i="1" s="1"/>
  <c r="M33" i="1"/>
  <c r="O33" i="1" s="1"/>
  <c r="AB33" i="1" s="1"/>
  <c r="F312" i="1"/>
  <c r="N9" i="1"/>
  <c r="M9" i="1"/>
  <c r="O9" i="1" s="1"/>
  <c r="AB9" i="1" s="1"/>
  <c r="R209" i="1"/>
  <c r="N75" i="1"/>
  <c r="R75" i="1" s="1"/>
  <c r="N54" i="1"/>
  <c r="M112" i="1"/>
  <c r="O112" i="1" s="1"/>
  <c r="AB112" i="1" s="1"/>
  <c r="R207" i="1"/>
  <c r="R310" i="1"/>
  <c r="R342" i="1"/>
  <c r="O348" i="1"/>
  <c r="AB348" i="1" s="1"/>
  <c r="P348" i="1"/>
  <c r="AA348" i="1" s="1"/>
  <c r="N102" i="1"/>
  <c r="O353" i="1"/>
  <c r="AB353" i="1" s="1"/>
  <c r="O351" i="1"/>
  <c r="AB351" i="1" s="1"/>
  <c r="P351" i="1"/>
  <c r="AA351" i="1" s="1"/>
  <c r="O232" i="1"/>
  <c r="AB232" i="1" s="1"/>
  <c r="P232" i="1"/>
  <c r="AA232" i="1" s="1"/>
  <c r="P250" i="1"/>
  <c r="AA250" i="1" s="1"/>
  <c r="R323" i="1"/>
  <c r="P223" i="1"/>
  <c r="AA223" i="1" s="1"/>
  <c r="O225" i="1"/>
  <c r="AB225" i="1" s="1"/>
  <c r="P243" i="1"/>
  <c r="AA243" i="1" s="1"/>
  <c r="O252" i="1"/>
  <c r="AB252" i="1" s="1"/>
  <c r="P252" i="1"/>
  <c r="AA252" i="1" s="1"/>
  <c r="N114" i="1"/>
  <c r="N132" i="1"/>
  <c r="O240" i="1"/>
  <c r="AB240" i="1" s="1"/>
  <c r="P240" i="1"/>
  <c r="AA240" i="1" s="1"/>
  <c r="P273" i="1"/>
  <c r="AA273" i="1" s="1"/>
  <c r="O273" i="1"/>
  <c r="AB273" i="1" s="1"/>
  <c r="R108" i="1"/>
  <c r="O259" i="1"/>
  <c r="AB259" i="1" s="1"/>
  <c r="P259" i="1"/>
  <c r="AA259" i="1" s="1"/>
  <c r="O286" i="1"/>
  <c r="AB286" i="1" s="1"/>
  <c r="P286" i="1"/>
  <c r="AA286" i="1" s="1"/>
  <c r="O349" i="1"/>
  <c r="AB349" i="1" s="1"/>
  <c r="P349" i="1"/>
  <c r="AA349" i="1" s="1"/>
  <c r="M226" i="1"/>
  <c r="O226" i="1" s="1"/>
  <c r="AB226" i="1" s="1"/>
  <c r="O327" i="1"/>
  <c r="AB327" i="1" s="1"/>
  <c r="P327" i="1"/>
  <c r="AA327" i="1" s="1"/>
  <c r="R330" i="1"/>
  <c r="M314" i="1"/>
  <c r="P314" i="1" s="1"/>
  <c r="AA314" i="1" s="1"/>
  <c r="R314" i="1"/>
  <c r="P236" i="1"/>
  <c r="AA236" i="1" s="1"/>
  <c r="P292" i="1"/>
  <c r="AA292" i="1" s="1"/>
  <c r="O294" i="1"/>
  <c r="AB294" i="1" s="1"/>
  <c r="P294" i="1"/>
  <c r="AA294" i="1" s="1"/>
  <c r="M310" i="1"/>
  <c r="O310" i="1" s="1"/>
  <c r="AB310" i="1" s="1"/>
  <c r="M342" i="1"/>
  <c r="O342" i="1" s="1"/>
  <c r="AB342" i="1" s="1"/>
  <c r="N412" i="1"/>
  <c r="P415" i="1"/>
  <c r="AA415" i="1" s="1"/>
  <c r="R424" i="1"/>
  <c r="P440" i="1"/>
  <c r="AA440" i="1" s="1"/>
  <c r="O441" i="1"/>
  <c r="AB441" i="1" s="1"/>
  <c r="P457" i="1"/>
  <c r="AA457" i="1" s="1"/>
  <c r="Y457" i="1"/>
  <c r="P245" i="1"/>
  <c r="AA245" i="1" s="1"/>
  <c r="P289" i="1"/>
  <c r="AA289" i="1" s="1"/>
  <c r="M329" i="1"/>
  <c r="O329" i="1" s="1"/>
  <c r="AB329" i="1" s="1"/>
  <c r="P334" i="1"/>
  <c r="AA334" i="1" s="1"/>
  <c r="O396" i="1"/>
  <c r="AB396" i="1" s="1"/>
  <c r="P445" i="1"/>
  <c r="AA445" i="1" s="1"/>
  <c r="P489" i="1"/>
  <c r="AA489" i="1" s="1"/>
  <c r="O489" i="1"/>
  <c r="AB489" i="1" s="1"/>
  <c r="O339" i="1"/>
  <c r="AB339" i="1" s="1"/>
  <c r="O346" i="1"/>
  <c r="AB346" i="1" s="1"/>
  <c r="P378" i="1"/>
  <c r="AA378" i="1" s="1"/>
  <c r="P414" i="1"/>
  <c r="AA414" i="1" s="1"/>
  <c r="P436" i="1"/>
  <c r="AA436" i="1" s="1"/>
  <c r="P459" i="1"/>
  <c r="AA459" i="1" s="1"/>
  <c r="R459" i="1"/>
  <c r="O480" i="1"/>
  <c r="AB480" i="1" s="1"/>
  <c r="P480" i="1"/>
  <c r="AA480" i="1" s="1"/>
  <c r="P493" i="1"/>
  <c r="AA493" i="1" s="1"/>
  <c r="R493" i="1"/>
  <c r="P514" i="1"/>
  <c r="AA514" i="1" s="1"/>
  <c r="P355" i="1"/>
  <c r="AA355" i="1" s="1"/>
  <c r="P350" i="1"/>
  <c r="AA350" i="1" s="1"/>
  <c r="P366" i="1"/>
  <c r="AA366" i="1" s="1"/>
  <c r="O373" i="1"/>
  <c r="AB373" i="1" s="1"/>
  <c r="O410" i="1"/>
  <c r="AB410" i="1" s="1"/>
  <c r="P419" i="1"/>
  <c r="AA419" i="1" s="1"/>
  <c r="R469" i="1"/>
  <c r="P469" i="1"/>
  <c r="AA469" i="1" s="1"/>
  <c r="P475" i="1"/>
  <c r="AA475" i="1" s="1"/>
  <c r="R475" i="1"/>
  <c r="R479" i="1"/>
  <c r="P482" i="1"/>
  <c r="AA482" i="1" s="1"/>
  <c r="R482" i="1"/>
  <c r="P336" i="1"/>
  <c r="AA336" i="1" s="1"/>
  <c r="R485" i="1"/>
  <c r="P485" i="1"/>
  <c r="AA485" i="1" s="1"/>
  <c r="P397" i="1"/>
  <c r="AA397" i="1" s="1"/>
  <c r="O457" i="1"/>
  <c r="P492" i="1"/>
  <c r="AA492" i="1" s="1"/>
  <c r="R492" i="1"/>
  <c r="P512" i="1"/>
  <c r="AA512" i="1" s="1"/>
  <c r="P519" i="1"/>
  <c r="AA519" i="1" s="1"/>
  <c r="O538" i="1"/>
  <c r="AB538" i="1" s="1"/>
  <c r="P547" i="1"/>
  <c r="AA547" i="1" s="1"/>
  <c r="O546" i="1"/>
  <c r="AB546" i="1" s="1"/>
  <c r="P555" i="1"/>
  <c r="AA555" i="1" s="1"/>
  <c r="R561" i="1"/>
  <c r="R565" i="1"/>
  <c r="P570" i="1"/>
  <c r="AA570" i="1" s="1"/>
  <c r="P590" i="1"/>
  <c r="AA590" i="1" s="1"/>
  <c r="P599" i="1"/>
  <c r="AA599" i="1" s="1"/>
  <c r="P602" i="1"/>
  <c r="AA602" i="1" s="1"/>
  <c r="P541" i="1"/>
  <c r="AA541" i="1" s="1"/>
  <c r="P549" i="1"/>
  <c r="AA549" i="1" s="1"/>
  <c r="R550" i="1"/>
  <c r="O553" i="1"/>
  <c r="AB553" i="1" s="1"/>
  <c r="AB554" i="1"/>
  <c r="P571" i="1"/>
  <c r="AA571" i="1" s="1"/>
  <c r="R584" i="1"/>
  <c r="P586" i="1"/>
  <c r="AA586" i="1" s="1"/>
  <c r="P588" i="1"/>
  <c r="AA588" i="1" s="1"/>
  <c r="P559" i="1"/>
  <c r="AA559" i="1" s="1"/>
  <c r="R603" i="1"/>
  <c r="P603" i="1"/>
  <c r="AA603" i="1" s="1"/>
  <c r="P605" i="1"/>
  <c r="AA605" i="1" s="1"/>
  <c r="P502" i="1"/>
  <c r="AA502" i="1" s="1"/>
  <c r="R522" i="1"/>
  <c r="R531" i="1"/>
  <c r="P532" i="1"/>
  <c r="AA532" i="1" s="1"/>
  <c r="P540" i="1"/>
  <c r="AA540" i="1" s="1"/>
  <c r="P548" i="1"/>
  <c r="AA548" i="1" s="1"/>
  <c r="P551" i="1"/>
  <c r="AA551" i="1" s="1"/>
  <c r="P578" i="1"/>
  <c r="AA578" i="1" s="1"/>
  <c r="P508" i="1"/>
  <c r="AA508" i="1" s="1"/>
  <c r="P560" i="1"/>
  <c r="AA560" i="1" s="1"/>
  <c r="P572" i="1"/>
  <c r="AA572" i="1" s="1"/>
  <c r="R576" i="1"/>
  <c r="O589" i="1"/>
  <c r="AB589" i="1" s="1"/>
  <c r="P568" i="1"/>
  <c r="AA568" i="1" s="1"/>
  <c r="P592" i="1"/>
  <c r="AA592" i="1" s="1"/>
  <c r="R599" i="1"/>
  <c r="P600" i="1"/>
  <c r="AA600" i="1" s="1"/>
  <c r="R602" i="1"/>
  <c r="P608" i="1"/>
  <c r="AA608" i="1" s="1"/>
  <c r="P642" i="1"/>
  <c r="AA642" i="1" s="1"/>
  <c r="R652" i="1"/>
  <c r="P658" i="1"/>
  <c r="AA658" i="1" s="1"/>
  <c r="R662" i="1"/>
  <c r="P667" i="1"/>
  <c r="AA667" i="1" s="1"/>
  <c r="P669" i="1"/>
  <c r="AA669" i="1" s="1"/>
  <c r="P673" i="1"/>
  <c r="AA673" i="1" s="1"/>
  <c r="R675" i="1"/>
  <c r="P679" i="1"/>
  <c r="AA679" i="1" s="1"/>
  <c r="P693" i="1"/>
  <c r="AA693" i="1" s="1"/>
  <c r="O702" i="1"/>
  <c r="AB702" i="1" s="1"/>
  <c r="P730" i="1"/>
  <c r="AA730" i="1" s="1"/>
  <c r="P607" i="1"/>
  <c r="AA607" i="1" s="1"/>
  <c r="P611" i="1"/>
  <c r="AA611" i="1" s="1"/>
  <c r="P614" i="1"/>
  <c r="AA614" i="1" s="1"/>
  <c r="R615" i="1"/>
  <c r="P622" i="1"/>
  <c r="AA622" i="1" s="1"/>
  <c r="P629" i="1"/>
  <c r="AA629" i="1" s="1"/>
  <c r="R645" i="1"/>
  <c r="O650" i="1"/>
  <c r="AB650" i="1" s="1"/>
  <c r="P651" i="1"/>
  <c r="AA651" i="1" s="1"/>
  <c r="R656" i="1"/>
  <c r="R668" i="1"/>
  <c r="P678" i="1"/>
  <c r="AA678" i="1" s="1"/>
  <c r="O681" i="1"/>
  <c r="AB681" i="1" s="1"/>
  <c r="P686" i="1"/>
  <c r="AA686" i="1" s="1"/>
  <c r="R703" i="1"/>
  <c r="R700" i="1"/>
  <c r="R707" i="1"/>
  <c r="O721" i="1"/>
  <c r="AB721" i="1" s="1"/>
  <c r="O725" i="1"/>
  <c r="AB725" i="1" s="1"/>
  <c r="P626" i="1"/>
  <c r="AA626" i="1" s="1"/>
  <c r="P680" i="1"/>
  <c r="AA680" i="1" s="1"/>
  <c r="R631" i="1"/>
  <c r="P640" i="1"/>
  <c r="AA640" i="1" s="1"/>
  <c r="R641" i="1"/>
  <c r="R657" i="1"/>
  <c r="R665" i="1"/>
  <c r="P676" i="1"/>
  <c r="AA676" i="1" s="1"/>
  <c r="P709" i="1"/>
  <c r="AA709" i="1" s="1"/>
  <c r="P691" i="1"/>
  <c r="AA691" i="1" s="1"/>
  <c r="R715" i="1"/>
  <c r="P627" i="1"/>
  <c r="AA627" i="1" s="1"/>
  <c r="R638" i="1"/>
  <c r="P653" i="1"/>
  <c r="AA653" i="1" s="1"/>
  <c r="P682" i="1"/>
  <c r="AA682" i="1" s="1"/>
  <c r="P687" i="1"/>
  <c r="AA687" i="1" s="1"/>
  <c r="P717" i="1"/>
  <c r="AA717" i="1" s="1"/>
  <c r="P670" i="1"/>
  <c r="AA670" i="1" s="1"/>
  <c r="P722" i="1"/>
  <c r="AA722" i="1" s="1"/>
  <c r="P36" i="1" l="1"/>
  <c r="AA36" i="1" s="1"/>
  <c r="P499" i="1"/>
  <c r="AA499" i="1" s="1"/>
  <c r="P108" i="1"/>
  <c r="AA108" i="1" s="1"/>
  <c r="P42" i="1"/>
  <c r="AA42" i="1" s="1"/>
  <c r="P69" i="1"/>
  <c r="AA69" i="1" s="1"/>
  <c r="P38" i="1"/>
  <c r="AA38" i="1" s="1"/>
  <c r="P113" i="1"/>
  <c r="AA113" i="1" s="1"/>
  <c r="P118" i="1"/>
  <c r="AA118" i="1" s="1"/>
  <c r="P37" i="1"/>
  <c r="AA37" i="1" s="1"/>
  <c r="P30" i="1"/>
  <c r="AA30" i="1" s="1"/>
  <c r="P207" i="1"/>
  <c r="AA207" i="1" s="1"/>
  <c r="O104" i="1"/>
  <c r="AB104" i="1" s="1"/>
  <c r="P48" i="1"/>
  <c r="AA48" i="1" s="1"/>
  <c r="P161" i="1"/>
  <c r="AA161" i="1" s="1"/>
  <c r="P163" i="1"/>
  <c r="AA163" i="1" s="1"/>
  <c r="P65" i="1"/>
  <c r="AA65" i="1" s="1"/>
  <c r="R47" i="1"/>
  <c r="R53" i="1"/>
  <c r="P31" i="1"/>
  <c r="AA31" i="1" s="1"/>
  <c r="O408" i="1"/>
  <c r="AB408" i="1" s="1"/>
  <c r="R168" i="1"/>
  <c r="P23" i="1"/>
  <c r="AA23" i="1" s="1"/>
  <c r="P353" i="1"/>
  <c r="AA353" i="1" s="1"/>
  <c r="P237" i="1"/>
  <c r="AA237" i="1" s="1"/>
  <c r="R400" i="1"/>
  <c r="R244" i="1"/>
  <c r="P76" i="1"/>
  <c r="AA76" i="1" s="1"/>
  <c r="P381" i="1"/>
  <c r="AA381" i="1" s="1"/>
  <c r="P406" i="1"/>
  <c r="AA406" i="1" s="1"/>
  <c r="P205" i="1"/>
  <c r="AA205" i="1" s="1"/>
  <c r="P97" i="1"/>
  <c r="AA97" i="1" s="1"/>
  <c r="P311" i="1"/>
  <c r="AA311" i="1" s="1"/>
  <c r="P357" i="1"/>
  <c r="AA357" i="1" s="1"/>
  <c r="P216" i="1"/>
  <c r="AA216" i="1" s="1"/>
  <c r="P300" i="1"/>
  <c r="AA300" i="1" s="1"/>
  <c r="P128" i="1"/>
  <c r="AA128" i="1" s="1"/>
  <c r="P323" i="1"/>
  <c r="AA323" i="1" s="1"/>
  <c r="P14" i="1"/>
  <c r="AA14" i="1" s="1"/>
  <c r="P11" i="1"/>
  <c r="AA11" i="1" s="1"/>
  <c r="P326" i="1"/>
  <c r="AA326" i="1" s="1"/>
  <c r="P305" i="1"/>
  <c r="AA305" i="1" s="1"/>
  <c r="P382" i="1"/>
  <c r="AA382" i="1" s="1"/>
  <c r="P209" i="1"/>
  <c r="AA209" i="1" s="1"/>
  <c r="P188" i="1"/>
  <c r="AA188" i="1" s="1"/>
  <c r="P402" i="1"/>
  <c r="AA402" i="1" s="1"/>
  <c r="R402" i="1"/>
  <c r="P8" i="1"/>
  <c r="AA8" i="1" s="1"/>
  <c r="P427" i="1"/>
  <c r="AA427" i="1" s="1"/>
  <c r="P309" i="1"/>
  <c r="AA309" i="1" s="1"/>
  <c r="P60" i="1"/>
  <c r="AA60" i="1" s="1"/>
  <c r="O324" i="1"/>
  <c r="AB324" i="1" s="1"/>
  <c r="P324" i="1"/>
  <c r="AA324" i="1" s="1"/>
  <c r="P173" i="1"/>
  <c r="AA173" i="1" s="1"/>
  <c r="P274" i="1"/>
  <c r="AA274" i="1" s="1"/>
  <c r="P20" i="1"/>
  <c r="AA20" i="1" s="1"/>
  <c r="P361" i="1"/>
  <c r="AA361" i="1" s="1"/>
  <c r="R309" i="1"/>
  <c r="P98" i="1"/>
  <c r="AA98" i="1" s="1"/>
  <c r="P164" i="1"/>
  <c r="AA164" i="1" s="1"/>
  <c r="P330" i="1"/>
  <c r="AA330" i="1" s="1"/>
  <c r="P303" i="1"/>
  <c r="AA303" i="1" s="1"/>
  <c r="P145" i="1"/>
  <c r="AA145" i="1" s="1"/>
  <c r="R303" i="1"/>
  <c r="R64" i="1"/>
  <c r="P64" i="1"/>
  <c r="AA64" i="1" s="1"/>
  <c r="P9" i="1"/>
  <c r="AA9" i="1" s="1"/>
  <c r="R9" i="1"/>
  <c r="P342" i="1"/>
  <c r="AA342" i="1" s="1"/>
  <c r="AB457" i="1"/>
  <c r="P310" i="1"/>
  <c r="AA310" i="1" s="1"/>
  <c r="R132" i="1"/>
  <c r="P132" i="1"/>
  <c r="AA132" i="1" s="1"/>
  <c r="R412" i="1"/>
  <c r="P412" i="1"/>
  <c r="AA412" i="1" s="1"/>
  <c r="P114" i="1"/>
  <c r="AA114" i="1" s="1"/>
  <c r="R114" i="1"/>
  <c r="P102" i="1"/>
  <c r="AA102" i="1" s="1"/>
  <c r="R102" i="1"/>
  <c r="P27" i="1"/>
  <c r="AA27" i="1" s="1"/>
  <c r="P54" i="1"/>
  <c r="AA54" i="1" s="1"/>
  <c r="R54" i="1"/>
  <c r="P226" i="1"/>
  <c r="AA226" i="1" s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Счета ФИ.xlsx!Таблица2" type="102" refreshedVersion="7" minRefreshableVersion="5">
    <extLst>
      <ext xmlns:x15="http://schemas.microsoft.com/office/spreadsheetml/2010/11/main" uri="{DE250136-89BD-433C-8126-D09CA5730AF9}">
        <x15:connection id="Таблица2" autoDelete="1">
          <x15:rangePr sourceName="_xlcn.WorksheetConnection_СчетаФИ.xlsxТаблица21"/>
        </x15:connection>
      </ext>
    </extLst>
  </connection>
</connections>
</file>

<file path=xl/sharedStrings.xml><?xml version="1.0" encoding="utf-8"?>
<sst xmlns="http://schemas.openxmlformats.org/spreadsheetml/2006/main" count="4695" uniqueCount="1194">
  <si>
    <t>Выставление счета клиенту</t>
  </si>
  <si>
    <t>Перевод денег в Китай</t>
  </si>
  <si>
    <t>Дата</t>
  </si>
  <si>
    <t>Код</t>
  </si>
  <si>
    <t>Торговая марка/Товар</t>
  </si>
  <si>
    <t>Сумма ЮА</t>
  </si>
  <si>
    <t>Сумма Долл</t>
  </si>
  <si>
    <t>Курс ЮА</t>
  </si>
  <si>
    <t>Курс ДОЛЛ</t>
  </si>
  <si>
    <t>% за перевод</t>
  </si>
  <si>
    <t>Долл за перевод</t>
  </si>
  <si>
    <t>Руб за перевод</t>
  </si>
  <si>
    <t>Сумма без %</t>
  </si>
  <si>
    <t>Сумма в руб</t>
  </si>
  <si>
    <t>Долл без %</t>
  </si>
  <si>
    <t>Сумма за перевод руб</t>
  </si>
  <si>
    <t>Оплата от клиента</t>
  </si>
  <si>
    <t>Остаток</t>
  </si>
  <si>
    <t>Дата оплаты</t>
  </si>
  <si>
    <t>Способ оплаты</t>
  </si>
  <si>
    <t>Статус</t>
  </si>
  <si>
    <t>Курс ЮА перевод</t>
  </si>
  <si>
    <t>Курс ДОЛЛ перевод</t>
  </si>
  <si>
    <t>Сумма перевода ЮА</t>
  </si>
  <si>
    <t>Дата перевода</t>
  </si>
  <si>
    <t>Переведено в руб</t>
  </si>
  <si>
    <t>Остаток в долл</t>
  </si>
  <si>
    <t>Машина</t>
  </si>
  <si>
    <t>FA-695</t>
  </si>
  <si>
    <t>ООО АлеКо</t>
  </si>
  <si>
    <t>станок</t>
  </si>
  <si>
    <t>Оплачено</t>
  </si>
  <si>
    <t>FA-765</t>
  </si>
  <si>
    <t>ООО Инолайт</t>
  </si>
  <si>
    <t>платы</t>
  </si>
  <si>
    <t>FA-764</t>
  </si>
  <si>
    <t>ИП Белов</t>
  </si>
  <si>
    <t>Подносы / полки</t>
  </si>
  <si>
    <t>FA-676</t>
  </si>
  <si>
    <t>ООО Акрил Стор</t>
  </si>
  <si>
    <t>Крепежные 16500</t>
  </si>
  <si>
    <t>Машина 103</t>
  </si>
  <si>
    <t>FI-628</t>
  </si>
  <si>
    <t>ИП Семенов Артем</t>
  </si>
  <si>
    <t>Доплата за точилки</t>
  </si>
  <si>
    <t>FI-607</t>
  </si>
  <si>
    <t>ООО Кубань Снаб</t>
  </si>
  <si>
    <t>FA-818</t>
  </si>
  <si>
    <t>ИП Капитонова</t>
  </si>
  <si>
    <t>FA-727</t>
  </si>
  <si>
    <t>ИП Владимиров</t>
  </si>
  <si>
    <t>FI-785</t>
  </si>
  <si>
    <t>ИП Масюлис</t>
  </si>
  <si>
    <t>FA-771</t>
  </si>
  <si>
    <t>ООО Меххаус</t>
  </si>
  <si>
    <t>FI-562</t>
  </si>
  <si>
    <t>ООО Проминдустрия</t>
  </si>
  <si>
    <t>FA-774</t>
  </si>
  <si>
    <t>ИП Калмыкова</t>
  </si>
  <si>
    <t>FA-783</t>
  </si>
  <si>
    <t>ООО Нью Лайт</t>
  </si>
  <si>
    <t>FI-672</t>
  </si>
  <si>
    <t>ООО НПФ Партс М</t>
  </si>
  <si>
    <t>FI-629</t>
  </si>
  <si>
    <t>ИП Семенов Родион</t>
  </si>
  <si>
    <t>Оборудование</t>
  </si>
  <si>
    <t>База под макияж</t>
  </si>
  <si>
    <t>Пакеты</t>
  </si>
  <si>
    <t>FI-572</t>
  </si>
  <si>
    <t>ООО Воэртек Рус</t>
  </si>
  <si>
    <t>FA-776</t>
  </si>
  <si>
    <t>ИП Егоров</t>
  </si>
  <si>
    <t>FA-735</t>
  </si>
  <si>
    <t>ООО Трикотаж Трейд</t>
  </si>
  <si>
    <t>FA-822</t>
  </si>
  <si>
    <t>ИП Ларькина</t>
  </si>
  <si>
    <t>FA-633</t>
  </si>
  <si>
    <t>ИП Пан</t>
  </si>
  <si>
    <t>FA-837</t>
  </si>
  <si>
    <t>ИП Судницына</t>
  </si>
  <si>
    <t>50 долл</t>
  </si>
  <si>
    <t>FA-838</t>
  </si>
  <si>
    <t>ИП Сасыков</t>
  </si>
  <si>
    <t>FI-627</t>
  </si>
  <si>
    <t>ООО Велес</t>
  </si>
  <si>
    <t>FI-802</t>
  </si>
  <si>
    <t>ИП Молев</t>
  </si>
  <si>
    <t>FA-827</t>
  </si>
  <si>
    <t>ИП Калашников</t>
  </si>
  <si>
    <t>FA-828</t>
  </si>
  <si>
    <t>ООО "ЦТО"</t>
  </si>
  <si>
    <t>FA-843</t>
  </si>
  <si>
    <t>ИП Свечкарь</t>
  </si>
  <si>
    <t>FA-750</t>
  </si>
  <si>
    <t>ИП Удальцова</t>
  </si>
  <si>
    <t>FA-842</t>
  </si>
  <si>
    <t>ИП Локтева</t>
  </si>
  <si>
    <t>FA-743</t>
  </si>
  <si>
    <t>ИП Шинкарева</t>
  </si>
  <si>
    <t>ООО Центр Токарной Обработки</t>
  </si>
  <si>
    <t>FA-753</t>
  </si>
  <si>
    <t>ИП Владимирова</t>
  </si>
  <si>
    <t>FA-836</t>
  </si>
  <si>
    <t>ООО Техника Театра</t>
  </si>
  <si>
    <t>FI-577</t>
  </si>
  <si>
    <t>ИП Михеев</t>
  </si>
  <si>
    <t>Fultany</t>
  </si>
  <si>
    <t>Юа</t>
  </si>
  <si>
    <t>Гидростанция</t>
  </si>
  <si>
    <t>FI-704</t>
  </si>
  <si>
    <t>ИП Паньшина</t>
  </si>
  <si>
    <t>CRAME</t>
  </si>
  <si>
    <t>FA-816</t>
  </si>
  <si>
    <t>ИП Ким</t>
  </si>
  <si>
    <t>160 шт</t>
  </si>
  <si>
    <t>FA-665</t>
  </si>
  <si>
    <t>ИП Абилькаримова</t>
  </si>
  <si>
    <t>FA-841</t>
  </si>
  <si>
    <t>ООО НПП ЛАЙТАП</t>
  </si>
  <si>
    <t>Корпуса ЛЭД светильников и краштейны для крепления</t>
  </si>
  <si>
    <t>FA-845</t>
  </si>
  <si>
    <t>ООО КамОйлЦентр</t>
  </si>
  <si>
    <t>FA-849</t>
  </si>
  <si>
    <t>ИП Переверзова</t>
  </si>
  <si>
    <t>FA-800</t>
  </si>
  <si>
    <t>ИП Масленикова</t>
  </si>
  <si>
    <t>FA-785</t>
  </si>
  <si>
    <t>30% от 38000$</t>
  </si>
  <si>
    <t>ИП Семенов А.А.</t>
  </si>
  <si>
    <t>База РБ</t>
  </si>
  <si>
    <t>долл</t>
  </si>
  <si>
    <t>FI-600</t>
  </si>
  <si>
    <t>ООО Эколайн Техно</t>
  </si>
  <si>
    <t>Воздух 2rb 720 - 7HH37 1шт</t>
  </si>
  <si>
    <t>Stylex</t>
  </si>
  <si>
    <t>Мегофсе - 315</t>
  </si>
  <si>
    <t>Спонжи</t>
  </si>
  <si>
    <t>FA-759</t>
  </si>
  <si>
    <t>ИП Воронцов</t>
  </si>
  <si>
    <t>FA-737</t>
  </si>
  <si>
    <t>ООО Оптовые поставки</t>
  </si>
  <si>
    <t>Доплата</t>
  </si>
  <si>
    <t>FA-751</t>
  </si>
  <si>
    <t>ООО СтройРесурс</t>
  </si>
  <si>
    <t>FA-572</t>
  </si>
  <si>
    <t>ООО Ваиртэк Рус</t>
  </si>
  <si>
    <r>
      <rPr>
        <sz val="11"/>
        <color rgb="FFFF0000"/>
        <rFont val="Calibri"/>
        <family val="2"/>
        <charset val="204"/>
        <scheme val="minor"/>
      </rPr>
      <t>Сетка</t>
    </r>
    <r>
      <rPr>
        <sz val="11"/>
        <color theme="1"/>
        <rFont val="Calibri"/>
        <family val="2"/>
        <scheme val="minor"/>
      </rPr>
      <t xml:space="preserve"> 70% долл </t>
    </r>
    <r>
      <rPr>
        <sz val="11"/>
        <color rgb="FFFF0000"/>
        <rFont val="Calibri"/>
        <family val="2"/>
        <charset val="204"/>
        <scheme val="minor"/>
      </rPr>
      <t>30% юа</t>
    </r>
  </si>
  <si>
    <t>FI-622</t>
  </si>
  <si>
    <t>ООО УлКром</t>
  </si>
  <si>
    <t>Финиш-пленка</t>
  </si>
  <si>
    <t>Мотор</t>
  </si>
  <si>
    <t>Платы</t>
  </si>
  <si>
    <t>Сервоприводы</t>
  </si>
  <si>
    <t>UHZ-99AB масштабирование до 200°C 3 м-20шт</t>
  </si>
  <si>
    <t>Высокотемпературная шкала UHZ-99AC до 400°C, 3 м-10шт</t>
  </si>
  <si>
    <t>FA-833</t>
  </si>
  <si>
    <t>Мегофсе</t>
  </si>
  <si>
    <t>за финиш пленку</t>
  </si>
  <si>
    <t>FA-766</t>
  </si>
  <si>
    <t>ООО "Люменор"</t>
  </si>
  <si>
    <t>Корпуса светильников с ФАПЬЯО</t>
  </si>
  <si>
    <t>ЮА с ФАПЬЯО</t>
  </si>
  <si>
    <t>Тянья 3096</t>
  </si>
  <si>
    <t>Вытяжки</t>
  </si>
  <si>
    <t>Долл</t>
  </si>
  <si>
    <t>FA-672</t>
  </si>
  <si>
    <t>Резьбонакатные ролики</t>
  </si>
  <si>
    <t>FI-694</t>
  </si>
  <si>
    <t>ИП Усачева</t>
  </si>
  <si>
    <t>Томас Бибер</t>
  </si>
  <si>
    <t>Гель для подводки</t>
  </si>
  <si>
    <t>Предоплата</t>
  </si>
  <si>
    <t>Megofse</t>
  </si>
  <si>
    <t>FA-661</t>
  </si>
  <si>
    <t>FA-815</t>
  </si>
  <si>
    <t>ИП Силантьева</t>
  </si>
  <si>
    <t>FA-854</t>
  </si>
  <si>
    <t>ИП Веснин О.М.</t>
  </si>
  <si>
    <t>FA-840</t>
  </si>
  <si>
    <t>ООО ЮнитОптик</t>
  </si>
  <si>
    <t>FA-784</t>
  </si>
  <si>
    <t>Джиби Маркет</t>
  </si>
  <si>
    <t>ИП Гриценко</t>
  </si>
  <si>
    <t>оплата за салфетки</t>
  </si>
  <si>
    <t>ООО "НПП Лайтап"</t>
  </si>
  <si>
    <t>30% предоплата</t>
  </si>
  <si>
    <t xml:space="preserve">FA-768 </t>
  </si>
  <si>
    <t>ИП Окрочков</t>
  </si>
  <si>
    <t>Поплавок LT1-LT12; 530 кг/м3, Рраб=1,4 МПа, РГИ = 1,6 МПа, Т=50 град, L=355мм, TAI</t>
  </si>
  <si>
    <t>Поплавок LT19-LT30; 530 кг/м3, Рраб=1,4 МПа, РГИ = 2,5 МПа, Т=50 град, L=480мм, TAI</t>
  </si>
  <si>
    <t>Поплавок LG-002 450 кг/м3, Рраб=1,6 МПа, РГИ = 2,4 МПа, Т=31 град, L=345мм, TAI</t>
  </si>
  <si>
    <t>Поплавок 775 кг/м3, Рраб=4,79 МПа, РГИ = 7,4 МПа, Т=265 град, L=340мм, 316L</t>
  </si>
  <si>
    <t>пленка ПВХ</t>
  </si>
  <si>
    <t>ИП Масленникова</t>
  </si>
  <si>
    <t>Леди Шарм</t>
  </si>
  <si>
    <t>FA-856</t>
  </si>
  <si>
    <t>ООО «Мегапар»</t>
  </si>
  <si>
    <t>FA-855</t>
  </si>
  <si>
    <t>ИП Литенков</t>
  </si>
  <si>
    <t>Snow Image</t>
  </si>
  <si>
    <t>FA-793</t>
  </si>
  <si>
    <t xml:space="preserve">ООО "СИМАХОВ" </t>
  </si>
  <si>
    <t>FI-557</t>
  </si>
  <si>
    <t>ООО Неосиб</t>
  </si>
  <si>
    <t>ООО Партс М</t>
  </si>
  <si>
    <t>FA-864</t>
  </si>
  <si>
    <t>ИП Низамутдинов Ильдар Фаридович</t>
  </si>
  <si>
    <t>50% от инвойса</t>
  </si>
  <si>
    <t>Донья</t>
  </si>
  <si>
    <t>FI-630</t>
  </si>
  <si>
    <t>ООО Манли Косметикс</t>
  </si>
  <si>
    <t>FA-858</t>
  </si>
  <si>
    <t>ИП Самсонова</t>
  </si>
  <si>
    <t>Мишель</t>
  </si>
  <si>
    <t>FA-857</t>
  </si>
  <si>
    <t>ИП Степанов</t>
  </si>
  <si>
    <t>19 757,81</t>
  </si>
  <si>
    <t>Доплата за проценты</t>
  </si>
  <si>
    <t>NUOFUYI</t>
  </si>
  <si>
    <t>ООО "НЬЮ ЛАЙН"</t>
  </si>
  <si>
    <t>FI-625</t>
  </si>
  <si>
    <t>ООО Смарт Групп</t>
  </si>
  <si>
    <t>Тоносто</t>
  </si>
  <si>
    <t>Поплавок (Китай) 0,535 г/см3; 1,5 МПа: 200°С; L = 470мм     3шт</t>
  </si>
  <si>
    <t>Поплавок (Китай) 0,955 г/см3/0,535 г/см3; 1,5 МПа: 200°С; L = 210мм    3шт</t>
  </si>
  <si>
    <t>FA-679</t>
  </si>
  <si>
    <t>ООО Симона</t>
  </si>
  <si>
    <t>FA-681</t>
  </si>
  <si>
    <t>ИП Брагин</t>
  </si>
  <si>
    <t>FA-859</t>
  </si>
  <si>
    <t>ИП Казьмина</t>
  </si>
  <si>
    <t>FA-860</t>
  </si>
  <si>
    <t>ИП Чепканич</t>
  </si>
  <si>
    <t>FA-861</t>
  </si>
  <si>
    <t>ИП Ерюкова</t>
  </si>
  <si>
    <t>FA-862</t>
  </si>
  <si>
    <t>ИП Тахирова</t>
  </si>
  <si>
    <t>FA-863</t>
  </si>
  <si>
    <t xml:space="preserve">ИП Тимонина </t>
  </si>
  <si>
    <t>FA-866</t>
  </si>
  <si>
    <t>ИП Крюков</t>
  </si>
  <si>
    <t>ООО "Кубань-Снаб"</t>
  </si>
  <si>
    <t>FA-867</t>
  </si>
  <si>
    <t>ИП Колуханов</t>
  </si>
  <si>
    <t>оплата за вытяжки</t>
  </si>
  <si>
    <t>Оплата за пакеты</t>
  </si>
  <si>
    <t>SV</t>
  </si>
  <si>
    <t>Смартекс логистик</t>
  </si>
  <si>
    <t>оплата за принтер, шейкер, плёнку и чернила для принтера</t>
  </si>
  <si>
    <t>саморез М3*8</t>
  </si>
  <si>
    <t>FA-747</t>
  </si>
  <si>
    <t>ООО ТД ПрофТехснаб</t>
  </si>
  <si>
    <t>ручные инструменты</t>
  </si>
  <si>
    <t>полки</t>
  </si>
  <si>
    <t>шкафы</t>
  </si>
  <si>
    <t>ООО Симахов</t>
  </si>
  <si>
    <t>Оплата за верхнюю одежду</t>
  </si>
  <si>
    <t>ИП НИЗАМУТДИНОВ ИЛЬДАР ФАРИДОВИ</t>
  </si>
  <si>
    <t>товар из Турции</t>
  </si>
  <si>
    <t>Названия строк</t>
  </si>
  <si>
    <t>Машина/Авиа</t>
  </si>
  <si>
    <t>$- Стоимость товара в долл привезенных в РФ</t>
  </si>
  <si>
    <t>Общий итог</t>
  </si>
  <si>
    <t>линейки</t>
  </si>
  <si>
    <t>Fi-704</t>
  </si>
  <si>
    <t>салфетки</t>
  </si>
  <si>
    <t>FA-814</t>
  </si>
  <si>
    <t>ООО Светоч Плюс</t>
  </si>
  <si>
    <t>Лазеры</t>
  </si>
  <si>
    <t>подносы</t>
  </si>
  <si>
    <t>станки</t>
  </si>
  <si>
    <t>sea Wing</t>
  </si>
  <si>
    <t>FA-802</t>
  </si>
  <si>
    <t>Ткань</t>
  </si>
  <si>
    <t>03.09.2021
20.09.2021</t>
  </si>
  <si>
    <t>13324,5
13324,5</t>
  </si>
  <si>
    <t>73,78
74,12</t>
  </si>
  <si>
    <t>Евро</t>
  </si>
  <si>
    <t>FA-874</t>
  </si>
  <si>
    <t>ИП Синьковская</t>
  </si>
  <si>
    <t>70 долл</t>
  </si>
  <si>
    <t>Crame</t>
  </si>
  <si>
    <t>ZIAI</t>
  </si>
  <si>
    <t>FI-454</t>
  </si>
  <si>
    <t>ООО ТК Перспектива</t>
  </si>
  <si>
    <t>световой прожектор</t>
  </si>
  <si>
    <t>Вытяжки и комплектующие 4blanc</t>
  </si>
  <si>
    <t>Папка по датам\FA-764\05.10.2021\PI FA-764 6 014 долл.pdf</t>
  </si>
  <si>
    <t>Папка по датам\FA-836\08.10.2021\PI FA-836 2 280 долл.xls</t>
  </si>
  <si>
    <t>FA-876</t>
  </si>
  <si>
    <t>Папка по датам\FI-630\05.10.2021\PI FI-630 16 000 долл.xls</t>
  </si>
  <si>
    <t>Контролер</t>
  </si>
  <si>
    <t>Папка по датам\FA-836\12.10.2021\PI FA-876 1300 долл.pdf</t>
  </si>
  <si>
    <t>Машина 107</t>
  </si>
  <si>
    <t>за вытяжки 4blanc</t>
  </si>
  <si>
    <t>За элементы для кастрюль</t>
  </si>
  <si>
    <t>за корпуса светильников</t>
  </si>
  <si>
    <t>оплтата за платы</t>
  </si>
  <si>
    <t>FA-562</t>
  </si>
  <si>
    <t>Папка по датам\FA-765\13.10.2021\PI FA-765 9845 долл.pdf</t>
  </si>
  <si>
    <t>оплата за поплавки</t>
  </si>
  <si>
    <t>оплата за шкалы</t>
  </si>
  <si>
    <t>Папка по датам\FI-562\14.10.2021\Поплавки\PI FI-562 4360 долл.pdf</t>
  </si>
  <si>
    <t>Папка по датам\FI-562\14.10.2021\Шкалы\PI FI-562 7 545 долл.pdf</t>
  </si>
  <si>
    <t>ООО АкрилСтор</t>
  </si>
  <si>
    <t>оплата за фурнитуру</t>
  </si>
  <si>
    <t>Папка по датам\FA-676\14.10.2021\PI FA-676 3 770 долл.xls</t>
  </si>
  <si>
    <t>FA-811</t>
  </si>
  <si>
    <t>ООО ЗКО</t>
  </si>
  <si>
    <t>Оплата за запчасти для компрессоров.</t>
  </si>
  <si>
    <t>600 шт.</t>
  </si>
  <si>
    <t>Папка по датам\FA-837\15.10.2021\PI FA-837 19680 долл.pdf</t>
  </si>
  <si>
    <t>Папка по датам\FI-625\18.10.2021\PI order SMD2103.xls</t>
  </si>
  <si>
    <t>Предоплата за Декинг</t>
  </si>
  <si>
    <t>За оборудование</t>
  </si>
  <si>
    <t>ООО Алеко</t>
  </si>
  <si>
    <t>Папка по датам\FA-661\19.10.2021\ORDER PI machines  2021030408(2)(1).xls</t>
  </si>
  <si>
    <t>Папка по датам\FI-629\19.10.2021\PI FI-629 28 498.4 долл.pdf</t>
  </si>
  <si>
    <t>Бумага</t>
  </si>
  <si>
    <t>Маникюрные и педикюрные вытяжки 4 BLANC ALIZE</t>
  </si>
  <si>
    <t>Папка по датам\FA-855\20.10.2021\PI FA-855 5 085,78 долл.pdf</t>
  </si>
  <si>
    <t>авиа</t>
  </si>
  <si>
    <t>ООО Люменор</t>
  </si>
  <si>
    <t>Корпуса светильников</t>
  </si>
  <si>
    <t>Папка по датам\FA-766\21.10.2021\PI FA-766 72 600 юа.png</t>
  </si>
  <si>
    <t>Папка по датам\FA-776\21.10.2021\PI FA-776 5 189 долл.pdf</t>
  </si>
  <si>
    <t>Вибратор Mister Gentle, модель Lilu.</t>
  </si>
  <si>
    <t>FA-881</t>
  </si>
  <si>
    <t>ООО СамараКам</t>
  </si>
  <si>
    <t>Папка по датам\FI-625\21.10.2021\PI FI-625 8 600 долл.XLSX</t>
  </si>
  <si>
    <t>ООО ЦТО</t>
  </si>
  <si>
    <t>Папка по датам\FA-828\25.10.2021\PI FA-828 3456,8 долл.pdf</t>
  </si>
  <si>
    <t>Сплиттер ПРОТОН 8 - R DMX - 50 шт.</t>
  </si>
  <si>
    <t>Папка по датам\FA-876\25.10.2021\PI FA-876 3 025 долл.png</t>
  </si>
  <si>
    <t>ООО Лайтап</t>
  </si>
  <si>
    <t>оплата за корпуса светильников</t>
  </si>
  <si>
    <t>Папка по датам\FA-841\25.10.2021\PI FA-841 53 550 юа.jpg</t>
  </si>
  <si>
    <t>FI-423</t>
  </si>
  <si>
    <t>ИП Бурко</t>
  </si>
  <si>
    <t>Пленка по рискам</t>
  </si>
  <si>
    <t>Папка по датам\FI-423\26.10.2021\PI FI-423 1 076.4 долл.jpg</t>
  </si>
  <si>
    <t>оплата за пряжки</t>
  </si>
  <si>
    <t>ДК Фешн груп</t>
  </si>
  <si>
    <t>Обувь</t>
  </si>
  <si>
    <t>Авиа</t>
  </si>
  <si>
    <t>Папка по датам\FA-768\04.08.2021\WeChat Image_20210805113711.png</t>
  </si>
  <si>
    <t>Папка по датам\FA-768\17.08.2021\PI FA-768 1002 долл.pdf</t>
  </si>
  <si>
    <t>Папка по датам\FA-768\19.08.2021\PI FA-768 2 281.2 долл.pdf</t>
  </si>
  <si>
    <t>Папка по датам\ДК Фешн груп\29.10.2021\3027,65\китай-3027,65евро.xlsx</t>
  </si>
  <si>
    <t>Папка по датам\ДК Фешн груп\29.10.2021\17257,68\китай-17257,68$.xlsx</t>
  </si>
  <si>
    <t>Папка по датам\ДК Фешн груп\29.10.2021\1129,88\европа-1129,88евро.xlsx</t>
  </si>
  <si>
    <t>Папка по датам\FA-828\29.10.2021\PI FA-828 8 700 долл.pdf</t>
  </si>
  <si>
    <t xml:space="preserve"> за токарное оборудование</t>
  </si>
  <si>
    <t>https://d.docs.live.net/d55ee048d67a7f79/ФИНАНСЫ%20ПОТАМОЖНЕ/ФАСТ%20ИМПОРТ/Финансы/Папка%20по%20датам/FA-776/27.10.2021/PI%20FA-776%201%20445%20долл.XLSX</t>
  </si>
  <si>
    <t>ООО ПрофТехСнаб</t>
  </si>
  <si>
    <t>Папка по датам\FA-747\02.11.2021\PI FA-747 27 089.55 долл.png</t>
  </si>
  <si>
    <t>Инструменты</t>
  </si>
  <si>
    <t>112 машина</t>
  </si>
  <si>
    <t>ИП Сагиров А.Р.</t>
  </si>
  <si>
    <t>FA-733</t>
  </si>
  <si>
    <t>за державки и пластины 5355 штук</t>
  </si>
  <si>
    <t>106 машина</t>
  </si>
  <si>
    <t>Сенсоры</t>
  </si>
  <si>
    <t>C:\Users\Никита\OneDrive\ФИНАНСЫ ПОТАМОЖНЕ\ФАСТ ИМПОРТ\Финансы\Папка по датам\FA-557\08.11.2021\PI FI-557 570 долл.pdf</t>
  </si>
  <si>
    <t>C:\Users\Никита\OneDrive\ФИНАНСЫ ПОТАМОЖНЕ\ФАСТ ИМПОРТ\Финансы\Папка по датам\FA-733\03.11.2021\20211027 Державки, пластины.xlsx</t>
  </si>
  <si>
    <t>Салфетки</t>
  </si>
  <si>
    <t>Папка по датам\FA-774\08.11.2021\PI FA-774 9 127,20 долл.pdf</t>
  </si>
  <si>
    <t>Запчасти</t>
  </si>
  <si>
    <t>https://d.docs.live.net/d55ee048d67a7f79/ФИНАНСЫ%20ПОТАМОЖНЕ/ФАСТ%20ИМПОРТ/Финансы/Папка%20по%20датам/FA-727/08.11.2021/FI-08-11-2021(1).xlsx</t>
  </si>
  <si>
    <t>МПФ Партс-М</t>
  </si>
  <si>
    <t>резьбонакатные ролики</t>
  </si>
  <si>
    <t>Фурнитура</t>
  </si>
  <si>
    <t>Станок</t>
  </si>
  <si>
    <t>https://d.docs.live.net/d55ee048d67a7f79/ФИНАНСЫ%20ПОТАМОЖНЕ/ФАСТ%20ИМПОРТ/Финансы/Папка%20по%20датам/FA-785/09.11.2021/ИП%20Масюлис.xlsx</t>
  </si>
  <si>
    <t>Машина 111</t>
  </si>
  <si>
    <t>Отправлено</t>
  </si>
  <si>
    <t>Машина 112 (1-4 позиции в инвойсе)</t>
  </si>
  <si>
    <t>Лампы</t>
  </si>
  <si>
    <t>Партс-М</t>
  </si>
  <si>
    <t xml:space="preserve">резьбонакатные ролики </t>
  </si>
  <si>
    <t>Примечания</t>
  </si>
  <si>
    <t>По агентскому договору, оплата по рискам (инвойс на 7,978 долл)</t>
  </si>
  <si>
    <t>юа</t>
  </si>
  <si>
    <t>оплата за ткань</t>
  </si>
  <si>
    <t>оплата за Краны 3/4 дюйма</t>
  </si>
  <si>
    <t>ЗА изделия из черных металлов</t>
  </si>
  <si>
    <t>Забыть про это счет, он вошел в новый от 12.11.2021</t>
  </si>
  <si>
    <t>Клиент просил перевыставить счет по курсу на 15-11-20201</t>
  </si>
  <si>
    <t>Клиент просил перевыставить счет по курсу на 15-11-20201 (здесь плюс 2 947,24 долл, чтобы выйти в ноль по оплатам в Китай)</t>
  </si>
  <si>
    <t>110 машина</t>
  </si>
  <si>
    <t>FA-630</t>
  </si>
  <si>
    <t>ООО МАНЛИ КОСМЕТИКС</t>
  </si>
  <si>
    <t>плата за ресницы</t>
  </si>
  <si>
    <t>FA-629</t>
  </si>
  <si>
    <t>оплата за косметику</t>
  </si>
  <si>
    <t>оплата за кисти</t>
  </si>
  <si>
    <t>ИП Крылов</t>
  </si>
  <si>
    <t>FA-885</t>
  </si>
  <si>
    <t>1 предоплата из запланнированных инвойсов</t>
  </si>
  <si>
    <t>Оплата за запчасти</t>
  </si>
  <si>
    <t>за экструзионную линию (30% от инвойса)</t>
  </si>
  <si>
    <t>Оплата за товар (30%)</t>
  </si>
  <si>
    <t>Курсовую разницу выставили переделав новый счет</t>
  </si>
  <si>
    <t>FA-694</t>
  </si>
  <si>
    <t>FA-883</t>
  </si>
  <si>
    <t>ООО СВС Трейдинг</t>
  </si>
  <si>
    <t>оплата за груз. Двигатель</t>
  </si>
  <si>
    <t>За грузовой двигатель</t>
  </si>
  <si>
    <t>Доплата по инвойсу токарное оборудование</t>
  </si>
  <si>
    <t>светодиодные прожекторы</t>
  </si>
  <si>
    <t>оплата за кисти 30%(новый счет) оплатил разницу</t>
  </si>
  <si>
    <t>оплата за джинсы</t>
  </si>
  <si>
    <t>(ранее выставили неправильный счет на сумму 2 178 долл)</t>
  </si>
  <si>
    <t>Одежда ZIAI</t>
  </si>
  <si>
    <t>80 шт</t>
  </si>
  <si>
    <t>Лера запросила неправильный счет, верная сумма 31 880 долл</t>
  </si>
  <si>
    <t>FA-804</t>
  </si>
  <si>
    <t>оплата за воск</t>
  </si>
  <si>
    <t>Оплата за бумагу</t>
  </si>
  <si>
    <t>Товар-светильники</t>
  </si>
  <si>
    <t>Товар-прожекторы</t>
  </si>
  <si>
    <t>оплата за точилки</t>
  </si>
  <si>
    <t>везём по рискам(т.к. сумма меньше чем в инвойсе)</t>
  </si>
  <si>
    <t>Товар - 3 позиции (по фактической)</t>
  </si>
  <si>
    <t>конвертация (-5% после оплаты)</t>
  </si>
  <si>
    <t>57А</t>
  </si>
  <si>
    <t>Полки</t>
  </si>
  <si>
    <t>FA-887</t>
  </si>
  <si>
    <t>ООО "НордВестСкрап"</t>
  </si>
  <si>
    <t>Счет переделали 26-11-2021 на сумму 2 338 529 руб</t>
  </si>
  <si>
    <t>ИП Селина</t>
  </si>
  <si>
    <t>FA694</t>
  </si>
  <si>
    <t>Astrid</t>
  </si>
  <si>
    <t>CF</t>
  </si>
  <si>
    <t>Поплавок (по факт. Стоим)</t>
  </si>
  <si>
    <t>ООО Нью Лайн</t>
  </si>
  <si>
    <t>Конт FSYY-48 (пришлось податься чуть ниже фактической стоимости, инфа у Лены)</t>
  </si>
  <si>
    <t>57А машина</t>
  </si>
  <si>
    <t>Лампы (Агентский договор, везём по рискам
2 оплата по инвойсу, 1 была - 3000долл)</t>
  </si>
  <si>
    <t>Оплата за запчасти (первая оплата)</t>
  </si>
  <si>
    <t>Салфетки (предопл. По инвойсу)</t>
  </si>
  <si>
    <t>По фактической стоимости. Инвйос в папке (13 690 долл)</t>
  </si>
  <si>
    <t>По фактической стоимости</t>
  </si>
  <si>
    <t>Поплавок 0,75/0,658 г/см3; РГИ=19,8Мпа; Тmax=350C   1шт</t>
  </si>
  <si>
    <t>Боковой поплавковый переключатель уровня  UQK-02-B - 0Cr18Ni9 - 1.6MPa-0~150℃ - 0.8 g/cm3 -EN1092 DN80 PN16   1 штука
Переключатель радиочастотного уровня DRF98 - 1 - C - 1 - 1 - 1 - A – D    1 штука
Переключатель уровня камертона UYCK - B - B - 1 - 3 - 2- 1 – D   1 штука</t>
  </si>
  <si>
    <t>Оплата за инструменты( факт)</t>
  </si>
  <si>
    <t>116 машина</t>
  </si>
  <si>
    <t>ИП Сударикова</t>
  </si>
  <si>
    <t>Одежда (Астрид)</t>
  </si>
  <si>
    <t>оплата за корпуса светильников (1 часть была 25.10.2021)</t>
  </si>
  <si>
    <t>спонжи (цены от клиента)</t>
  </si>
  <si>
    <t>залог (Stella Rosa)</t>
  </si>
  <si>
    <t>FA-879</t>
  </si>
  <si>
    <t xml:space="preserve">FI-572 </t>
  </si>
  <si>
    <t>ООО Ваиртек Рус</t>
  </si>
  <si>
    <t>50% оплата в долл, другая будет в юа</t>
  </si>
  <si>
    <t>пресс и комплектующие</t>
  </si>
  <si>
    <t>FA-889</t>
  </si>
  <si>
    <t>USB 10 000 шт. по фактической</t>
  </si>
  <si>
    <t>ООО КБ Контур</t>
  </si>
  <si>
    <t>Авиа 87</t>
  </si>
  <si>
    <t>ООО Партс-М</t>
  </si>
  <si>
    <t>Ролики (факт)</t>
  </si>
  <si>
    <t>Напольные стойки, фильтры</t>
  </si>
  <si>
    <t>Лускири</t>
  </si>
  <si>
    <t>ЮА С ФАПЬЯО</t>
  </si>
  <si>
    <t>114 машина</t>
  </si>
  <si>
    <t>Наличные 51900 + 52347 на ФИ + 2000 руб докинула</t>
  </si>
  <si>
    <t>115 машина</t>
  </si>
  <si>
    <t>клапаны WINGOIL HS 20121 20000 psi LF4 316SS - 4 шт</t>
  </si>
  <si>
    <t>Клапаны 4 шт (по факт.)</t>
  </si>
  <si>
    <t>ткань, фапьяо (2 инвойса)</t>
  </si>
  <si>
    <t>233 743,22</t>
  </si>
  <si>
    <t>FA-878</t>
  </si>
  <si>
    <t>ИП Харченко Валентина</t>
  </si>
  <si>
    <t>мебельный интерьер (% от Шеяна)</t>
  </si>
  <si>
    <t>Первое, чем уменьшить долг можно в будущем , это он нам оплатит, а мы переведём ему 11396,5 долл куда он скажет. За товар должен по документам потому что.</t>
  </si>
  <si>
    <t>Машина 110 (была неправильная подача цен на таможню (18 875 долл, по всему инвойсу)</t>
  </si>
  <si>
    <t>ткань, фапьяо</t>
  </si>
  <si>
    <t>Astrid (2 часть оплаты за весну)</t>
  </si>
  <si>
    <t>FI-661</t>
  </si>
  <si>
    <t>оплата за линейки</t>
  </si>
  <si>
    <t>74,54 курс повторного запроса суммы от Владимирова (попросила Лера, инфа в переписке)</t>
  </si>
  <si>
    <t>FA-890</t>
  </si>
  <si>
    <t>ИП Лазаренко</t>
  </si>
  <si>
    <t>оплата за вернхюю одежду</t>
  </si>
  <si>
    <t>оплата за верхнюю одежду</t>
  </si>
  <si>
    <t>133 штуки по 0,6 кг на 23,02=1757$</t>
  </si>
  <si>
    <t>Расчёт на 64 (из 160 ) штук  равно 845 долл</t>
  </si>
  <si>
    <t>Счет переделан по курсу 75,25 20.12.2021</t>
  </si>
  <si>
    <t>одежда</t>
  </si>
  <si>
    <t>(ошибочная оплата 676 кода по реквизитам 727 кода)</t>
  </si>
  <si>
    <t>одежда (5% за перевод)</t>
  </si>
  <si>
    <t>108 машина (с другой оплатой 10.09.2021, средний курс 73,52)</t>
  </si>
  <si>
    <t>TOWMY</t>
  </si>
  <si>
    <t>3 оплаты (3 623 долл + 3 534 долл + 3 623 долл)</t>
  </si>
  <si>
    <t>По ошибке изначально 676 код оплатили по неверным реквизитам (оплатили 676 код через ФИ с денег Владимирова)</t>
  </si>
  <si>
    <t xml:space="preserve">23.12.2021 оплатили 2 781,8 долл (17 692,25 юа) напрямую не через фапьяо. Итого 19 017,75 - 2 781,8 = 16 235,95. Будет оплата 13 644,25 долл (86 777,42 юа). Позже будет оплата 786,20 долл по фапьяо (5 000,23 юа). Оплатили этим же днем еще 14 430,45 долл = 91 777,66 юа </t>
  </si>
  <si>
    <t>Оправы для очков Nikita (полетит авиа 17 коробок)</t>
  </si>
  <si>
    <t>Оборудование (50% от инвойса)</t>
  </si>
  <si>
    <t>FA-892</t>
  </si>
  <si>
    <t>ткань по рискам</t>
  </si>
  <si>
    <t>FA-789</t>
  </si>
  <si>
    <t>ИП Потапова</t>
  </si>
  <si>
    <t>ИП Корелов</t>
  </si>
  <si>
    <t>часы (по фактической)</t>
  </si>
  <si>
    <t>часы (по фактической) другой инвойс</t>
  </si>
  <si>
    <t>Предопл 50% (по факт.)</t>
  </si>
  <si>
    <t>57 машина (30-07-2021)</t>
  </si>
  <si>
    <t>113 машина</t>
  </si>
  <si>
    <t>Лазерные массивы</t>
  </si>
  <si>
    <t>BOREIIA</t>
  </si>
  <si>
    <t>за оборудование (иксер, паста, принтер)</t>
  </si>
  <si>
    <t>117 машина 776C (по рискам, согласовано с ПБ)</t>
  </si>
  <si>
    <t>117 машина (без буквы А) + 116 машина (по рискам, согласовано с ПБ)</t>
  </si>
  <si>
    <t>оборудование</t>
  </si>
  <si>
    <t>салфетки 2 часть</t>
  </si>
  <si>
    <t>бумага</t>
  </si>
  <si>
    <t>54 машина</t>
  </si>
  <si>
    <t>лампы по рискам</t>
  </si>
  <si>
    <t>54 машина (примечания в инвойсе)</t>
  </si>
  <si>
    <t>FA-898</t>
  </si>
  <si>
    <t>Стайлекс 171 шт</t>
  </si>
  <si>
    <t>ИП Фомичева</t>
  </si>
  <si>
    <t>Авиа 90</t>
  </si>
  <si>
    <t>Машина 117 (все остальное) + 54 (принтер)</t>
  </si>
  <si>
    <t>Платы (факт. Цена) 118к шт.</t>
  </si>
  <si>
    <t>54 машина (на всю сумму)</t>
  </si>
  <si>
    <t>Оплата за платы 63850 шт</t>
  </si>
  <si>
    <t>Авиа 90 (45370 шт) + 54 маш. (18480 шт)</t>
  </si>
  <si>
    <t>1 офиц. оплата для Astrid, будет 2 часть офиц.оплаты.  Часть товара на сумму 1299,24 долл проехала в Авиа 92</t>
  </si>
  <si>
    <t>116+87 (вроде)92 Авиа</t>
  </si>
  <si>
    <t>Машина 54 (29350 шт) + Авиа 92 (21480 шт)</t>
  </si>
  <si>
    <t>Машина 118 (вышло в ноль)</t>
  </si>
  <si>
    <t>сетка доплата 50%</t>
  </si>
  <si>
    <t>FA-790</t>
  </si>
  <si>
    <t>ТД Автоматика</t>
  </si>
  <si>
    <t>электрооборудование</t>
  </si>
  <si>
    <t xml:space="preserve">шкалы </t>
  </si>
  <si>
    <t>FA-886</t>
  </si>
  <si>
    <t>ИП Смолюк</t>
  </si>
  <si>
    <t>57А часть</t>
  </si>
  <si>
    <t>изделия из древесно-полимерного композита</t>
  </si>
  <si>
    <t>Плюс оплата за наличные</t>
  </si>
  <si>
    <t>119 машина подача на сумму по инвойсу</t>
  </si>
  <si>
    <t>119 машина</t>
  </si>
  <si>
    <t>джинсы(инфо в примечаниях)</t>
  </si>
  <si>
    <t>FA-704</t>
  </si>
  <si>
    <t>оплата в долл
Стайлекс весна 131 шт( 81 на складе, 50 довезут)
 Авиа</t>
  </si>
  <si>
    <t>57А машина Yimosis/ 111 машина Towmy</t>
  </si>
  <si>
    <t>111 машина</t>
  </si>
  <si>
    <t>Машина 108 и 109</t>
  </si>
  <si>
    <t>FA-907</t>
  </si>
  <si>
    <t>ООО ЧЕЛТРА</t>
  </si>
  <si>
    <t>Доплата 70% по инвойсу (Покупаем клиенту в долг.Сейчас переводим доллары)</t>
  </si>
  <si>
    <t>авиа янв 2022</t>
  </si>
  <si>
    <t>Машина 112</t>
  </si>
  <si>
    <t>102 машина платья + платеж от 20.08.2021</t>
  </si>
  <si>
    <t>Авиа SVP-84</t>
  </si>
  <si>
    <t>Машина 106</t>
  </si>
  <si>
    <t>Машина 113</t>
  </si>
  <si>
    <t>джинсы (по факт)</t>
  </si>
  <si>
    <t>полная оплата по инвойсу
подаёмся по факту</t>
  </si>
  <si>
    <t>машина 113</t>
  </si>
  <si>
    <t>114 машина (подавались по рискам)</t>
  </si>
  <si>
    <t>119 машина подача на всю сумму</t>
  </si>
  <si>
    <t>155 державок + 520 пластин уехало в 112 машине</t>
  </si>
  <si>
    <t>ООО Акрил-стор</t>
  </si>
  <si>
    <t>Оплата за платы  (по факт)</t>
  </si>
  <si>
    <t>платы(по факт)</t>
  </si>
  <si>
    <t>(ПРЕДОПЛАТА) изделия из древесно-полимерного композита</t>
  </si>
  <si>
    <t>122 на всю сумму</t>
  </si>
  <si>
    <t>ООО Партс-М (973 код)</t>
  </si>
  <si>
    <t>122 машина (полная стоим)</t>
  </si>
  <si>
    <t>стеллаж по факт</t>
  </si>
  <si>
    <t>Товар клиента поставщики продали, был возврат средств</t>
  </si>
  <si>
    <t>мишура</t>
  </si>
  <si>
    <t>117 машина</t>
  </si>
  <si>
    <t>102 машина</t>
  </si>
  <si>
    <t>118А</t>
  </si>
  <si>
    <t>шкафы по факт.</t>
  </si>
  <si>
    <t>FA-913</t>
  </si>
  <si>
    <t>ИП Прохорова</t>
  </si>
  <si>
    <t>Сумки</t>
  </si>
  <si>
    <t>FA-914</t>
  </si>
  <si>
    <t>ООО ВиСтеп</t>
  </si>
  <si>
    <t>ЮнитОптик</t>
  </si>
  <si>
    <t>оправы (30%)</t>
  </si>
  <si>
    <t>линзы (50%)</t>
  </si>
  <si>
    <t>линзы (30%)</t>
  </si>
  <si>
    <t>мишура доплата</t>
  </si>
  <si>
    <t>оптические линейки</t>
  </si>
  <si>
    <t>Авиа ФЕВ 2</t>
  </si>
  <si>
    <t>Оплата за инструменты 50%(факт)</t>
  </si>
  <si>
    <t>Инструменты полная оплата (факт)</t>
  </si>
  <si>
    <t>Проминдустрия</t>
  </si>
  <si>
    <t>121 машина на всю сумму</t>
  </si>
  <si>
    <t>110 машина, 114 машина, 121 машина</t>
  </si>
  <si>
    <t>вакуумные пакеты по рискам</t>
  </si>
  <si>
    <t>шкалы 50 шт</t>
  </si>
  <si>
    <t>ООО ТД Автоматика</t>
  </si>
  <si>
    <t xml:space="preserve">Станок </t>
  </si>
  <si>
    <t>Офис Энгельс ПБ отправил платежку 21-02-2022</t>
  </si>
  <si>
    <t>частотный преобразователь</t>
  </si>
  <si>
    <t>119 машина на всю сумму</t>
  </si>
  <si>
    <t>119 машина  519,45 долл ZiAi</t>
  </si>
  <si>
    <t>оплата за бумагу</t>
  </si>
  <si>
    <t>Нужно будет курсовую разницу учесть в доставке, так как курс выставления счета больше, чем фактической курс покупки валюты</t>
  </si>
  <si>
    <t>118 машина на всю сумму</t>
  </si>
  <si>
    <t>FA-672 (973)</t>
  </si>
  <si>
    <t>FA-917</t>
  </si>
  <si>
    <t>ООО Самикс</t>
  </si>
  <si>
    <t>вибродвигатель</t>
  </si>
  <si>
    <t>одежда DSGdong (оплата в долл)</t>
  </si>
  <si>
    <t>118 машина 9060 долл</t>
  </si>
  <si>
    <t>ПБ писал в чате Киров одежда: мы выставим , счет плюс 0,6 процента</t>
  </si>
  <si>
    <t>474,68 долл 118 машина</t>
  </si>
  <si>
    <t>мет. Фурнитура по факту</t>
  </si>
  <si>
    <t>пластик. Конвейерная лента</t>
  </si>
  <si>
    <t>Перевыставление счета с учетом курсовой разницы. Старый курс 81,27</t>
  </si>
  <si>
    <t>ООО Юнит Оптик</t>
  </si>
  <si>
    <t>оправы</t>
  </si>
  <si>
    <t>плёнка по факт</t>
  </si>
  <si>
    <t>Информация по оплатам и подаче в файле с доп. Инфо. Перевыставление счета с учетом новой комисси за перевод, курса покупки и комиссии Форекс</t>
  </si>
  <si>
    <t>18 машина (7079,88 долл)</t>
  </si>
  <si>
    <t>97,84 изначальный курс. Перевыставление после покупки валюты Форекс</t>
  </si>
  <si>
    <t>самостоятельно они оплатили 20 381 юа(4 527,4 долл) закрыли депозит 2 партии джинс и частично остаток 1 партии джинс. Первая часть 2664 долл оплата
Данная оплата идёт за остаток по данному инвойсу</t>
  </si>
  <si>
    <t>118А машина</t>
  </si>
  <si>
    <t>121 машина</t>
  </si>
  <si>
    <t>Пришлось поднять до рисков, вышла подача на 5860 долл</t>
  </si>
  <si>
    <t>Поставщики по ошибке присвоили грузу код FA-836. Подача на сумму 2953,64 долл</t>
  </si>
  <si>
    <t>94,63 курс фактический, но клиент попросил на всякийслучай посчитать по курсу 100 руб за доллар.     112 крс</t>
  </si>
  <si>
    <t>ЮА</t>
  </si>
  <si>
    <t>Сумма для покупки товара изменилась - 23 490 юа ZiAi и 15 187 юа Astrid. Остаток денег учесть как скидку.</t>
  </si>
  <si>
    <t xml:space="preserve"> Подача должна быть на сумму 710 долл. Будет еще неоф оплата одним платежем с официальными юанями. 99,41 курс и 0,94 комиссия изначальная</t>
  </si>
  <si>
    <t>Машина 122 на всю сумму</t>
  </si>
  <si>
    <t>корпуса ветиильников ФАПЬЯО</t>
  </si>
  <si>
    <t>UPD!: нужно довыставить клиенту разницу с учетом новой комиссии и дополнительных долларов к покупке. Клиент попросил перевыставить счет по новому инвойсу. Счет перевыставлен 21-02-2022. Так же 24-02-2022 перевыставили счет с учетом курсовой разницы</t>
  </si>
  <si>
    <t>фурнитура</t>
  </si>
  <si>
    <t>ткань</t>
  </si>
  <si>
    <t>123 машина</t>
  </si>
  <si>
    <t>Счет для оплаты долга, так как товар выкупали до этого в долг. 118,5 изначальный курс. Павел Борисович попросил переделать по курсу 105. Снова попросили перевыставить, курс 87</t>
  </si>
  <si>
    <t>ООО Кубань-Снаб</t>
  </si>
  <si>
    <t>Руб</t>
  </si>
  <si>
    <t>1 068 674,97 руб идёт на закрытие долга по докам. Оплата в рублях.
На оставшуюся сумму подаёмся на таможню  = 1 673 824,03руб</t>
  </si>
  <si>
    <t>линейные шкалы</t>
  </si>
  <si>
    <t>FA768</t>
  </si>
  <si>
    <t>Машина 118А (10 540), 119 машина (6 196,48)</t>
  </si>
  <si>
    <t>123 машина подача 4 500 долл.</t>
  </si>
  <si>
    <t>Астрид и Зиаи</t>
  </si>
  <si>
    <t>FA-923</t>
  </si>
  <si>
    <t>ООО Бонэр</t>
  </si>
  <si>
    <t>газовые сенсоры</t>
  </si>
  <si>
    <t>фрезерное и сверлильное оборудование 70%</t>
  </si>
  <si>
    <t>ООО Юнитоптик</t>
  </si>
  <si>
    <t>FA-920</t>
  </si>
  <si>
    <t>АО Агроперспектива</t>
  </si>
  <si>
    <t>Затрачено на конвертацию 31 408,88 руб</t>
  </si>
  <si>
    <t>FA-926</t>
  </si>
  <si>
    <t>ООО «Торговый дом "Титан"»</t>
  </si>
  <si>
    <t>центробежные вентиляторы</t>
  </si>
  <si>
    <t>Затрачено на конвертацию 949 740,76 руб + 6 890,67 руб</t>
  </si>
  <si>
    <t>Евакана 15%</t>
  </si>
  <si>
    <t xml:space="preserve"> оплата за фрезерное и сверлильное оборудование</t>
  </si>
  <si>
    <t>Циаи+Астрид 15% юа</t>
  </si>
  <si>
    <t>Нужно доплатить 35 377,70 руб. 1 735 377,70 руб - трата на конвертацию + 1% комиссии. Оплата от клиента - 1 700 000 руб</t>
  </si>
  <si>
    <t>124 машина. Риски выше фактической стоимости</t>
  </si>
  <si>
    <t>124 машина</t>
  </si>
  <si>
    <t>линзы</t>
  </si>
  <si>
    <t>Валюту пока не покупаем на момент 07.04.2022</t>
  </si>
  <si>
    <t>газовые сенсорыы</t>
  </si>
  <si>
    <t>124 машина на всю сумму</t>
  </si>
  <si>
    <t>123 машина часть</t>
  </si>
  <si>
    <t>123 машина (полная стоим)</t>
  </si>
  <si>
    <t>часы</t>
  </si>
  <si>
    <t>30%салфетки</t>
  </si>
  <si>
    <t>Курс покупки 12,59. Курс выставления 12,45</t>
  </si>
  <si>
    <t>оплата за запчасти</t>
  </si>
  <si>
    <t>124 машина 414 долл 1400 шт из 2400. 125 машина остальные 1000 шт 296 долл</t>
  </si>
  <si>
    <t>125 машина на всю сумму</t>
  </si>
  <si>
    <t>ИП Татаренко</t>
  </si>
  <si>
    <t>FI-869</t>
  </si>
  <si>
    <t>125 машина по рискам</t>
  </si>
  <si>
    <t>125 машина на всю сумму (записан как 766 код)</t>
  </si>
  <si>
    <t>ООО ВаритекРус</t>
  </si>
  <si>
    <t>цепь</t>
  </si>
  <si>
    <t>колеса</t>
  </si>
  <si>
    <t>цепи</t>
  </si>
  <si>
    <t>FA-931</t>
  </si>
  <si>
    <t>ИП Головкова</t>
  </si>
  <si>
    <t>верхняя одежда</t>
  </si>
  <si>
    <t>проволока</t>
  </si>
  <si>
    <t>глина</t>
  </si>
  <si>
    <t>молды</t>
  </si>
  <si>
    <t>FA-932</t>
  </si>
  <si>
    <t>ИП Козинов</t>
  </si>
  <si>
    <t>джемперы</t>
  </si>
  <si>
    <t>платы (20% предоплата)</t>
  </si>
  <si>
    <t>Счет с учетом переплаты клиента после перерасчета в размере 33 947,35 руб. На конвертацию затрачено 771 666,41 руб + комиссия форекс 5 904,66 руб. (Инфа в папке FA-840) Купили 65 656,95 юа на сумму в 734 044,78 руб при курсе 11,18.</t>
  </si>
  <si>
    <t>Валюту пока не покупали, инфа в таблице в папке Нужно оплатить в Китай</t>
  </si>
  <si>
    <t>118А - 814,37 долл. 54 машина - 2 434,31 долл</t>
  </si>
  <si>
    <t>джинсы</t>
  </si>
  <si>
    <t>20% салфетки</t>
  </si>
  <si>
    <t>светильники</t>
  </si>
  <si>
    <t>500 юа при курсе 10,98 доплата за смену реквизитов</t>
  </si>
  <si>
    <t>ткань юа безнал</t>
  </si>
  <si>
    <t>Купили валюту, но поставщик попросил клиента оплатить в юа</t>
  </si>
  <si>
    <t>Доп инфа в папке. Поставщики просят подкорректировать реквизиты, выставляем клиенту 500 юа доплаты (курс 10,45 руб/юа).</t>
  </si>
  <si>
    <t>ПрофТехСнаб</t>
  </si>
  <si>
    <t>инструменты</t>
  </si>
  <si>
    <t>Авиа 103 на всю сумму</t>
  </si>
  <si>
    <t xml:space="preserve">Авиа 103 </t>
  </si>
  <si>
    <t>шнек-цилиндр</t>
  </si>
  <si>
    <t>доплата за изделия из Древесно-полимерного композита</t>
  </si>
  <si>
    <t>Инзначально выставили счет по курсу 10,04 руб/юа. Купили валюту по курсу 10,50, перевтавлчем клиенту. Клиент оплатил курсовую разницу 11.05.2022</t>
  </si>
  <si>
    <t>Скорее всего по просьбе клиента будем возвращать платеж. Стоимость 80 долл</t>
  </si>
  <si>
    <t>Отправлял инфу в платежи, но валюту пока не покупали. Клиент думает оплатить безнал юа.</t>
  </si>
  <si>
    <t>СВ писал в чате Платежи: Предоплата была по контракту в долл. Доплата в юанях. И название они поменяли. С названием проблемум допник меняет. А вот с доплатой по контракту в юанях я уточню.</t>
  </si>
  <si>
    <t>Реквизиты на американский банк, ждем другие. Валюту пока не покупали. Обновление инфы на 16.05.2022: поставщик сообщил Соне, что платежи из РФ этот банк принимает, клиент согласен на оплату.</t>
  </si>
  <si>
    <t>Towmy, это аванс 30%</t>
  </si>
  <si>
    <t>Нал.юа</t>
  </si>
  <si>
    <t>7 855,50</t>
  </si>
  <si>
    <t>FA-688</t>
  </si>
  <si>
    <t>ТК Группа</t>
  </si>
  <si>
    <t>Ваиртэк Рус</t>
  </si>
  <si>
    <t>1856 шт "DSG"</t>
  </si>
  <si>
    <t>FA-557</t>
  </si>
  <si>
    <t>оплата за газовые сенсоры</t>
  </si>
  <si>
    <t xml:space="preserve">Доплата к счету от 12.05.2022 </t>
  </si>
  <si>
    <t>оплата за оборудование</t>
  </si>
  <si>
    <t>Фапьяо юа</t>
  </si>
  <si>
    <t>оплата за видеооткрытки</t>
  </si>
  <si>
    <t>оплата за редуцирующий станок</t>
  </si>
  <si>
    <t>FA-916</t>
  </si>
  <si>
    <t>ИП Павлов</t>
  </si>
  <si>
    <t>оплата за контроллеры</t>
  </si>
  <si>
    <t>Оправы</t>
  </si>
  <si>
    <t>FA-940</t>
  </si>
  <si>
    <t>ИП Пирожков</t>
  </si>
  <si>
    <t>оплата за магниты</t>
  </si>
  <si>
    <t>Доплата за глину</t>
  </si>
  <si>
    <t>Доплата за проволку</t>
  </si>
  <si>
    <t>оплата за флок-пудру</t>
  </si>
  <si>
    <t>оплата за сенсоры давления</t>
  </si>
  <si>
    <t>2 оплата за MIEGOFCE, 70 шт.</t>
  </si>
  <si>
    <t>ООО Парст-М</t>
  </si>
  <si>
    <t>оплата за резьбонакатной станок</t>
  </si>
  <si>
    <t>оплата за смолу</t>
  </si>
  <si>
    <t>оплата за регулятор расхода газов</t>
  </si>
  <si>
    <t>Шкала AB до 200°С 3м</t>
  </si>
  <si>
    <t>оплата за одежду</t>
  </si>
  <si>
    <t>Возврат с Китая</t>
  </si>
  <si>
    <t>Banderas - 5 147 юа</t>
  </si>
  <si>
    <t>2 оплата за Классика Мода, 132 шт. остаток будет 952 юа</t>
  </si>
  <si>
    <t>оплата за кварцевые реакторы</t>
  </si>
  <si>
    <t>FI-747</t>
  </si>
  <si>
    <t>оплата за ключи</t>
  </si>
  <si>
    <t>оплата за платы</t>
  </si>
  <si>
    <t>оплата за оптические линейки</t>
  </si>
  <si>
    <t>оплата за плёнку</t>
  </si>
  <si>
    <t>оплата за двухшпиндельный гайканарезной станок</t>
  </si>
  <si>
    <t>ООО Имтрейд-Групп</t>
  </si>
  <si>
    <t>FA-944</t>
  </si>
  <si>
    <t>ООО Карбогатто</t>
  </si>
  <si>
    <t>оплата за батарейки</t>
  </si>
  <si>
    <t>оплата за молды</t>
  </si>
  <si>
    <t>Закрытие долга</t>
  </si>
  <si>
    <t>ИП Фомичёва</t>
  </si>
  <si>
    <t>Оплата Стайлекс, 140 шт. нал. юа.</t>
  </si>
  <si>
    <t>Оплата по инвойсу</t>
  </si>
  <si>
    <t>Фапьяо</t>
  </si>
  <si>
    <t>Доплата MIEGOFCE (25 шт)</t>
  </si>
  <si>
    <t>Доплата Chiago (41 шт)</t>
  </si>
  <si>
    <t>FA-946</t>
  </si>
  <si>
    <t>ООО Технолайт</t>
  </si>
  <si>
    <t>Цепи для харвестера 100%</t>
  </si>
  <si>
    <t>Цепи для харвестера 30%</t>
  </si>
  <si>
    <t>Одежда</t>
  </si>
  <si>
    <t>оплата  за интегральные микросхемы</t>
  </si>
  <si>
    <t>FA-677</t>
  </si>
  <si>
    <t>ООО Сварга</t>
  </si>
  <si>
    <t>оплата за подкладки</t>
  </si>
  <si>
    <t>оплата за резьбонакатные ролики</t>
  </si>
  <si>
    <t>FA-951</t>
  </si>
  <si>
    <t>ООО Авалон</t>
  </si>
  <si>
    <t>ИП Пурыжинский</t>
  </si>
  <si>
    <t>FA-949</t>
  </si>
  <si>
    <t>оплата за кошельки</t>
  </si>
  <si>
    <t>FA-950</t>
  </si>
  <si>
    <t>оплата за станок</t>
  </si>
  <si>
    <t>оплата за катриджи</t>
  </si>
  <si>
    <t>ООО А-Технология</t>
  </si>
  <si>
    <t>оплата за силиконовую пасту</t>
  </si>
  <si>
    <t>оплата за стёкла</t>
  </si>
  <si>
    <t>К оплате 53950</t>
  </si>
  <si>
    <t>оплата за газовую арматуру</t>
  </si>
  <si>
    <t>оплата за разъёмы</t>
  </si>
  <si>
    <t>оплата за часы</t>
  </si>
  <si>
    <t>56.8117</t>
  </si>
  <si>
    <t>FA-625</t>
  </si>
  <si>
    <t>B-UNIQUE</t>
  </si>
  <si>
    <t>оплата за станки</t>
  </si>
  <si>
    <t>ИП Бободжонов</t>
  </si>
  <si>
    <t>FA-954</t>
  </si>
  <si>
    <t>FA-952</t>
  </si>
  <si>
    <t>ИП Ветров</t>
  </si>
  <si>
    <t>оплата за двигатели</t>
  </si>
  <si>
    <t>оплата за коврики</t>
  </si>
  <si>
    <t>FA840</t>
  </si>
  <si>
    <t>оплата за линзы</t>
  </si>
  <si>
    <t>Частичная оплата</t>
  </si>
  <si>
    <t>FA-768</t>
  </si>
  <si>
    <t>оплата за лампы</t>
  </si>
  <si>
    <t>Лусскири</t>
  </si>
  <si>
    <t>оплата за замки</t>
  </si>
  <si>
    <t>ООО "КамаОйлЦентр"</t>
  </si>
  <si>
    <t>ООО Имтрейд-групп</t>
  </si>
  <si>
    <t>3 916,2</t>
  </si>
  <si>
    <t>2 006,41</t>
  </si>
  <si>
    <t>FA-956</t>
  </si>
  <si>
    <t>ММО «Объединенный институт ядерных исследований»</t>
  </si>
  <si>
    <t>модули расширения</t>
  </si>
  <si>
    <t>Оплата за 3D принтер</t>
  </si>
  <si>
    <t>Поплавки</t>
  </si>
  <si>
    <t>Д395.0203.903 
Вилка</t>
  </si>
  <si>
    <t>Оплата за эмульсии</t>
  </si>
  <si>
    <t>Оплата за одежду</t>
  </si>
  <si>
    <t>ООО «РМ Инжиниринг»</t>
  </si>
  <si>
    <t>FA-953</t>
  </si>
  <si>
    <t>оплата за модули</t>
  </si>
  <si>
    <t>Смартекс Трэйд</t>
  </si>
  <si>
    <t>ИП Шеян</t>
  </si>
  <si>
    <t>ООО «АВАЛОН РУС-ФИНИШНЫЕ СИСТЕМЫ"</t>
  </si>
  <si>
    <t>FA-962</t>
  </si>
  <si>
    <t>ОВК-СЕРВИС</t>
  </si>
  <si>
    <t>оплата за клапаны электромагнитные</t>
  </si>
  <si>
    <t>оплата за ПИД регуляторы температуры</t>
  </si>
  <si>
    <t>оплата за двигатели шаговые</t>
  </si>
  <si>
    <t>ООО НПФ Партс-М</t>
  </si>
  <si>
    <t>оплата за оборудование по разгрузке печки</t>
  </si>
  <si>
    <t>оплата за линзы для сетодиодов</t>
  </si>
  <si>
    <t>оплата за пластиковые крепежы</t>
  </si>
  <si>
    <t>оплата за печь</t>
  </si>
  <si>
    <t>оплата за пакеты</t>
  </si>
  <si>
    <t>Fl-869</t>
  </si>
  <si>
    <t>оплата за цепь</t>
  </si>
  <si>
    <t>оплата за сосуды Дьюара</t>
  </si>
  <si>
    <t>FA-967</t>
  </si>
  <si>
    <t>ООО Тилмаш</t>
  </si>
  <si>
    <t>Оплата за станок</t>
  </si>
  <si>
    <t>12.08.2022
16.08.2022</t>
  </si>
  <si>
    <t>ИП Резинкина</t>
  </si>
  <si>
    <t>Оплата за вибраторы</t>
  </si>
  <si>
    <t>Оплата за оборудование</t>
  </si>
  <si>
    <t>Оплата за станки</t>
  </si>
  <si>
    <t>FA-971</t>
  </si>
  <si>
    <t>ООО КОСМЕТИКА ПРОФ</t>
  </si>
  <si>
    <t>Оплата за клей для ресниц</t>
  </si>
  <si>
    <t>FА-676</t>
  </si>
  <si>
    <t>оплата за дистанционный держатель 19*25</t>
  </si>
  <si>
    <t>ОВК-Сервис</t>
  </si>
  <si>
    <t>оплата за светодиоды</t>
  </si>
  <si>
    <t>FA-960</t>
  </si>
  <si>
    <t>ИП Мирзоев</t>
  </si>
  <si>
    <t>оплата за пластиковые ленты</t>
  </si>
  <si>
    <t>Оплата за электрооборудование</t>
  </si>
  <si>
    <t>FА-747</t>
  </si>
  <si>
    <t>оплата за инструменты</t>
  </si>
  <si>
    <t>FA-972</t>
  </si>
  <si>
    <t>ООО «ДРАГЦВЕТМЕТ»</t>
  </si>
  <si>
    <t>Клапан</t>
  </si>
  <si>
    <t>ООО ПрофтехСнаб</t>
  </si>
  <si>
    <t>оплата за сумки</t>
  </si>
  <si>
    <t>FA-974</t>
  </si>
  <si>
    <t>ИП Рубчевский</t>
  </si>
  <si>
    <t>оплата за ковры</t>
  </si>
  <si>
    <t>Сита Anping</t>
  </si>
  <si>
    <t>FA-970</t>
  </si>
  <si>
    <t>ООО Промосиндикат</t>
  </si>
  <si>
    <t>оплата за станок и чернила</t>
  </si>
  <si>
    <t>ООО НПП Лайтап</t>
  </si>
  <si>
    <t>оплата за корпуса для светодиодных светильников</t>
  </si>
  <si>
    <t>оплата за чернила</t>
  </si>
  <si>
    <t>оплата за коврики для йоги</t>
  </si>
  <si>
    <t>оплата за наполнители керамические и пластиковые абразивные</t>
  </si>
  <si>
    <t>Оснастка к станку RT-230AC (1шт)</t>
  </si>
  <si>
    <t>SV-204</t>
  </si>
  <si>
    <t>ООО Смартекс Трейд</t>
  </si>
  <si>
    <t>Токарный станок с ЧПУ KX-25, барфидер, цанга, блок инструмента</t>
  </si>
  <si>
    <t>FA-969</t>
  </si>
  <si>
    <t>ИП Дружинина</t>
  </si>
  <si>
    <t>оплата за альбомы</t>
  </si>
  <si>
    <t>FA-976</t>
  </si>
  <si>
    <t>ООО Палладиум</t>
  </si>
  <si>
    <t>лампы 505 шт</t>
  </si>
  <si>
    <t>FA-957</t>
  </si>
  <si>
    <t>ИП Филатов</t>
  </si>
  <si>
    <t>сумки</t>
  </si>
  <si>
    <t>лампы</t>
  </si>
  <si>
    <t>6 487,05</t>
  </si>
  <si>
    <t>FI630</t>
  </si>
  <si>
    <t>косметика</t>
  </si>
  <si>
    <t>Станок шлифовально-полировальный турбогалтовка VA-20WET</t>
  </si>
  <si>
    <t>6.74 кросс-курс</t>
  </si>
  <si>
    <t>оплата за оборудование В ЕВРО оплата в ГК</t>
  </si>
  <si>
    <t>кисти</t>
  </si>
  <si>
    <t xml:space="preserve"> оплата за подносы, контейнеры, корзины</t>
  </si>
  <si>
    <t>оплата за шкафы</t>
  </si>
  <si>
    <t>FA-973</t>
  </si>
  <si>
    <t>ООО «АНАНАС групп»</t>
  </si>
  <si>
    <t>FA-964</t>
  </si>
  <si>
    <t>ИП Летова</t>
  </si>
  <si>
    <t>ООО СМАРТ ГРУПП</t>
  </si>
  <si>
    <t>Смартекс Трейд</t>
  </si>
  <si>
    <t>инфа в чате</t>
  </si>
  <si>
    <t>FA-959</t>
  </si>
  <si>
    <t>Вилка 50-12-565</t>
  </si>
  <si>
    <t>установщик CHM-863, принтер для пасты </t>
  </si>
  <si>
    <t>оплата за пластиковую трубку</t>
  </si>
  <si>
    <t>FA-869</t>
  </si>
  <si>
    <t>оплата за транспортирующую сетку</t>
  </si>
  <si>
    <t>деньги пришли не от ООО, а со сбера</t>
  </si>
  <si>
    <t>Возврат средств клиенту. Продажа 1 385 долл, покупка 82 857,90 руб</t>
  </si>
  <si>
    <t>Клиент попросил по приходу денег купить на них юани и придержать</t>
  </si>
  <si>
    <t>Купленные доллары используем для других клиентов.</t>
  </si>
  <si>
    <t xml:space="preserve"> оплата за шарнирный рычаг инспекционной машины</t>
  </si>
  <si>
    <t>оплата за станок 30%</t>
  </si>
  <si>
    <t>оплата за салфетки доплата 50%</t>
  </si>
  <si>
    <t>должно быть безнал.юа</t>
  </si>
  <si>
    <t>оплата за датчики давления</t>
  </si>
  <si>
    <t>оплата за регуляторы давления газа</t>
  </si>
  <si>
    <t>оплата за шаговые двигатели</t>
  </si>
  <si>
    <t>оплата за шариковою винтовую пару</t>
  </si>
  <si>
    <t>оплата за линзы/оправы</t>
  </si>
  <si>
    <t>Ушли на доставку</t>
  </si>
  <si>
    <t>23,945,00</t>
  </si>
  <si>
    <t>Оплачено частично</t>
  </si>
  <si>
    <t>оплата за блоки питания</t>
  </si>
  <si>
    <t>FA-978</t>
  </si>
  <si>
    <t>ИП Косихин</t>
  </si>
  <si>
    <t>бесшумная транспортирующая цепь</t>
  </si>
  <si>
    <t>Оплата за фильтры и гильзы для сигарет</t>
  </si>
  <si>
    <t>FA-979</t>
  </si>
  <si>
    <t>ООО Рогос</t>
  </si>
  <si>
    <t>оплата за фрезерный станок VMC850</t>
  </si>
  <si>
    <t>DSG 1 100 шт частичная оплата</t>
  </si>
  <si>
    <t>9 170,18</t>
  </si>
  <si>
    <t>ОПЛАТА НА ТГ</t>
  </si>
  <si>
    <t>оплата за измерители влажности</t>
  </si>
  <si>
    <t>оплата  за колёса и петли</t>
  </si>
  <si>
    <t>Оплачнно</t>
  </si>
  <si>
    <t>оплата  за фильтры</t>
  </si>
  <si>
    <t>FA-980</t>
  </si>
  <si>
    <t>ООО Луна</t>
  </si>
  <si>
    <t>Монохромный OLED-дисплей M0019H 128х64</t>
  </si>
  <si>
    <t>оплата за гранулятор и вибрационное сито</t>
  </si>
  <si>
    <t>Сфера исп.1 AISI 316L - количество 50шт</t>
  </si>
  <si>
    <t>оплата за Экструдер CD3-0.5LQ</t>
  </si>
  <si>
    <t>FA-982</t>
  </si>
  <si>
    <t>ООО Вектор</t>
  </si>
  <si>
    <t>сварочное оборудование, запасные части к сварочному оборудованию</t>
  </si>
  <si>
    <t>Оплачено 50% счета клиентом, отправлено 50% от юаней по инвойсу</t>
  </si>
  <si>
    <t>оплата за чехлы</t>
  </si>
  <si>
    <t>оплата за пакеты
156685910501029702</t>
  </si>
  <si>
    <t>оплата за пакеты
156686434501029702</t>
  </si>
  <si>
    <t>оплата за шкафы
156004411001029702</t>
  </si>
  <si>
    <t>оплата за шкафы
156040414001029702</t>
  </si>
  <si>
    <t>FA-984</t>
  </si>
  <si>
    <t>ООО "МКИ"</t>
  </si>
  <si>
    <t>оплата за шарнирно винтовые передачи</t>
  </si>
  <si>
    <t>оплата за шарнирно-винтовые передачи</t>
  </si>
  <si>
    <t>АВТО FA- 951 АВАЛОН Турция Сент 2022</t>
  </si>
  <si>
    <t>SVP-30(ФУРА)</t>
  </si>
  <si>
    <t>оплата за плитку</t>
  </si>
  <si>
    <t>FA-986</t>
  </si>
  <si>
    <t>ИП Татаринова</t>
  </si>
  <si>
    <t>оплата за термобельё</t>
  </si>
  <si>
    <t>FA-987</t>
  </si>
  <si>
    <t>ИП Коробейникова</t>
  </si>
  <si>
    <t>за термостаты, реле, радиаторы</t>
  </si>
  <si>
    <t>Оплата за шарнирно винтовые передачи</t>
  </si>
  <si>
    <t>FA-988</t>
  </si>
  <si>
    <t>ИП Бутурлакин</t>
  </si>
  <si>
    <t>К оплате 6 500</t>
  </si>
  <si>
    <t>оплата за датчики давления, датчики температуры, контроллер</t>
  </si>
  <si>
    <t>оплата за образцы перчаток</t>
  </si>
  <si>
    <t>Оплата за замки</t>
  </si>
  <si>
    <t>электронные компоненты</t>
  </si>
  <si>
    <t>FA-985</t>
  </si>
  <si>
    <t>ИП Радченко</t>
  </si>
  <si>
    <t xml:space="preserve">оплата Astrid </t>
  </si>
  <si>
    <t>receivel</t>
  </si>
  <si>
    <t>Фапьяо юа с нал.юа</t>
  </si>
  <si>
    <t>ООО Агроперспектива</t>
  </si>
  <si>
    <t>FA-975</t>
  </si>
  <si>
    <t>ООО Техномоторс</t>
  </si>
  <si>
    <t>ВТТ-150</t>
  </si>
  <si>
    <t>Оплата за комплект подвесов</t>
  </si>
  <si>
    <t>Оплата за ресницы</t>
  </si>
  <si>
    <t>Оплата за точилки</t>
  </si>
  <si>
    <t>Оплата за молды</t>
  </si>
  <si>
    <t>Оплата за терморегуляторы</t>
  </si>
  <si>
    <t>Оплата за линзы</t>
  </si>
  <si>
    <t>Сумма перевода Долл/Евро</t>
  </si>
  <si>
    <t>Оплата за перчатки</t>
  </si>
  <si>
    <t>ИП Калмыков</t>
  </si>
  <si>
    <t>Оплата за плёнку</t>
  </si>
  <si>
    <t>Электронные компоненты</t>
  </si>
  <si>
    <t>FA-992</t>
  </si>
  <si>
    <t>ИП Беляев</t>
  </si>
  <si>
    <t>Магазин инструментов на 24 шт, тип BT50 для горизонтального фрезерного станка</t>
  </si>
  <si>
    <t>SV204</t>
  </si>
  <si>
    <t>ООО Смартэкс Трейд</t>
  </si>
  <si>
    <t>Оплата за оборудование для трафаретной печати</t>
  </si>
  <si>
    <t xml:space="preserve">PI JJ0015F Farmertec Order Form 2022.11.30 </t>
  </si>
  <si>
    <t>Оплата за резьбонакатные ролики</t>
  </si>
  <si>
    <t>FI-6113</t>
  </si>
  <si>
    <t>ООО Интеллект Стайл</t>
  </si>
  <si>
    <t>сенсорные таблички</t>
  </si>
  <si>
    <t>Юа с ТРЛДЖ</t>
  </si>
  <si>
    <t>Оплата за куртки</t>
  </si>
  <si>
    <t>Оплата за фурнитуру</t>
  </si>
  <si>
    <t>Оплата за овощерезки</t>
  </si>
  <si>
    <t>ООО Смарт-групп</t>
  </si>
  <si>
    <t xml:space="preserve">FP-893 </t>
  </si>
  <si>
    <t>ООО АКМ</t>
  </si>
  <si>
    <t>Оплата за электроприводы</t>
  </si>
  <si>
    <t>Юа по ИНВОЙСУ</t>
  </si>
  <si>
    <t>Оплата за  двигатели</t>
  </si>
  <si>
    <t>Оплата за кабель управления</t>
  </si>
  <si>
    <t>Оплата за приборы для измерения твёрдости материалов</t>
  </si>
  <si>
    <t>ООО МКИ</t>
  </si>
  <si>
    <t>Оплата за грипперную цепь</t>
  </si>
  <si>
    <t>Оплата за платы</t>
  </si>
  <si>
    <t>ООО ПрофТехснаб</t>
  </si>
  <si>
    <t>Оплата за инструменты</t>
  </si>
  <si>
    <t>Кран шаровой SS-B5S-F8-P13</t>
  </si>
  <si>
    <t>Коммутация низковольтная</t>
  </si>
  <si>
    <t>Замок MS816-4B AISI304/ H=25/ 8mm без ключа. -  150шт</t>
  </si>
  <si>
    <t>Доплата за оборудование</t>
  </si>
  <si>
    <t>Оплата за датчики</t>
  </si>
  <si>
    <t>FA-577</t>
  </si>
  <si>
    <t>Остаток использован в FSYY-151</t>
  </si>
  <si>
    <t>Труба 3/8"X0,065" (Ø 9,53 мм х 1,65 мм) ст. AISI 316 бухта 3900 
м</t>
  </si>
  <si>
    <t>FP-563</t>
  </si>
  <si>
    <t>ООО «РуфМед»</t>
  </si>
  <si>
    <t>Автоподатчик АF-5C - 2 шт</t>
  </si>
  <si>
    <t>FA-995</t>
  </si>
  <si>
    <t>ИП Борисенко</t>
  </si>
  <si>
    <t>Оплата за пресс форму</t>
  </si>
  <si>
    <t xml:space="preserve">ИП Егоров </t>
  </si>
  <si>
    <t>Оплата за ткань</t>
  </si>
  <si>
    <t>Изначально покупалось 21940 юа по курсу 9,3745, был возврат и для оплаты были юа переведены в долл по курсу 7,1606</t>
  </si>
  <si>
    <t>ООО "Тилмаш"</t>
  </si>
  <si>
    <t>Оплата за цепь</t>
  </si>
  <si>
    <t>Оплата за оборудование
доплата 70%</t>
  </si>
  <si>
    <t>Оплата за оборудование
Оплата 30%</t>
  </si>
  <si>
    <t>Оплата за тюбики</t>
  </si>
  <si>
    <t>Оплата за флаконы</t>
  </si>
  <si>
    <t>Оплата за тестер косметики</t>
  </si>
  <si>
    <t>Оплата за шкафы</t>
  </si>
  <si>
    <t>Оплата за ролики</t>
  </si>
  <si>
    <t>Оплата за подносы и пакеты</t>
  </si>
  <si>
    <t>ООО Челтра</t>
  </si>
  <si>
    <t>Д395.0203.903  Вилка</t>
  </si>
  <si>
    <t>оплата за ресницы</t>
  </si>
  <si>
    <t>Контейнера 2 шт FA-885 Китай в Ульяновск ОКТ 2022</t>
  </si>
  <si>
    <t>130 машина</t>
  </si>
  <si>
    <t>136 машина</t>
  </si>
  <si>
    <t>АВТО Сборник Турция FA-885 ИП Крылов СЕНТ 2022</t>
  </si>
  <si>
    <t>Акустические мембраны - 500 шт</t>
  </si>
  <si>
    <t>7030 юа вернули на Кит.карточку, учли за доставку: 7 030 / 7,2 (крос-курс юа/долл) * 62,19( курс долл/руб) / 0,9 = 67 468,47 руб</t>
  </si>
  <si>
    <t>Юа через ТРЛДЖ</t>
  </si>
  <si>
    <t xml:space="preserve">ООО Донагрохолод </t>
  </si>
  <si>
    <t>FP-756</t>
  </si>
  <si>
    <t>Оплата за трубки для фреона</t>
  </si>
  <si>
    <t>авиа 120</t>
  </si>
  <si>
    <t>57 (5) машина на всю сумму</t>
  </si>
  <si>
    <t>2936,88 долл. ушло в 57(5) машину</t>
  </si>
  <si>
    <t>57(5) машина, всю сумму</t>
  </si>
  <si>
    <t>2798юа.забрала в 155 машину, закрыли эту сумму</t>
  </si>
  <si>
    <t>Оплата за двигатели шаговые</t>
  </si>
  <si>
    <t>оплата за кисти
доплата 55%</t>
  </si>
  <si>
    <t>ВТТ-147</t>
  </si>
  <si>
    <t>Оплата за корпуса для светодиодных светильников</t>
  </si>
  <si>
    <t xml:space="preserve"> АВТО ГИЛЬЗЫ с Турции Авто Батайск ЯНВ 2023</t>
  </si>
  <si>
    <t>Оплата за салфетки</t>
  </si>
  <si>
    <t>svp-121</t>
  </si>
  <si>
    <t>оплата за дверные защёлки</t>
  </si>
  <si>
    <t>Сумма полностью ушла в 159 машину</t>
  </si>
  <si>
    <t>Контейнер FSYY-68 YOLU3906892</t>
  </si>
  <si>
    <t>полностью ушло в 156 машину</t>
  </si>
  <si>
    <t>полностью ушло в 155 машину</t>
  </si>
  <si>
    <t>4680 юа. (982,76$) ушло в 155 машину</t>
  </si>
  <si>
    <t>141 машина</t>
  </si>
  <si>
    <t>полностью ушло в 155 машину (это 30%)</t>
  </si>
  <si>
    <t>полностью ушло в 155 машину (это 70%)</t>
  </si>
  <si>
    <t>FA-1003</t>
  </si>
  <si>
    <t>ООО «Веб системы»</t>
  </si>
  <si>
    <t>Оплата за гроубоксы</t>
  </si>
  <si>
    <t>полностью ушло в 160 маш.</t>
  </si>
  <si>
    <t>полностью ушло в 159 машину</t>
  </si>
  <si>
    <t>FА-765</t>
  </si>
  <si>
    <t>Оплата за светодиоды</t>
  </si>
  <si>
    <t>Оплата за клапаны электромагнитные</t>
  </si>
  <si>
    <t>Оплата за блоки</t>
  </si>
  <si>
    <t>FA-1002</t>
  </si>
  <si>
    <t>ООО «ТД Технологии Доверия»</t>
  </si>
  <si>
    <t>Оплата за рюкзаки</t>
  </si>
  <si>
    <t>Оплата за штуцеры и краны</t>
  </si>
  <si>
    <t>Оплата за корпуса светильников</t>
  </si>
  <si>
    <t>Оплата за установку упрочнения стеклоизделий MR1300</t>
  </si>
  <si>
    <t>Оплата за электронные компоненты</t>
  </si>
  <si>
    <t>Оплата за длинные аптечки</t>
  </si>
  <si>
    <t>Оплата за кепки и балаклавы</t>
  </si>
  <si>
    <t>Оплата за сумки</t>
  </si>
  <si>
    <t>FI-6313</t>
  </si>
  <si>
    <t>ООО Донагрохолод</t>
  </si>
  <si>
    <t>FI-724</t>
  </si>
  <si>
    <t>ООО ФонтанГрад</t>
  </si>
  <si>
    <t>Оплата за комплектующие</t>
  </si>
  <si>
    <t>Юр.лицо</t>
  </si>
  <si>
    <t>FA-1004</t>
  </si>
  <si>
    <t>ООО Селл Фактор</t>
  </si>
  <si>
    <t>QP-30A  8.4V 0.4A (для сборки из 2-х аккумуляторов) DC:3.5*1.5</t>
  </si>
  <si>
    <t>FI-611</t>
  </si>
  <si>
    <t>ИП Сидоренко</t>
  </si>
  <si>
    <t>Оплата за колбасные шприцы</t>
  </si>
  <si>
    <t>ОПЛАТА НА ИП</t>
  </si>
  <si>
    <t>Комплектующие для фонтанов</t>
  </si>
  <si>
    <t>Оплата за поливалки</t>
  </si>
  <si>
    <t>Сумма полностью ушла в 160 машину</t>
  </si>
  <si>
    <t>Полностью ушла в 160 машину</t>
  </si>
  <si>
    <t>Оплата за тестеры для аккумуляторов</t>
  </si>
  <si>
    <t>ООО Веб Системы</t>
  </si>
  <si>
    <t>FA-698</t>
  </si>
  <si>
    <t>ООО КронаПартс</t>
  </si>
  <si>
    <t>ушло в 57(5) маш.</t>
  </si>
  <si>
    <t>1809,8 долл. ушло в 57(5) маш.</t>
  </si>
  <si>
    <t>1227,232юа. (178,42 долл.) забрала в 155 машину; 462,72 ДОЛЛ.ЗАБРАЛА В 57(5) МАШ.; ЗАКРЫТО</t>
  </si>
  <si>
    <t>полностью ущло в 57(5) машину</t>
  </si>
  <si>
    <t>1246,48 долл. ушло в 57(5) маш.</t>
  </si>
  <si>
    <t>полностью ушло в 57(5) машину</t>
  </si>
  <si>
    <t>15750 юа. (2304,63 долл.) ушло в 160 маш.</t>
  </si>
  <si>
    <t>полностью в 160 маш. (2825,76 долл.)</t>
  </si>
  <si>
    <t>полностью в 160 машину</t>
  </si>
  <si>
    <r>
      <rPr>
        <b/>
        <sz val="11"/>
        <color theme="1"/>
        <rFont val="Calibri"/>
        <family val="2"/>
        <charset val="204"/>
        <scheme val="minor"/>
      </rPr>
      <t>Из суммы 436292,5 юа.: 1)</t>
    </r>
    <r>
      <rPr>
        <sz val="11"/>
        <color theme="1"/>
        <rFont val="Calibri"/>
        <family val="2"/>
        <charset val="204"/>
        <scheme val="minor"/>
      </rPr>
      <t>34654,50 юа. ушло в 156 машину; 2) Сумма 395338,5юа. ушла в 159 машину. ОСТАТОК - 6299,5 юа.</t>
    </r>
  </si>
  <si>
    <t>Электронные сейфы</t>
  </si>
  <si>
    <t>ИП Анопченко А.В.</t>
  </si>
  <si>
    <t>Оплата за товары для пчеловодства</t>
  </si>
  <si>
    <t>Оплата за подложки</t>
  </si>
  <si>
    <t>Оплата за чехлы</t>
  </si>
  <si>
    <t>Оплата за часы</t>
  </si>
  <si>
    <t>1315 долл.учли в 57(5); 10,66 долл.ушло в 158 маш.</t>
  </si>
  <si>
    <t>FSYY-158 - полностью</t>
  </si>
  <si>
    <t>полностью ушло в 158 машину</t>
  </si>
  <si>
    <t xml:space="preserve">FSYY-158 - полностью
</t>
  </si>
  <si>
    <t>1617 долл.ушло в 57(5) машину; 3383 долл. Ушло в 158 машину</t>
  </si>
  <si>
    <t>2125,4 долл. Ушло в 158м.; остаток 2874,60 долл.</t>
  </si>
  <si>
    <t xml:space="preserve">8085,79долл. ушло в 57(5) маш.; 16346,92долл. ушло в 157 машину; остаток 10475,08долл. </t>
  </si>
  <si>
    <t>6500 долл.ушло в 157 машину</t>
  </si>
  <si>
    <t>Оплата за реле</t>
  </si>
  <si>
    <t>FА-811</t>
  </si>
  <si>
    <t>Оплата за станки VMC1160</t>
  </si>
  <si>
    <t>Оплачено с ФИ</t>
  </si>
  <si>
    <t>получается общаая 3519,81 долл. Ушло в 157 м.</t>
  </si>
  <si>
    <t>получается общая 10406,19 долл. Ушло в 157 м.</t>
  </si>
  <si>
    <t>поговорить с клиентов по поводу 547,74долл.</t>
  </si>
  <si>
    <t>Оплата за закалённые стёкла</t>
  </si>
  <si>
    <t>9902,07</t>
  </si>
  <si>
    <t>полностью ушло в 57(6) м.</t>
  </si>
  <si>
    <t>полностью ушло в 57(6) машину</t>
  </si>
  <si>
    <t>полностью ушло в 57(6)  машину</t>
  </si>
  <si>
    <t xml:space="preserve"> Сумма полностью ушла  в 57  (6) машину</t>
  </si>
  <si>
    <t>Оплата за ролики поворотные для напольных шкафов</t>
  </si>
  <si>
    <t>Оплата за сенсоры давления</t>
  </si>
  <si>
    <t>372,4 долл. в 161 машину, остаток 1855,45долл.</t>
  </si>
  <si>
    <t>полностью ушло в 161 м.</t>
  </si>
  <si>
    <t>Оплата за зарядные устройства</t>
  </si>
  <si>
    <t>Оплата за блоки питания</t>
  </si>
  <si>
    <t>Оплата за фитинги газовые и электромагнитные клапаны газовые</t>
  </si>
  <si>
    <t>Оплата за уплотнение торцевое</t>
  </si>
  <si>
    <t>Оплата за инструменты 32 шт</t>
  </si>
  <si>
    <t>оплата за электроды</t>
  </si>
  <si>
    <t>Оплата за загрузчик</t>
  </si>
  <si>
    <t>Оплата за дисплеи</t>
  </si>
  <si>
    <t>ООО ЭПАРХ</t>
  </si>
  <si>
    <t>FA-1007</t>
  </si>
  <si>
    <t>630,14долл. ушло в 158м.; 1201,86 долл. ушло в 159м.</t>
  </si>
  <si>
    <t>580,06 долл. Ушло в 159м.; остаток 4873,94долл.</t>
  </si>
  <si>
    <t>7 957,12 долл.ушло в 159м.</t>
  </si>
  <si>
    <t>6077,03долл.ушло в 159м. 2110,87 - откуда?</t>
  </si>
  <si>
    <t>1) 5264,8 $ ушло в  155 машину; 2) 2082,15$ ушло в 156 машину; 3)1735,18 долл.ушло в 57 (5) маш.; 4)2773,08 долл.ушло в 159м.</t>
  </si>
  <si>
    <t>1892,86 долл. Ушло в 57(5) машину; 6179,16 долл. ушло в 159м.; остаток 855,06долл.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</si>
</sst>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409]#,##0.00"/>
    <numFmt numFmtId="165" formatCode="[$¥-850]#,##0.00"/>
    <numFmt numFmtId="166" formatCode="#,##0.00\ &quot;₽&quot;"/>
    <numFmt numFmtId="167" formatCode="[$¥-478]#,##0.00"/>
    <numFmt numFmtId="168" formatCode="#,##0.00\ [$€-1]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13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0" fontId="0" fillId="0" borderId="2" xfId="0" pivotButton="1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6" fontId="0" fillId="3" borderId="0" xfId="0" applyNumberForma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0" borderId="0" xfId="1" applyAlignment="1">
      <alignment horizontal="center" vertical="center" wrapText="1"/>
    </xf>
    <xf numFmtId="0" fontId="8" fillId="0" borderId="0" xfId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168" fontId="0" fillId="5" borderId="5" xfId="0" applyNumberForma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166" fontId="0" fillId="10" borderId="0" xfId="0" applyNumberFormat="1" applyFill="1" applyAlignment="1">
      <alignment horizontal="center" vertical="center"/>
    </xf>
    <xf numFmtId="0" fontId="3" fillId="4" borderId="0" xfId="2" applyFon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10" borderId="0" xfId="0" applyNumberForma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Плохой" xfId="2" builtinId="27"/>
  </cellStyles>
  <dxfs count="335"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horizontal="center" vertical="center" textRotation="0" wrapText="0" indent="0" justifyLastLine="0" shrinkToFit="0" readingOrder="0"/>
    </dxf>
    <dxf>
      <numFmt numFmtId="164" formatCode="[$$-409]#,##0.0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$-409]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$-409]#,##0.00"/>
      <alignment horizontal="center" vertical="center" textRotation="0" wrapText="0" indent="0" justifyLastLine="0" shrinkToFit="0" readingOrder="0"/>
    </dxf>
    <dxf>
      <numFmt numFmtId="166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[$¥-478]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$-409]#,##0.0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166" formatCode="#,##0.00\ &quot;₽&quot;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6" formatCode="#,##0.00\ &quot;₽&quot;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numFmt numFmtId="166" formatCode="#,##0.00\ &quot;₽&quot;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6" formatCode="#,##0.00\ &quot;₽&quot;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[$$-409]#,##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66" formatCode="#,##0.00\ &quot;₽&quot;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166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164" formatCode="[$$-409]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¥-850]#,##0.0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Никита" refreshedDate="44453.745383796297" backgroundQuery="1" createdVersion="7" refreshedVersion="7" minRefreshableVersion="3" recordCount="0" supportSubquery="1" supportAdvancedDrill="1">
  <cacheSource type="external" connectionId="1"/>
  <cacheFields count="5">
    <cacheField name="[Таблица2].[Код].[Код]" caption="Код" numFmtId="0" hierarchy="1" level="1">
      <sharedItems count="24">
        <s v="FA-676"/>
        <s v="FA-735"/>
        <s v="FA-818"/>
        <s v="FA-828"/>
        <s v="FA-695" u="1"/>
        <s v="FA-727" u="1"/>
        <s v="FA-764" u="1"/>
        <s v="FA-765" u="1"/>
        <s v="FA-774" u="1"/>
        <s v="FA-783" u="1"/>
        <s v="FI-562" u="1"/>
        <s v="FI-607" u="1"/>
        <s v="FI-628" u="1"/>
        <s v="FI-785" u="1"/>
        <s v="FA-633" u="1"/>
        <s v="FA-771" u="1"/>
        <s v="FA-776" u="1"/>
        <s v="FA-822" u="1"/>
        <s v="FA-837" u="1"/>
        <s v="FA-838" u="1"/>
        <s v="FI-572" u="1"/>
        <s v="FI-627" u="1"/>
        <s v="FI-629" u="1"/>
        <s v="FI-672" u="1"/>
      </sharedItems>
    </cacheField>
    <cacheField name="[Таблица2].[Юр. Лицо].[Юр. Лицо]" caption="Юр. Лицо" numFmtId="0" hierarchy="2" level="1">
      <sharedItems count="24">
        <s v="ООО &quot;ЦТО&quot;"/>
        <s v="ИП Калмыкова" u="1"/>
        <s v="ООО Акрил Стор" u="1"/>
        <s v="ООО АлеКо" u="1"/>
        <s v="ИП Масюлис" u="1"/>
        <s v="ООО НПФ Партс М" u="1"/>
        <s v="ИП Семенов Родион" u="1"/>
        <s v="ИП Семенов Артем" u="1"/>
        <s v="ООО Велес" u="1"/>
        <s v="ООО Кубань Снаб" u="1"/>
        <s v="ООО Воэртек Рус" u="1"/>
        <s v="ООО Проминдустрия" u="1"/>
        <s v="ИП Сасыков" u="1"/>
        <s v="ИП Судницына" u="1"/>
        <s v="ИП Ларькина" u="1"/>
        <s v="ИП Капитонова" u="1"/>
        <s v="ООО Нью Лайт" u="1"/>
        <s v="ИП Егоров" u="1"/>
        <s v="ООО Меххаус" u="1"/>
        <s v="ООО Инолайт" u="1"/>
        <s v="ИП Белов" u="1"/>
        <s v="ООО Трикотаж Трейд" u="1"/>
        <s v="ИП Владимиров" u="1"/>
        <s v="ИП Пан" u="1"/>
      </sharedItems>
    </cacheField>
    <cacheField name="[Таблица2].[Дата].[Дата]" caption="Дата" numFmtId="0" level="1">
      <sharedItems containsSemiMixedTypes="0" containsNonDate="0" containsDate="1" containsString="0" minDate="2021-05-05T00:00:00" maxDate="2021-06-09T00:00:00" count="16">
        <d v="2021-06-08T00:00:00"/>
        <d v="2021-05-17T00:00:00" u="1"/>
        <d v="2021-05-12T00:00:00" u="1"/>
        <d v="2021-05-05T00:00:00" u="1"/>
        <d v="2021-05-19T00:00:00" u="1"/>
        <d v="2021-05-21T00:00:00" u="1"/>
        <d v="2021-05-28T00:00:00" u="1"/>
        <d v="2021-05-18T00:00:00" u="1"/>
        <d v="2021-05-20T00:00:00" u="1"/>
        <d v="2021-05-24T00:00:00" u="1"/>
        <d v="2021-05-27T00:00:00" u="1"/>
        <d v="2021-05-26T00:00:00" u="1"/>
        <d v="2021-05-25T00:00:00" u="1"/>
        <d v="2021-05-14T00:00:00" u="1"/>
        <d v="2021-05-11T00:00:00" u="1"/>
        <d v="2021-05-13T00:00:00" u="1"/>
      </sharedItems>
    </cacheField>
    <cacheField name="[Measures].[Число элементов в столбце Отчет агента]" caption="Число элементов в столбце Отчет агента" numFmtId="0" hierarchy="36" level="32767"/>
    <cacheField name="[Measures].[Число элементов в столбце Машина]" caption="Число элементов в столбце Машина" numFmtId="0" hierarchy="37" level="32767"/>
  </cacheFields>
  <cacheHierarchies count="41">
    <cacheHierarchy uniqueName="[Таблица2].[Дата]" caption="Дата" attribute="1" time="1" defaultMemberUniqueName="[Таблица2].[Дата].[All]" allUniqueName="[Таблица2].[Дата].[All]" dimensionUniqueName="[Таблица2]" displayFolder="" count="2" memberValueDatatype="7" unbalanced="0">
      <fieldsUsage count="2">
        <fieldUsage x="-1"/>
        <fieldUsage x="2"/>
      </fieldsUsage>
    </cacheHierarchy>
    <cacheHierarchy uniqueName="[Таблица2].[Код]" caption="Код" attribute="1" defaultMemberUniqueName="[Таблица2].[Код].[All]" allUniqueName="[Таблица2].[Код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2].[Юр. Лицо]" caption="Юр. Лицо" attribute="1" defaultMemberUniqueName="[Таблица2].[Юр. Лицо].[All]" allUniqueName="[Таблица2].[Юр. Лицо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Таблица2].[Торговая марка/Товар]" caption="Торговая марка/Товар" attribute="1" defaultMemberUniqueName="[Таблица2].[Торговая марка/Товар].[All]" allUniqueName="[Таблица2].[Торговая марка/Товар].[All]" dimensionUniqueName="[Таблица2]" displayFolder="" count="0" memberValueDatatype="130" unbalanced="0"/>
    <cacheHierarchy uniqueName="[Таблица2].[Сумма ЮА]" caption="Сумма ЮА" attribute="1" defaultMemberUniqueName="[Таблица2].[Сумма ЮА].[All]" allUniqueName="[Таблица2].[Сумма ЮА].[All]" dimensionUniqueName="[Таблица2]" displayFolder="" count="0" memberValueDatatype="130" unbalanced="0"/>
    <cacheHierarchy uniqueName="[Таблица2].[Сумма Долл]" caption="Сумма Долл" attribute="1" defaultMemberUniqueName="[Таблица2].[Сумма Долл].[All]" allUniqueName="[Таблица2].[Сумма Долл].[All]" dimensionUniqueName="[Таблица2]" displayFolder="" count="0" memberValueDatatype="5" unbalanced="0"/>
    <cacheHierarchy uniqueName="[Таблица2].[Курс ЮА]" caption="Курс ЮА" attribute="1" defaultMemberUniqueName="[Таблица2].[Курс ЮА].[All]" allUniqueName="[Таблица2].[Курс ЮА].[All]" dimensionUniqueName="[Таблица2]" displayFolder="" count="0" memberValueDatatype="5" unbalanced="0"/>
    <cacheHierarchy uniqueName="[Таблица2].[Курс ДОЛЛ]" caption="Курс ДОЛЛ" attribute="1" defaultMemberUniqueName="[Таблица2].[Курс ДОЛЛ].[All]" allUniqueName="[Таблица2].[Курс ДОЛЛ].[All]" dimensionUniqueName="[Таблица2]" displayFolder="" count="0" memberValueDatatype="5" unbalanced="0"/>
    <cacheHierarchy uniqueName="[Таблица2].[% за перевод]" caption="% за перевод" attribute="1" defaultMemberUniqueName="[Таблица2].[% за перевод].[All]" allUniqueName="[Таблица2].[% за перевод].[All]" dimensionUniqueName="[Таблица2]" displayFolder="" count="0" memberValueDatatype="5" unbalanced="0"/>
    <cacheHierarchy uniqueName="[Таблица2].[Долл за перевод]" caption="Долл за перевод" attribute="1" defaultMemberUniqueName="[Таблица2].[Долл за перевод].[All]" allUniqueName="[Таблица2].[Долл за перевод].[All]" dimensionUniqueName="[Таблица2]" displayFolder="" count="0" memberValueDatatype="20" unbalanced="0"/>
    <cacheHierarchy uniqueName="[Таблица2].[Руб за перевод]" caption="Руб за перевод" attribute="1" defaultMemberUniqueName="[Таблица2].[Руб за перевод].[All]" allUniqueName="[Таблица2].[Руб за перевод].[All]" dimensionUniqueName="[Таблица2]" displayFolder="" count="0" memberValueDatatype="20" unbalanced="0"/>
    <cacheHierarchy uniqueName="[Таблица2].[Сумма без %]" caption="Сумма без %" attribute="1" defaultMemberUniqueName="[Таблица2].[Сумма без %].[All]" allUniqueName="[Таблица2].[Сумма без %].[All]" dimensionUniqueName="[Таблица2]" displayFolder="" count="0" memberValueDatatype="130" unbalanced="0"/>
    <cacheHierarchy uniqueName="[Таблица2].[Сумма в руб]" caption="Сумма в руб" attribute="1" defaultMemberUniqueName="[Таблица2].[Сумма в руб].[All]" allUniqueName="[Таблица2].[Сумма в руб].[All]" dimensionUniqueName="[Таблица2]" displayFolder="" count="0" memberValueDatatype="130" unbalanced="0"/>
    <cacheHierarchy uniqueName="[Таблица2].[Долл без %]" caption="Долл без %" attribute="1" defaultMemberUniqueName="[Таблица2].[Долл без %].[All]" allUniqueName="[Таблица2].[Долл без %].[All]" dimensionUniqueName="[Таблица2]" displayFolder="" count="0" memberValueDatatype="130" unbalanced="0"/>
    <cacheHierarchy uniqueName="[Таблица2].[Сумма за перевод руб]" caption="Сумма за перевод руб" attribute="1" defaultMemberUniqueName="[Таблица2].[Сумма за перевод руб].[All]" allUniqueName="[Таблица2].[Сумма за перевод руб].[All]" dimensionUniqueName="[Таблица2]" displayFolder="" count="0" memberValueDatatype="5" unbalanced="0"/>
    <cacheHierarchy uniqueName="[Таблица2].[Оплата от клиента]" caption="Оплата от клиента" attribute="1" defaultMemberUniqueName="[Таблица2].[Оплата от клиента].[All]" allUniqueName="[Таблица2].[Оплата от клиента].[All]" dimensionUniqueName="[Таблица2]" displayFolder="" count="0" memberValueDatatype="5" unbalanced="0"/>
    <cacheHierarchy uniqueName="[Таблица2].[Остаток]" caption="Остаток" attribute="1" defaultMemberUniqueName="[Таблица2].[Остаток].[All]" allUniqueName="[Таблица2].[Остаток].[All]" dimensionUniqueName="[Таблица2]" displayFolder="" count="0" memberValueDatatype="130" unbalanced="0"/>
    <cacheHierarchy uniqueName="[Таблица2].[Дата оплаты]" caption="Дата оплаты" attribute="1" defaultMemberUniqueName="[Таблица2].[Дата оплаты].[All]" allUniqueName="[Таблица2].[Дата оплаты].[All]" dimensionUniqueName="[Таблица2]" displayFolder="" count="0" memberValueDatatype="130" unbalanced="0"/>
    <cacheHierarchy uniqueName="[Таблица2].[Способ оплаты]" caption="Способ оплаты" attribute="1" defaultMemberUniqueName="[Таблица2].[Способ оплаты].[All]" allUniqueName="[Таблица2].[Способ оплаты].[All]" dimensionUniqueName="[Таблица2]" displayFolder="" count="0" memberValueDatatype="130" unbalanced="0"/>
    <cacheHierarchy uniqueName="[Таблица2].[Статус]" caption="Статус" attribute="1" defaultMemberUniqueName="[Таблица2].[Статус].[All]" allUniqueName="[Таблица2].[Статус].[All]" dimensionUniqueName="[Таблица2]" displayFolder="" count="0" memberValueDatatype="130" unbalanced="0"/>
    <cacheHierarchy uniqueName="[Таблица2].[Курс ЮА перевод]" caption="Курс ЮА перевод" attribute="1" defaultMemberUniqueName="[Таблица2].[Курс ЮА перевод].[All]" allUniqueName="[Таблица2].[Курс ЮА перевод].[All]" dimensionUniqueName="[Таблица2]" displayFolder="" count="0" memberValueDatatype="5" unbalanced="0"/>
    <cacheHierarchy uniqueName="[Таблица2].[Курс ДОЛЛ перевод]" caption="Курс ДОЛЛ перевод" attribute="1" defaultMemberUniqueName="[Таблица2].[Курс ДОЛЛ перевод].[All]" allUniqueName="[Таблица2].[Курс ДОЛЛ перевод].[All]" dimensionUniqueName="[Таблица2]" displayFolder="" count="0" memberValueDatatype="5" unbalanced="0"/>
    <cacheHierarchy uniqueName="[Таблица2].[Сумма перевода Долл]" caption="Сумма перевода Долл" attribute="1" defaultMemberUniqueName="[Таблица2].[Сумма перевода Долл].[All]" allUniqueName="[Таблица2].[Сумма перевода Долл].[All]" dimensionUniqueName="[Таблица2]" displayFolder="" count="0" memberValueDatatype="130" unbalanced="0"/>
    <cacheHierarchy uniqueName="[Таблица2].[Сумма перевода ЮА]" caption="Сумма перевода ЮА" attribute="1" defaultMemberUniqueName="[Таблица2].[Сумма перевода ЮА].[All]" allUniqueName="[Таблица2].[Сумма перевода ЮА].[All]" dimensionUniqueName="[Таблица2]" displayFolder="" count="0" memberValueDatatype="5" unbalanced="0"/>
    <cacheHierarchy uniqueName="[Таблица2].[Дата перевода]" caption="Дата перевода" attribute="1" time="1" defaultMemberUniqueName="[Таблица2].[Дата перевода].[All]" allUniqueName="[Таблица2].[Дата перевода].[All]" dimensionUniqueName="[Таблица2]" displayFolder="" count="0" memberValueDatatype="7" unbalanced="0"/>
    <cacheHierarchy uniqueName="[Таблица2].[Переведено в руб]" caption="Переведено в руб" attribute="1" defaultMemberUniqueName="[Таблица2].[Переведено в руб].[All]" allUniqueName="[Таблица2].[Переведено в руб].[All]" dimensionUniqueName="[Таблица2]" displayFolder="" count="0" memberValueDatatype="130" unbalanced="0"/>
    <cacheHierarchy uniqueName="[Таблица2].[Остаток в долл]" caption="Остаток в долл" attribute="1" defaultMemberUniqueName="[Таблица2].[Остаток в долл].[All]" allUniqueName="[Таблица2].[Остаток в долл].[All]" dimensionUniqueName="[Таблица2]" displayFolder="" count="0" memberValueDatatype="130" unbalanced="0"/>
    <cacheHierarchy uniqueName="[Таблица2].[Машина]" caption="Машина" attribute="1" defaultMemberUniqueName="[Таблица2].[Машина].[All]" allUniqueName="[Таблица2].[Машина].[All]" dimensionUniqueName="[Таблица2]" displayFolder="" count="0" memberValueDatatype="130" unbalanced="0"/>
    <cacheHierarchy uniqueName="[Таблица2].[Отчет агента]" caption="Отчет агента" attribute="1" defaultMemberUniqueName="[Таблица2].[Отчет агента].[All]" allUniqueName="[Таблица2].[Отчет агента].[All]" dimensionUniqueName="[Таблица2]" displayFolder="" count="0" memberValueDatatype="130" unbalanced="0"/>
    <cacheHierarchy uniqueName="[Таблица2].[Дата (Месяц)]" caption="Дата (Месяц)" attribute="1" defaultMemberUniqueName="[Таблица2].[Дата (Месяц)].[All]" allUniqueName="[Таблица2].[Дата (Месяц)].[All]" dimensionUniqueName="[Таблица2]" displayFolder="" count="0" memberValueDatatype="130" unbalanced="0"/>
    <cacheHierarchy uniqueName="[Таблица2].[Дата (Индекс месяца)]" caption="Дата (Индекс месяца)" attribute="1" defaultMemberUniqueName="[Таблица2].[Дата (Индекс месяца)].[All]" allUniqueName="[Таблица2].[Дата (Индекс месяца)].[All]" dimensionUniqueName="[Таблица2]" displayFolder="" count="0" memberValueDatatype="20" unbalanced="0" hidden="1"/>
    <cacheHierarchy uniqueName="[Measures].[__XL_Count Таблица2]" caption="__XL_Count Таблица2" measure="1" displayFolder="" measureGroup="Таблица2" count="0" hidden="1"/>
    <cacheHierarchy uniqueName="[Measures].[__No measures defined]" caption="__No measures defined" measure="1" displayFolder="" count="0" hidden="1"/>
    <cacheHierarchy uniqueName="[Measures].[Сумма по столбцу Сумма Долл]" caption="Сумма по столбцу Сумма Долл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Долл за перевод]" caption="Сумма по столбцу Долл за перевод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Дата]" caption="Число элементов в столбце Дата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Отчет агента]" caption="Число элементов в столбце Отчет агента" measure="1" displayFolder="" measureGroup="Таблица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Число элементов в столбце Машина]" caption="Число элементов в столбце Машина" measure="1" displayFolder="" measureGroup="Таблица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Сумма по столбцу Сумма перевода ЮА]" caption="Сумма по столбцу Сумма перевода ЮА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Число элементов в столбце Дата (Месяц)]" caption="Число элементов в столбце Дата (Месяц)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Число элементов в столбце Код]" caption="Число элементов в столбце Код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Таблица2" uniqueName="[Таблица2]" caption="Таблица2"/>
  </dimensions>
  <measureGroups count="1">
    <measureGroup name="Таблица2" caption="Таблица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>
  <location ref="A3:C10" firstHeaderRow="0" firstDataRow="1" firstDataCol="1"/>
  <pivotFields count="5">
    <pivotField axis="axisRow" allDrilled="1" subtotalTop="0" showAll="0" dataSourceSort="1" defaultSubtotal="0" defaultAttributeDrillState="1">
      <items count="24">
        <item x="0" e="0"/>
        <item x="1" e="0"/>
        <item x="2" e="0"/>
        <item x="3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</items>
    </pivotField>
    <pivotField axis="axisRow" allDrilled="1" subtotalTop="0" showAll="0" dataSourceSort="1" defaultSubtotal="0" defaultAttributeDrillState="1">
      <items count="24">
        <item x="0"/>
        <item x="1"/>
        <item x="2" e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7">
    <i>
      <x/>
    </i>
    <i>
      <x v="1"/>
    </i>
    <i>
      <x v="2"/>
    </i>
    <i>
      <x v="3"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Машина/Авиа" fld="4" subtotal="count" baseField="0" baseItem="0"/>
    <dataField name="$- Стоимость товара в долл привезенных в РФ" fld="3" subtotal="count" baseField="0" baseItem="0"/>
  </dataFields>
  <formats count="175">
    <format dxfId="174">
      <pivotArea field="0" type="button" dataOnly="0" labelOnly="1" outline="0" axis="axisRow" fieldPosition="0"/>
    </format>
    <format dxfId="173">
      <pivotArea collapsedLevelsAreSubtotals="1" fieldPosition="0">
        <references count="1">
          <reference field="0" count="1">
            <x v="14"/>
          </reference>
        </references>
      </pivotArea>
    </format>
    <format dxfId="172">
      <pivotArea collapsedLevelsAreSubtotals="1" fieldPosition="0">
        <references count="2">
          <reference field="0" count="1" selected="0">
            <x v="14"/>
          </reference>
          <reference field="1" count="1">
            <x v="23"/>
          </reference>
        </references>
      </pivotArea>
    </format>
    <format dxfId="171">
      <pivotArea collapsedLevelsAreSubtotals="1" fieldPosition="0">
        <references count="3">
          <reference field="0" count="1" selected="0">
            <x v="14"/>
          </reference>
          <reference field="1" count="1" selected="0">
            <x v="23"/>
          </reference>
          <reference field="2" count="1">
            <x v="11"/>
          </reference>
        </references>
      </pivotArea>
    </format>
    <format dxfId="170">
      <pivotArea collapsedLevelsAreSubtotals="1" fieldPosition="0">
        <references count="1">
          <reference field="0" count="1">
            <x v="0"/>
          </reference>
        </references>
      </pivotArea>
    </format>
    <format dxfId="169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68">
      <pivotArea collapsedLevelsAreSubtotals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2"/>
          </reference>
        </references>
      </pivotArea>
    </format>
    <format dxfId="167">
      <pivotArea collapsedLevelsAreSubtotals="1" fieldPosition="0">
        <references count="1">
          <reference field="0" count="1">
            <x v="4"/>
          </reference>
        </references>
      </pivotArea>
    </format>
    <format dxfId="166">
      <pivotArea collapsedLevelsAreSubtotals="1" fieldPosition="0">
        <references count="2">
          <reference field="0" count="1" selected="0">
            <x v="4"/>
          </reference>
          <reference field="1" count="1">
            <x v="3"/>
          </reference>
        </references>
      </pivotArea>
    </format>
    <format dxfId="165">
      <pivotArea collapsedLevelsAreSubtotals="1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2" count="1">
            <x v="3"/>
          </reference>
        </references>
      </pivotArea>
    </format>
    <format dxfId="164">
      <pivotArea collapsedLevelsAreSubtotals="1" fieldPosition="0">
        <references count="1">
          <reference field="0" count="1">
            <x v="5"/>
          </reference>
        </references>
      </pivotArea>
    </format>
    <format dxfId="163">
      <pivotArea collapsedLevelsAreSubtotals="1" fieldPosition="0">
        <references count="2">
          <reference field="0" count="1" selected="0">
            <x v="5"/>
          </reference>
          <reference field="1" count="1">
            <x v="22"/>
          </reference>
        </references>
      </pivotArea>
    </format>
    <format dxfId="162">
      <pivotArea collapsedLevelsAreSubtotals="1" fieldPosition="0">
        <references count="3">
          <reference field="0" count="1" selected="0">
            <x v="5"/>
          </reference>
          <reference field="1" count="1" selected="0">
            <x v="22"/>
          </reference>
          <reference field="2" count="1">
            <x v="15"/>
          </reference>
        </references>
      </pivotArea>
    </format>
    <format dxfId="161">
      <pivotArea collapsedLevelsAreSubtotals="1" fieldPosition="0">
        <references count="1">
          <reference field="0" count="1">
            <x v="1"/>
          </reference>
        </references>
      </pivotArea>
    </format>
    <format dxfId="160">
      <pivotArea collapsedLevelsAreSubtotals="1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159">
      <pivotArea collapsedLevelsAreSubtotals="1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2" count="1">
            <x v="12"/>
          </reference>
        </references>
      </pivotArea>
    </format>
    <format dxfId="158">
      <pivotArea collapsedLevelsAreSubtotals="1" fieldPosition="0">
        <references count="1">
          <reference field="0" count="1">
            <x v="6"/>
          </reference>
        </references>
      </pivotArea>
    </format>
    <format dxfId="157">
      <pivotArea collapsedLevelsAreSubtotals="1" fieldPosition="0">
        <references count="2">
          <reference field="0" count="1" selected="0">
            <x v="6"/>
          </reference>
          <reference field="1" count="1">
            <x v="20"/>
          </reference>
        </references>
      </pivotArea>
    </format>
    <format dxfId="156">
      <pivotArea collapsedLevelsAreSubtotals="1" fieldPosition="0">
        <references count="3">
          <reference field="0" count="1" selected="0">
            <x v="6"/>
          </reference>
          <reference field="1" count="1" selected="0">
            <x v="20"/>
          </reference>
          <reference field="2" count="2">
            <x v="9"/>
            <x v="14"/>
          </reference>
        </references>
      </pivotArea>
    </format>
    <format dxfId="155">
      <pivotArea collapsedLevelsAreSubtotals="1" fieldPosition="0">
        <references count="1">
          <reference field="0" count="1">
            <x v="7"/>
          </reference>
        </references>
      </pivotArea>
    </format>
    <format dxfId="154">
      <pivotArea collapsedLevelsAreSubtotals="1" fieldPosition="0">
        <references count="2">
          <reference field="0" count="1" selected="0">
            <x v="7"/>
          </reference>
          <reference field="1" count="1">
            <x v="19"/>
          </reference>
        </references>
      </pivotArea>
    </format>
    <format dxfId="153">
      <pivotArea collapsedLevelsAreSubtotals="1" fieldPosition="0">
        <references count="3">
          <reference field="0" count="1" selected="0">
            <x v="7"/>
          </reference>
          <reference field="1" count="1" selected="0">
            <x v="19"/>
          </reference>
          <reference field="2" count="4">
            <x v="5"/>
            <x v="6"/>
            <x v="7"/>
            <x v="14"/>
          </reference>
        </references>
      </pivotArea>
    </format>
    <format dxfId="152">
      <pivotArea collapsedLevelsAreSubtotals="1" fieldPosition="0">
        <references count="1">
          <reference field="0" count="1">
            <x v="15"/>
          </reference>
        </references>
      </pivotArea>
    </format>
    <format dxfId="151">
      <pivotArea collapsedLevelsAreSubtotals="1" fieldPosition="0">
        <references count="2">
          <reference field="0" count="1" selected="0">
            <x v="15"/>
          </reference>
          <reference field="1" count="1">
            <x v="18"/>
          </reference>
        </references>
      </pivotArea>
    </format>
    <format dxfId="150">
      <pivotArea collapsedLevelsAreSubtotals="1" fieldPosition="0">
        <references count="3">
          <reference field="0" count="1" selected="0">
            <x v="15"/>
          </reference>
          <reference field="1" count="1" selected="0">
            <x v="18"/>
          </reference>
          <reference field="2" count="1">
            <x v="1"/>
          </reference>
        </references>
      </pivotArea>
    </format>
    <format dxfId="149">
      <pivotArea collapsedLevelsAreSubtotals="1" fieldPosition="0">
        <references count="1">
          <reference field="0" count="1">
            <x v="8"/>
          </reference>
        </references>
      </pivotArea>
    </format>
    <format dxfId="148">
      <pivotArea collapsedLevelsAreSubtotals="1" fieldPosition="0">
        <references count="2">
          <reference field="0" count="1" selected="0">
            <x v="8"/>
          </reference>
          <reference field="1" count="1">
            <x v="1"/>
          </reference>
        </references>
      </pivotArea>
    </format>
    <format dxfId="147">
      <pivotArea collapsedLevelsAreSubtotals="1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46">
      <pivotArea collapsedLevelsAreSubtotals="1" fieldPosition="0">
        <references count="1">
          <reference field="0" count="1">
            <x v="16"/>
          </reference>
        </references>
      </pivotArea>
    </format>
    <format dxfId="145">
      <pivotArea collapsedLevelsAreSubtotals="1" fieldPosition="0">
        <references count="2">
          <reference field="0" count="1" selected="0">
            <x v="16"/>
          </reference>
          <reference field="1" count="1">
            <x v="17"/>
          </reference>
        </references>
      </pivotArea>
    </format>
    <format dxfId="144">
      <pivotArea collapsedLevelsAreSubtotals="1" fieldPosition="0">
        <references count="3">
          <reference field="0" count="1" selected="0">
            <x v="16"/>
          </reference>
          <reference field="1" count="1" selected="0">
            <x v="17"/>
          </reference>
          <reference field="2" count="1">
            <x v="12"/>
          </reference>
        </references>
      </pivotArea>
    </format>
    <format dxfId="143">
      <pivotArea collapsedLevelsAreSubtotals="1" fieldPosition="0">
        <references count="1">
          <reference field="0" count="1">
            <x v="9"/>
          </reference>
        </references>
      </pivotArea>
    </format>
    <format dxfId="142">
      <pivotArea collapsedLevelsAreSubtotals="1" fieldPosition="0">
        <references count="2">
          <reference field="0" count="1" selected="0">
            <x v="9"/>
          </reference>
          <reference field="1" count="1">
            <x v="16"/>
          </reference>
        </references>
      </pivotArea>
    </format>
    <format dxfId="141">
      <pivotArea collapsedLevelsAreSubtotals="1" fieldPosition="0">
        <references count="3">
          <reference field="0" count="1" selected="0">
            <x v="9"/>
          </reference>
          <reference field="1" count="1" selected="0">
            <x v="16"/>
          </reference>
          <reference field="2" count="1">
            <x v="7"/>
          </reference>
        </references>
      </pivotArea>
    </format>
    <format dxfId="140">
      <pivotArea collapsedLevelsAreSubtotals="1" fieldPosition="0">
        <references count="1">
          <reference field="0" count="1">
            <x v="2"/>
          </reference>
        </references>
      </pivotArea>
    </format>
    <format dxfId="139">
      <pivotArea collapsedLevelsAreSubtotals="1" fieldPosition="0">
        <references count="2">
          <reference field="0" count="1" selected="0">
            <x v="2"/>
          </reference>
          <reference field="1" count="1">
            <x v="15"/>
          </reference>
        </references>
      </pivotArea>
    </format>
    <format dxfId="138">
      <pivotArea collapsedLevelsAreSubtotals="1" fieldPosition="0">
        <references count="3">
          <reference field="0" count="1" selected="0">
            <x v="2"/>
          </reference>
          <reference field="1" count="1" selected="0">
            <x v="15"/>
          </reference>
          <reference field="2" count="2">
            <x v="2"/>
            <x v="13"/>
          </reference>
        </references>
      </pivotArea>
    </format>
    <format dxfId="137">
      <pivotArea collapsedLevelsAreSubtotals="1" fieldPosition="0">
        <references count="1">
          <reference field="0" count="1">
            <x v="17"/>
          </reference>
        </references>
      </pivotArea>
    </format>
    <format dxfId="136">
      <pivotArea collapsedLevelsAreSubtotals="1" fieldPosition="0">
        <references count="2">
          <reference field="0" count="1" selected="0">
            <x v="17"/>
          </reference>
          <reference field="1" count="1">
            <x v="14"/>
          </reference>
        </references>
      </pivotArea>
    </format>
    <format dxfId="135">
      <pivotArea collapsedLevelsAreSubtotals="1" fieldPosition="0">
        <references count="3">
          <reference field="0" count="1" selected="0">
            <x v="17"/>
          </reference>
          <reference field="1" count="1" selected="0">
            <x v="14"/>
          </reference>
          <reference field="2" count="1">
            <x v="12"/>
          </reference>
        </references>
      </pivotArea>
    </format>
    <format dxfId="134">
      <pivotArea collapsedLevelsAreSubtotals="1" fieldPosition="0">
        <references count="1">
          <reference field="0" count="1">
            <x v="18"/>
          </reference>
        </references>
      </pivotArea>
    </format>
    <format dxfId="133">
      <pivotArea collapsedLevelsAreSubtotals="1" fieldPosition="0">
        <references count="2">
          <reference field="0" count="1" selected="0">
            <x v="18"/>
          </reference>
          <reference field="1" count="1">
            <x v="13"/>
          </reference>
        </references>
      </pivotArea>
    </format>
    <format dxfId="132">
      <pivotArea collapsedLevelsAreSubtotals="1" fieldPosition="0">
        <references count="3">
          <reference field="0" count="1" selected="0">
            <x v="18"/>
          </reference>
          <reference field="1" count="1" selected="0">
            <x v="13"/>
          </reference>
          <reference field="2" count="1">
            <x v="11"/>
          </reference>
        </references>
      </pivotArea>
    </format>
    <format dxfId="131">
      <pivotArea collapsedLevelsAreSubtotals="1" fieldPosition="0">
        <references count="1">
          <reference field="0" count="1">
            <x v="19"/>
          </reference>
        </references>
      </pivotArea>
    </format>
    <format dxfId="130">
      <pivotArea collapsedLevelsAreSubtotals="1" fieldPosition="0">
        <references count="2">
          <reference field="0" count="1" selected="0">
            <x v="19"/>
          </reference>
          <reference field="1" count="1">
            <x v="12"/>
          </reference>
        </references>
      </pivotArea>
    </format>
    <format dxfId="129">
      <pivotArea collapsedLevelsAreSubtotals="1" fieldPosition="0">
        <references count="3">
          <reference field="0" count="1" selected="0">
            <x v="19"/>
          </reference>
          <reference field="1" count="1" selected="0">
            <x v="12"/>
          </reference>
          <reference field="2" count="1">
            <x v="10"/>
          </reference>
        </references>
      </pivotArea>
    </format>
    <format dxfId="128">
      <pivotArea collapsedLevelsAreSubtotals="1" fieldPosition="0">
        <references count="1">
          <reference field="0" count="1">
            <x v="10"/>
          </reference>
        </references>
      </pivotArea>
    </format>
    <format dxfId="127">
      <pivotArea collapsedLevelsAreSubtotals="1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126">
      <pivotArea collapsedLevelsAreSubtotals="1" fieldPosition="0">
        <references count="3">
          <reference field="0" count="1" selected="0">
            <x v="10"/>
          </reference>
          <reference field="1" count="1" selected="0">
            <x v="11"/>
          </reference>
          <reference field="2" count="1">
            <x v="1"/>
          </reference>
        </references>
      </pivotArea>
    </format>
    <format dxfId="125">
      <pivotArea collapsedLevelsAreSubtotals="1" fieldPosition="0">
        <references count="1">
          <reference field="0" count="1">
            <x v="20"/>
          </reference>
        </references>
      </pivotArea>
    </format>
    <format dxfId="124">
      <pivotArea collapsedLevelsAreSubtotals="1" fieldPosition="0">
        <references count="2">
          <reference field="0" count="1" selected="0">
            <x v="20"/>
          </reference>
          <reference field="1" count="1">
            <x v="10"/>
          </reference>
        </references>
      </pivotArea>
    </format>
    <format dxfId="123">
      <pivotArea collapsedLevelsAreSubtotals="1" fieldPosition="0">
        <references count="3">
          <reference field="0" count="1" selected="0">
            <x v="20"/>
          </reference>
          <reference field="1" count="1" selected="0">
            <x v="10"/>
          </reference>
          <reference field="2" count="1">
            <x v="9"/>
          </reference>
        </references>
      </pivotArea>
    </format>
    <format dxfId="122">
      <pivotArea collapsedLevelsAreSubtotals="1" fieldPosition="0">
        <references count="1">
          <reference field="0" count="1">
            <x v="11"/>
          </reference>
        </references>
      </pivotArea>
    </format>
    <format dxfId="121">
      <pivotArea collapsedLevelsAreSubtotals="1" fieldPosition="0">
        <references count="2">
          <reference field="0" count="1" selected="0">
            <x v="11"/>
          </reference>
          <reference field="1" count="1">
            <x v="9"/>
          </reference>
        </references>
      </pivotArea>
    </format>
    <format dxfId="120">
      <pivotArea collapsedLevelsAreSubtotals="1" fieldPosition="0">
        <references count="3">
          <reference field="0" count="1" selected="0">
            <x v="11"/>
          </reference>
          <reference field="1" count="1" selected="0">
            <x v="9"/>
          </reference>
          <reference field="2" count="3">
            <x v="2"/>
            <x v="7"/>
            <x v="8"/>
          </reference>
        </references>
      </pivotArea>
    </format>
    <format dxfId="119">
      <pivotArea collapsedLevelsAreSubtotals="1" fieldPosition="0">
        <references count="1">
          <reference field="0" count="1">
            <x v="21"/>
          </reference>
        </references>
      </pivotArea>
    </format>
    <format dxfId="118">
      <pivotArea collapsedLevelsAreSubtotals="1" fieldPosition="0">
        <references count="2">
          <reference field="0" count="1" selected="0">
            <x v="21"/>
          </reference>
          <reference field="1" count="1">
            <x v="8"/>
          </reference>
        </references>
      </pivotArea>
    </format>
    <format dxfId="117">
      <pivotArea collapsedLevelsAreSubtotals="1" fieldPosition="0">
        <references count="3">
          <reference field="0" count="1" selected="0">
            <x v="21"/>
          </reference>
          <reference field="1" count="1" selected="0">
            <x v="8"/>
          </reference>
          <reference field="2" count="1">
            <x v="6"/>
          </reference>
        </references>
      </pivotArea>
    </format>
    <format dxfId="116">
      <pivotArea collapsedLevelsAreSubtotals="1" fieldPosition="0">
        <references count="1">
          <reference field="0" count="1">
            <x v="12"/>
          </reference>
        </references>
      </pivotArea>
    </format>
    <format dxfId="115">
      <pivotArea collapsedLevelsAreSubtotals="1" fieldPosition="0">
        <references count="2">
          <reference field="0" count="1" selected="0">
            <x v="12"/>
          </reference>
          <reference field="1" count="1">
            <x v="7"/>
          </reference>
        </references>
      </pivotArea>
    </format>
    <format dxfId="114">
      <pivotArea collapsedLevelsAreSubtotals="1" fieldPosition="0">
        <references count="3">
          <reference field="0" count="1" selected="0">
            <x v="12"/>
          </reference>
          <reference field="1" count="1" selected="0">
            <x v="7"/>
          </reference>
          <reference field="2" count="2">
            <x v="2"/>
            <x v="5"/>
          </reference>
        </references>
      </pivotArea>
    </format>
    <format dxfId="113">
      <pivotArea collapsedLevelsAreSubtotals="1" fieldPosition="0">
        <references count="1">
          <reference field="0" count="1">
            <x v="22"/>
          </reference>
        </references>
      </pivotArea>
    </format>
    <format dxfId="112">
      <pivotArea collapsedLevelsAreSubtotals="1" fieldPosition="0">
        <references count="2">
          <reference field="0" count="1" selected="0">
            <x v="22"/>
          </reference>
          <reference field="1" count="1">
            <x v="6"/>
          </reference>
        </references>
      </pivotArea>
    </format>
    <format dxfId="111">
      <pivotArea collapsedLevelsAreSubtotals="1" fieldPosition="0">
        <references count="3">
          <reference field="0" count="1" selected="0">
            <x v="22"/>
          </reference>
          <reference field="1" count="1" selected="0">
            <x v="6"/>
          </reference>
          <reference field="2" count="1">
            <x v="5"/>
          </reference>
        </references>
      </pivotArea>
    </format>
    <format dxfId="110">
      <pivotArea collapsedLevelsAreSubtotals="1" fieldPosition="0">
        <references count="1">
          <reference field="0" count="1">
            <x v="23"/>
          </reference>
        </references>
      </pivotArea>
    </format>
    <format dxfId="109">
      <pivotArea collapsedLevelsAreSubtotals="1" fieldPosition="0">
        <references count="2">
          <reference field="0" count="1" selected="0">
            <x v="23"/>
          </reference>
          <reference field="1" count="1">
            <x v="5"/>
          </reference>
        </references>
      </pivotArea>
    </format>
    <format dxfId="108">
      <pivotArea collapsedLevelsAreSubtotals="1" fieldPosition="0">
        <references count="3">
          <reference field="0" count="1" selected="0">
            <x v="23"/>
          </reference>
          <reference field="1" count="1" selected="0">
            <x v="5"/>
          </reference>
          <reference field="2" count="1">
            <x v="4"/>
          </reference>
        </references>
      </pivotArea>
    </format>
    <format dxfId="107">
      <pivotArea collapsedLevelsAreSubtotals="1" fieldPosition="0">
        <references count="1">
          <reference field="0" count="1">
            <x v="13"/>
          </reference>
        </references>
      </pivotArea>
    </format>
    <format dxfId="106">
      <pivotArea collapsedLevelsAreSubtotals="1" fieldPosition="0">
        <references count="2">
          <reference field="0" count="1" selected="0">
            <x v="13"/>
          </reference>
          <reference field="1" count="1">
            <x v="4"/>
          </reference>
        </references>
      </pivotArea>
    </format>
    <format dxfId="105">
      <pivotArea collapsedLevelsAreSubtotals="1" fieldPosition="0">
        <references count="3">
          <reference field="0" count="1" selected="0">
            <x v="13"/>
          </reference>
          <reference field="1" count="1" selected="0">
            <x v="4"/>
          </reference>
          <reference field="2" count="1">
            <x v="1"/>
          </reference>
        </references>
      </pivotArea>
    </format>
    <format dxfId="104">
      <pivotArea field="0" type="button" dataOnly="0" labelOnly="1" outline="0" axis="axisRow" fieldPosition="0"/>
    </format>
    <format dxfId="103">
      <pivotArea dataOnly="0" labelOnly="1" fieldPosition="0">
        <references count="1">
          <reference field="0" count="0"/>
        </references>
      </pivotArea>
    </format>
    <format dxfId="102">
      <pivotArea dataOnly="0" labelOnly="1" fieldPosition="0">
        <references count="2">
          <reference field="0" count="1" selected="0">
            <x v="14"/>
          </reference>
          <reference field="1" count="1">
            <x v="23"/>
          </reference>
        </references>
      </pivotArea>
    </format>
    <format dxfId="101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00">
      <pivotArea dataOnly="0" labelOnly="1" fieldPosition="0">
        <references count="2">
          <reference field="0" count="1" selected="0">
            <x v="4"/>
          </reference>
          <reference field="1" count="1">
            <x v="3"/>
          </reference>
        </references>
      </pivotArea>
    </format>
    <format dxfId="99">
      <pivotArea dataOnly="0" labelOnly="1" fieldPosition="0">
        <references count="2">
          <reference field="0" count="1" selected="0">
            <x v="5"/>
          </reference>
          <reference field="1" count="1">
            <x v="22"/>
          </reference>
        </references>
      </pivotArea>
    </format>
    <format dxfId="98">
      <pivotArea dataOnly="0" labelOnly="1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97">
      <pivotArea dataOnly="0" labelOnly="1" fieldPosition="0">
        <references count="2">
          <reference field="0" count="1" selected="0">
            <x v="6"/>
          </reference>
          <reference field="1" count="1">
            <x v="20"/>
          </reference>
        </references>
      </pivotArea>
    </format>
    <format dxfId="96">
      <pivotArea dataOnly="0" labelOnly="1" fieldPosition="0">
        <references count="2">
          <reference field="0" count="1" selected="0">
            <x v="7"/>
          </reference>
          <reference field="1" count="1">
            <x v="19"/>
          </reference>
        </references>
      </pivotArea>
    </format>
    <format dxfId="95">
      <pivotArea dataOnly="0" labelOnly="1" fieldPosition="0">
        <references count="2">
          <reference field="0" count="1" selected="0">
            <x v="15"/>
          </reference>
          <reference field="1" count="1">
            <x v="18"/>
          </reference>
        </references>
      </pivotArea>
    </format>
    <format dxfId="94">
      <pivotArea dataOnly="0" labelOnly="1" fieldPosition="0">
        <references count="2">
          <reference field="0" count="1" selected="0">
            <x v="8"/>
          </reference>
          <reference field="1" count="1">
            <x v="1"/>
          </reference>
        </references>
      </pivotArea>
    </format>
    <format dxfId="93">
      <pivotArea dataOnly="0" labelOnly="1" fieldPosition="0">
        <references count="2">
          <reference field="0" count="1" selected="0">
            <x v="16"/>
          </reference>
          <reference field="1" count="1">
            <x v="17"/>
          </reference>
        </references>
      </pivotArea>
    </format>
    <format dxfId="92">
      <pivotArea dataOnly="0" labelOnly="1" fieldPosition="0">
        <references count="2">
          <reference field="0" count="1" selected="0">
            <x v="9"/>
          </reference>
          <reference field="1" count="1">
            <x v="16"/>
          </reference>
        </references>
      </pivotArea>
    </format>
    <format dxfId="91">
      <pivotArea dataOnly="0" labelOnly="1" fieldPosition="0">
        <references count="2">
          <reference field="0" count="1" selected="0">
            <x v="2"/>
          </reference>
          <reference field="1" count="1">
            <x v="15"/>
          </reference>
        </references>
      </pivotArea>
    </format>
    <format dxfId="90">
      <pivotArea dataOnly="0" labelOnly="1" fieldPosition="0">
        <references count="2">
          <reference field="0" count="1" selected="0">
            <x v="17"/>
          </reference>
          <reference field="1" count="1">
            <x v="14"/>
          </reference>
        </references>
      </pivotArea>
    </format>
    <format dxfId="89">
      <pivotArea dataOnly="0" labelOnly="1" fieldPosition="0">
        <references count="2">
          <reference field="0" count="1" selected="0">
            <x v="18"/>
          </reference>
          <reference field="1" count="1">
            <x v="13"/>
          </reference>
        </references>
      </pivotArea>
    </format>
    <format dxfId="88">
      <pivotArea dataOnly="0" labelOnly="1" fieldPosition="0">
        <references count="2">
          <reference field="0" count="1" selected="0">
            <x v="19"/>
          </reference>
          <reference field="1" count="1">
            <x v="12"/>
          </reference>
        </references>
      </pivotArea>
    </format>
    <format dxfId="87">
      <pivotArea dataOnly="0" labelOnly="1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86">
      <pivotArea dataOnly="0" labelOnly="1" fieldPosition="0">
        <references count="2">
          <reference field="0" count="1" selected="0">
            <x v="20"/>
          </reference>
          <reference field="1" count="1">
            <x v="10"/>
          </reference>
        </references>
      </pivotArea>
    </format>
    <format dxfId="85">
      <pivotArea dataOnly="0" labelOnly="1" fieldPosition="0">
        <references count="2">
          <reference field="0" count="1" selected="0">
            <x v="11"/>
          </reference>
          <reference field="1" count="1">
            <x v="9"/>
          </reference>
        </references>
      </pivotArea>
    </format>
    <format dxfId="84">
      <pivotArea dataOnly="0" labelOnly="1" fieldPosition="0">
        <references count="2">
          <reference field="0" count="1" selected="0">
            <x v="21"/>
          </reference>
          <reference field="1" count="1">
            <x v="8"/>
          </reference>
        </references>
      </pivotArea>
    </format>
    <format dxfId="83">
      <pivotArea dataOnly="0" labelOnly="1" fieldPosition="0">
        <references count="2">
          <reference field="0" count="1" selected="0">
            <x v="12"/>
          </reference>
          <reference field="1" count="1">
            <x v="7"/>
          </reference>
        </references>
      </pivotArea>
    </format>
    <format dxfId="82">
      <pivotArea dataOnly="0" labelOnly="1" fieldPosition="0">
        <references count="2">
          <reference field="0" count="1" selected="0">
            <x v="22"/>
          </reference>
          <reference field="1" count="1">
            <x v="6"/>
          </reference>
        </references>
      </pivotArea>
    </format>
    <format dxfId="81">
      <pivotArea dataOnly="0" labelOnly="1" fieldPosition="0">
        <references count="2">
          <reference field="0" count="1" selected="0">
            <x v="23"/>
          </reference>
          <reference field="1" count="1">
            <x v="5"/>
          </reference>
        </references>
      </pivotArea>
    </format>
    <format dxfId="80">
      <pivotArea dataOnly="0" labelOnly="1" fieldPosition="0">
        <references count="2">
          <reference field="0" count="1" selected="0">
            <x v="13"/>
          </reference>
          <reference field="1" count="1">
            <x v="4"/>
          </reference>
        </references>
      </pivotArea>
    </format>
    <format dxfId="79">
      <pivotArea dataOnly="0" labelOnly="1" fieldPosition="0">
        <references count="3">
          <reference field="0" count="1" selected="0">
            <x v="14"/>
          </reference>
          <reference field="1" count="1" selected="0">
            <x v="23"/>
          </reference>
          <reference field="2" count="1">
            <x v="11"/>
          </reference>
        </references>
      </pivotArea>
    </format>
    <format dxfId="78">
      <pivotArea dataOnly="0" labelOnly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2"/>
          </reference>
        </references>
      </pivotArea>
    </format>
    <format dxfId="77">
      <pivotArea dataOnly="0" labelOnly="1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2" count="1">
            <x v="3"/>
          </reference>
        </references>
      </pivotArea>
    </format>
    <format dxfId="76">
      <pivotArea dataOnly="0" labelOnly="1" fieldPosition="0">
        <references count="3">
          <reference field="0" count="1" selected="0">
            <x v="5"/>
          </reference>
          <reference field="1" count="1" selected="0">
            <x v="22"/>
          </reference>
          <reference field="2" count="1">
            <x v="15"/>
          </reference>
        </references>
      </pivotArea>
    </format>
    <format dxfId="75">
      <pivotArea dataOnly="0" labelOnly="1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2" count="1">
            <x v="12"/>
          </reference>
        </references>
      </pivotArea>
    </format>
    <format dxfId="74">
      <pivotArea dataOnly="0" labelOnly="1" fieldPosition="0">
        <references count="3">
          <reference field="0" count="1" selected="0">
            <x v="6"/>
          </reference>
          <reference field="1" count="1" selected="0">
            <x v="20"/>
          </reference>
          <reference field="2" count="2">
            <x v="9"/>
            <x v="14"/>
          </reference>
        </references>
      </pivotArea>
    </format>
    <format dxfId="73">
      <pivotArea dataOnly="0" labelOnly="1" fieldPosition="0">
        <references count="3">
          <reference field="0" count="1" selected="0">
            <x v="7"/>
          </reference>
          <reference field="1" count="1" selected="0">
            <x v="19"/>
          </reference>
          <reference field="2" count="4">
            <x v="5"/>
            <x v="6"/>
            <x v="7"/>
            <x v="14"/>
          </reference>
        </references>
      </pivotArea>
    </format>
    <format dxfId="72">
      <pivotArea dataOnly="0" labelOnly="1" fieldPosition="0">
        <references count="3">
          <reference field="0" count="1" selected="0">
            <x v="15"/>
          </reference>
          <reference field="1" count="1" selected="0">
            <x v="18"/>
          </reference>
          <reference field="2" count="1">
            <x v="1"/>
          </reference>
        </references>
      </pivotArea>
    </format>
    <format dxfId="71">
      <pivotArea dataOnly="0" labelOnly="1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70">
      <pivotArea dataOnly="0" labelOnly="1" fieldPosition="0">
        <references count="3">
          <reference field="0" count="1" selected="0">
            <x v="16"/>
          </reference>
          <reference field="1" count="1" selected="0">
            <x v="17"/>
          </reference>
          <reference field="2" count="1">
            <x v="12"/>
          </reference>
        </references>
      </pivotArea>
    </format>
    <format dxfId="69">
      <pivotArea dataOnly="0" labelOnly="1" fieldPosition="0">
        <references count="3">
          <reference field="0" count="1" selected="0">
            <x v="9"/>
          </reference>
          <reference field="1" count="1" selected="0">
            <x v="16"/>
          </reference>
          <reference field="2" count="1">
            <x v="7"/>
          </reference>
        </references>
      </pivotArea>
    </format>
    <format dxfId="68">
      <pivotArea dataOnly="0" labelOnly="1" fieldPosition="0">
        <references count="3">
          <reference field="0" count="1" selected="0">
            <x v="2"/>
          </reference>
          <reference field="1" count="1" selected="0">
            <x v="15"/>
          </reference>
          <reference field="2" count="2">
            <x v="2"/>
            <x v="13"/>
          </reference>
        </references>
      </pivotArea>
    </format>
    <format dxfId="67">
      <pivotArea dataOnly="0" labelOnly="1" fieldPosition="0">
        <references count="3">
          <reference field="0" count="1" selected="0">
            <x v="17"/>
          </reference>
          <reference field="1" count="1" selected="0">
            <x v="14"/>
          </reference>
          <reference field="2" count="1">
            <x v="12"/>
          </reference>
        </references>
      </pivotArea>
    </format>
    <format dxfId="66">
      <pivotArea dataOnly="0" labelOnly="1" fieldPosition="0">
        <references count="3">
          <reference field="0" count="1" selected="0">
            <x v="18"/>
          </reference>
          <reference field="1" count="1" selected="0">
            <x v="13"/>
          </reference>
          <reference field="2" count="1">
            <x v="11"/>
          </reference>
        </references>
      </pivotArea>
    </format>
    <format dxfId="65">
      <pivotArea dataOnly="0" labelOnly="1" fieldPosition="0">
        <references count="3">
          <reference field="0" count="1" selected="0">
            <x v="19"/>
          </reference>
          <reference field="1" count="1" selected="0">
            <x v="12"/>
          </reference>
          <reference field="2" count="1">
            <x v="10"/>
          </reference>
        </references>
      </pivotArea>
    </format>
    <format dxfId="64">
      <pivotArea dataOnly="0" labelOnly="1" fieldPosition="0">
        <references count="3">
          <reference field="0" count="1" selected="0">
            <x v="10"/>
          </reference>
          <reference field="1" count="1" selected="0">
            <x v="11"/>
          </reference>
          <reference field="2" count="1">
            <x v="1"/>
          </reference>
        </references>
      </pivotArea>
    </format>
    <format dxfId="63">
      <pivotArea dataOnly="0" labelOnly="1" fieldPosition="0">
        <references count="3">
          <reference field="0" count="1" selected="0">
            <x v="20"/>
          </reference>
          <reference field="1" count="1" selected="0">
            <x v="10"/>
          </reference>
          <reference field="2" count="1">
            <x v="9"/>
          </reference>
        </references>
      </pivotArea>
    </format>
    <format dxfId="62">
      <pivotArea dataOnly="0" labelOnly="1" fieldPosition="0">
        <references count="3">
          <reference field="0" count="1" selected="0">
            <x v="11"/>
          </reference>
          <reference field="1" count="1" selected="0">
            <x v="9"/>
          </reference>
          <reference field="2" count="3">
            <x v="2"/>
            <x v="7"/>
            <x v="8"/>
          </reference>
        </references>
      </pivotArea>
    </format>
    <format dxfId="61">
      <pivotArea dataOnly="0" labelOnly="1" fieldPosition="0">
        <references count="3">
          <reference field="0" count="1" selected="0">
            <x v="21"/>
          </reference>
          <reference field="1" count="1" selected="0">
            <x v="8"/>
          </reference>
          <reference field="2" count="1">
            <x v="6"/>
          </reference>
        </references>
      </pivotArea>
    </format>
    <format dxfId="60">
      <pivotArea dataOnly="0" labelOnly="1" fieldPosition="0">
        <references count="3">
          <reference field="0" count="1" selected="0">
            <x v="12"/>
          </reference>
          <reference field="1" count="1" selected="0">
            <x v="7"/>
          </reference>
          <reference field="2" count="2">
            <x v="2"/>
            <x v="5"/>
          </reference>
        </references>
      </pivotArea>
    </format>
    <format dxfId="59">
      <pivotArea dataOnly="0" labelOnly="1" fieldPosition="0">
        <references count="3">
          <reference field="0" count="1" selected="0">
            <x v="22"/>
          </reference>
          <reference field="1" count="1" selected="0">
            <x v="6"/>
          </reference>
          <reference field="2" count="1">
            <x v="5"/>
          </reference>
        </references>
      </pivotArea>
    </format>
    <format dxfId="58">
      <pivotArea dataOnly="0" labelOnly="1" fieldPosition="0">
        <references count="3">
          <reference field="0" count="1" selected="0">
            <x v="23"/>
          </reference>
          <reference field="1" count="1" selected="0">
            <x v="5"/>
          </reference>
          <reference field="2" count="1">
            <x v="4"/>
          </reference>
        </references>
      </pivotArea>
    </format>
    <format dxfId="57">
      <pivotArea dataOnly="0" labelOnly="1" fieldPosition="0">
        <references count="3">
          <reference field="0" count="1" selected="0">
            <x v="13"/>
          </reference>
          <reference field="1" count="1" selected="0">
            <x v="4"/>
          </reference>
          <reference field="2" count="1">
            <x v="1"/>
          </reference>
        </references>
      </pivotArea>
    </format>
    <format dxfId="56">
      <pivotArea collapsedLevelsAreSubtotals="1" fieldPosition="0">
        <references count="1">
          <reference field="0" count="1">
            <x v="14"/>
          </reference>
        </references>
      </pivotArea>
    </format>
    <format dxfId="55">
      <pivotArea collapsedLevelsAreSubtotals="1" fieldPosition="0">
        <references count="1">
          <reference field="0" count="1">
            <x v="0"/>
          </reference>
        </references>
      </pivotArea>
    </format>
    <format dxfId="54">
      <pivotArea collapsedLevelsAreSubtotals="1" fieldPosition="0">
        <references count="1">
          <reference field="0" count="1">
            <x v="4"/>
          </reference>
        </references>
      </pivotArea>
    </format>
    <format dxfId="53">
      <pivotArea collapsedLevelsAreSubtotals="1" fieldPosition="0">
        <references count="1">
          <reference field="0" count="1">
            <x v="5"/>
          </reference>
        </references>
      </pivotArea>
    </format>
    <format dxfId="52">
      <pivotArea collapsedLevelsAreSubtotals="1" fieldPosition="0">
        <references count="1">
          <reference field="0" count="1">
            <x v="1"/>
          </reference>
        </references>
      </pivotArea>
    </format>
    <format dxfId="51">
      <pivotArea collapsedLevelsAreSubtotals="1" fieldPosition="0">
        <references count="1">
          <reference field="0" count="1">
            <x v="6"/>
          </reference>
        </references>
      </pivotArea>
    </format>
    <format dxfId="50">
      <pivotArea collapsedLevelsAreSubtotals="1" fieldPosition="0">
        <references count="1">
          <reference field="0" count="1">
            <x v="7"/>
          </reference>
        </references>
      </pivotArea>
    </format>
    <format dxfId="49">
      <pivotArea collapsedLevelsAreSubtotals="1" fieldPosition="0">
        <references count="1">
          <reference field="0" count="1">
            <x v="15"/>
          </reference>
        </references>
      </pivotArea>
    </format>
    <format dxfId="48">
      <pivotArea collapsedLevelsAreSubtotals="1" fieldPosition="0">
        <references count="1">
          <reference field="0" count="1">
            <x v="8"/>
          </reference>
        </references>
      </pivotArea>
    </format>
    <format dxfId="47">
      <pivotArea collapsedLevelsAreSubtotals="1" fieldPosition="0">
        <references count="2">
          <reference field="0" count="1" selected="0">
            <x v="8"/>
          </reference>
          <reference field="1" count="1">
            <x v="1"/>
          </reference>
        </references>
      </pivotArea>
    </format>
    <format dxfId="46">
      <pivotArea collapsedLevelsAreSubtotals="1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45">
      <pivotArea collapsedLevelsAreSubtotals="1" fieldPosition="0">
        <references count="1">
          <reference field="0" count="1">
            <x v="16"/>
          </reference>
        </references>
      </pivotArea>
    </format>
    <format dxfId="44">
      <pivotArea collapsedLevelsAreSubtotals="1" fieldPosition="0">
        <references count="1">
          <reference field="0" count="1">
            <x v="9"/>
          </reference>
        </references>
      </pivotArea>
    </format>
    <format dxfId="43">
      <pivotArea collapsedLevelsAreSubtotals="1" fieldPosition="0">
        <references count="1">
          <reference field="0" count="1">
            <x v="2"/>
          </reference>
        </references>
      </pivotArea>
    </format>
    <format dxfId="42">
      <pivotArea collapsedLevelsAreSubtotals="1" fieldPosition="0">
        <references count="1">
          <reference field="0" count="1">
            <x v="17"/>
          </reference>
        </references>
      </pivotArea>
    </format>
    <format dxfId="41">
      <pivotArea collapsedLevelsAreSubtotals="1" fieldPosition="0">
        <references count="1">
          <reference field="0" count="1">
            <x v="18"/>
          </reference>
        </references>
      </pivotArea>
    </format>
    <format dxfId="40">
      <pivotArea collapsedLevelsAreSubtotals="1" fieldPosition="0">
        <references count="1">
          <reference field="0" count="1">
            <x v="19"/>
          </reference>
        </references>
      </pivotArea>
    </format>
    <format dxfId="39">
      <pivotArea collapsedLevelsAreSubtotals="1" fieldPosition="0">
        <references count="1">
          <reference field="0" count="1">
            <x v="10"/>
          </reference>
        </references>
      </pivotArea>
    </format>
    <format dxfId="38">
      <pivotArea collapsedLevelsAreSubtotals="1" fieldPosition="0">
        <references count="1">
          <reference field="0" count="1">
            <x v="20"/>
          </reference>
        </references>
      </pivotArea>
    </format>
    <format dxfId="37">
      <pivotArea collapsedLevelsAreSubtotals="1" fieldPosition="0">
        <references count="1">
          <reference field="0" count="1">
            <x v="11"/>
          </reference>
        </references>
      </pivotArea>
    </format>
    <format dxfId="36">
      <pivotArea collapsedLevelsAreSubtotals="1" fieldPosition="0">
        <references count="1">
          <reference field="0" count="1">
            <x v="21"/>
          </reference>
        </references>
      </pivotArea>
    </format>
    <format dxfId="35">
      <pivotArea collapsedLevelsAreSubtotals="1" fieldPosition="0">
        <references count="1">
          <reference field="0" count="1">
            <x v="12"/>
          </reference>
        </references>
      </pivotArea>
    </format>
    <format dxfId="34">
      <pivotArea collapsedLevelsAreSubtotals="1" fieldPosition="0">
        <references count="1">
          <reference field="0" count="1">
            <x v="22"/>
          </reference>
        </references>
      </pivotArea>
    </format>
    <format dxfId="33">
      <pivotArea collapsedLevelsAreSubtotals="1" fieldPosition="0">
        <references count="1">
          <reference field="0" count="1">
            <x v="23"/>
          </reference>
        </references>
      </pivotArea>
    </format>
    <format dxfId="32">
      <pivotArea collapsedLevelsAreSubtotals="1" fieldPosition="0">
        <references count="1">
          <reference field="0" count="1">
            <x v="13"/>
          </reference>
        </references>
      </pivotArea>
    </format>
    <format dxfId="31">
      <pivotArea collapsedLevelsAreSubtotals="1" fieldPosition="0">
        <references count="1">
          <reference field="0" count="1">
            <x v="14"/>
          </reference>
        </references>
      </pivotArea>
    </format>
    <format dxfId="30">
      <pivotArea collapsedLevelsAreSubtotals="1" fieldPosition="0">
        <references count="1">
          <reference field="0" count="1">
            <x v="0"/>
          </reference>
        </references>
      </pivotArea>
    </format>
    <format dxfId="29">
      <pivotArea collapsedLevelsAreSubtotals="1" fieldPosition="0">
        <references count="1">
          <reference field="0" count="1">
            <x v="4"/>
          </reference>
        </references>
      </pivotArea>
    </format>
    <format dxfId="28">
      <pivotArea collapsedLevelsAreSubtotals="1" fieldPosition="0">
        <references count="1">
          <reference field="0" count="1">
            <x v="5"/>
          </reference>
        </references>
      </pivotArea>
    </format>
    <format dxfId="27">
      <pivotArea collapsedLevelsAreSubtotals="1" fieldPosition="0">
        <references count="1">
          <reference field="0" count="1">
            <x v="1"/>
          </reference>
        </references>
      </pivotArea>
    </format>
    <format dxfId="26">
      <pivotArea collapsedLevelsAreSubtotals="1" fieldPosition="0">
        <references count="1">
          <reference field="0" count="1">
            <x v="6"/>
          </reference>
        </references>
      </pivotArea>
    </format>
    <format dxfId="25">
      <pivotArea collapsedLevelsAreSubtotals="1" fieldPosition="0">
        <references count="1">
          <reference field="0" count="1">
            <x v="7"/>
          </reference>
        </references>
      </pivotArea>
    </format>
    <format dxfId="24">
      <pivotArea collapsedLevelsAreSubtotals="1" fieldPosition="0">
        <references count="1">
          <reference field="0" count="1">
            <x v="15"/>
          </reference>
        </references>
      </pivotArea>
    </format>
    <format dxfId="23">
      <pivotArea collapsedLevelsAreSubtotals="1" fieldPosition="0">
        <references count="1">
          <reference field="0" count="1">
            <x v="8"/>
          </reference>
        </references>
      </pivotArea>
    </format>
    <format dxfId="22">
      <pivotArea collapsedLevelsAreSubtotals="1" fieldPosition="0">
        <references count="2">
          <reference field="0" count="1" selected="0">
            <x v="8"/>
          </reference>
          <reference field="1" count="1">
            <x v="1"/>
          </reference>
        </references>
      </pivotArea>
    </format>
    <format dxfId="21">
      <pivotArea collapsedLevelsAreSubtotals="1" fieldPosition="0">
        <references count="3">
          <reference field="0" count="1" selected="0">
            <x v="8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20">
      <pivotArea collapsedLevelsAreSubtotals="1" fieldPosition="0">
        <references count="1">
          <reference field="0" count="1">
            <x v="16"/>
          </reference>
        </references>
      </pivotArea>
    </format>
    <format dxfId="19">
      <pivotArea collapsedLevelsAreSubtotals="1" fieldPosition="0">
        <references count="1">
          <reference field="0" count="1">
            <x v="9"/>
          </reference>
        </references>
      </pivotArea>
    </format>
    <format dxfId="18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collapsedLevelsAreSubtotals="1" fieldPosition="0">
        <references count="1">
          <reference field="0" count="1">
            <x v="17"/>
          </reference>
        </references>
      </pivotArea>
    </format>
    <format dxfId="16">
      <pivotArea collapsedLevelsAreSubtotals="1" fieldPosition="0">
        <references count="1">
          <reference field="0" count="1">
            <x v="18"/>
          </reference>
        </references>
      </pivotArea>
    </format>
    <format dxfId="15">
      <pivotArea collapsedLevelsAreSubtotals="1" fieldPosition="0">
        <references count="1">
          <reference field="0" count="1">
            <x v="19"/>
          </reference>
        </references>
      </pivotArea>
    </format>
    <format dxfId="14">
      <pivotArea collapsedLevelsAreSubtotals="1" fieldPosition="0">
        <references count="1">
          <reference field="0" count="1">
            <x v="10"/>
          </reference>
        </references>
      </pivotArea>
    </format>
    <format dxfId="13">
      <pivotArea collapsedLevelsAreSubtotals="1" fieldPosition="0">
        <references count="1">
          <reference field="0" count="1">
            <x v="20"/>
          </reference>
        </references>
      </pivotArea>
    </format>
    <format dxfId="12">
      <pivotArea collapsedLevelsAreSubtotals="1" fieldPosition="0">
        <references count="1">
          <reference field="0" count="1">
            <x v="11"/>
          </reference>
        </references>
      </pivotArea>
    </format>
    <format dxfId="11">
      <pivotArea collapsedLevelsAreSubtotals="1" fieldPosition="0">
        <references count="1">
          <reference field="0" count="1">
            <x v="21"/>
          </reference>
        </references>
      </pivotArea>
    </format>
    <format dxfId="10">
      <pivotArea collapsedLevelsAreSubtotals="1" fieldPosition="0">
        <references count="1">
          <reference field="0" count="1">
            <x v="12"/>
          </reference>
        </references>
      </pivotArea>
    </format>
    <format dxfId="9">
      <pivotArea collapsedLevelsAreSubtotals="1" fieldPosition="0">
        <references count="1">
          <reference field="0" count="1">
            <x v="22"/>
          </reference>
        </references>
      </pivotArea>
    </format>
    <format dxfId="8">
      <pivotArea collapsedLevelsAreSubtotals="1" fieldPosition="0">
        <references count="1">
          <reference field="0" count="1">
            <x v="23"/>
          </reference>
        </references>
      </pivotArea>
    </format>
    <format dxfId="7">
      <pivotArea collapsedLevelsAreSubtotals="1" fieldPosition="0">
        <references count="1">
          <reference field="0" count="1">
            <x v="13"/>
          </reference>
        </references>
      </pivotArea>
    </format>
    <format dxfId="6">
      <pivotArea field="0" type="button" dataOnly="0" labelOnly="1" outline="0" axis="axisRow" fieldPosition="0"/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$- Стоимость товара в долл привезенных в РФ"/>
    <pivotHierarchy dragToData="1"/>
    <pivotHierarchy dragToData="1"/>
    <pivotHierarchy dragToData="1" caption="$- Стоимость товара в долл привезенных в РФ"/>
    <pivotHierarchy dragToData="1" caption="Машина/Авиа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чета ФИ.xlsx!Таблица2"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2" name="Таблица2" displayName="Таблица2" ref="A2:AD941" headerRowDxfId="233" dataDxfId="232">
  <autoFilter ref="A2:AD941"/>
  <tableColumns count="30">
    <tableColumn id="1" name="Дата" totalsRowLabel="Итог" dataDxfId="231" totalsRowDxfId="230"/>
    <tableColumn id="2" name="Код" dataDxfId="229" totalsRowDxfId="228"/>
    <tableColumn id="3" name="Юр.лицо" dataDxfId="227" totalsRowDxfId="226"/>
    <tableColumn id="16" name="Торговая марка/Товар" dataDxfId="225" totalsRowDxfId="224"/>
    <tableColumn id="22" name="9902,07" dataDxfId="223" totalsRowDxfId="222"/>
    <tableColumn id="4" name="Сумма ЮА" dataDxfId="221" totalsRowDxfId="220"/>
    <tableColumn id="5" name="Сумма Долл" dataDxfId="219" totalsRowDxfId="218"/>
    <tableColumn id="6" name="Курс ЮА" dataDxfId="217" totalsRowDxfId="216"/>
    <tableColumn id="7" name="Курс ДОЛЛ" dataDxfId="215" totalsRowDxfId="214"/>
    <tableColumn id="8" name="% за перевод" dataDxfId="213" totalsRowDxfId="212"/>
    <tableColumn id="19" name="Долл за перевод" dataDxfId="211" totalsRowDxfId="210"/>
    <tableColumn id="20" name="Руб за перевод" dataDxfId="209" totalsRowDxfId="208"/>
    <tableColumn id="25" name="Сумма без %" dataDxfId="207">
      <calculatedColumnFormula>Таблица2[[#This Row],[Сумма Долл]]*Таблица2[[#This Row],[Курс ДОЛЛ]]</calculatedColumnFormula>
    </tableColumn>
    <tableColumn id="9" name="Сумма в руб" dataDxfId="206">
      <calculatedColumnFormula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calculatedColumnFormula>
    </tableColumn>
    <tableColumn id="27" name="Долл без %" dataDxfId="205" totalsRowDxfId="204">
      <calculatedColumnFormula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calculatedColumnFormula>
    </tableColumn>
    <tableColumn id="26" name="Сумма за перевод руб" dataDxfId="203" totalsRowDxfId="202">
      <calculatedColumnFormula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calculatedColumnFormula>
    </tableColumn>
    <tableColumn id="24" name="Оплата от клиента" dataDxfId="201" totalsRowDxfId="200"/>
    <tableColumn id="28" name="Остаток" dataDxfId="199" totalsRowDxfId="198">
      <calculatedColumnFormula>Таблица2[[#This Row],[Сумма в руб]]-Таблица2[[#This Row],[Оплата от клиента]]</calculatedColumnFormula>
    </tableColumn>
    <tableColumn id="30" name="Дата оплаты" dataDxfId="197" totalsRowDxfId="196"/>
    <tableColumn id="29" name="Способ оплаты" dataDxfId="195" totalsRowDxfId="194"/>
    <tableColumn id="23" name="Статус" dataDxfId="193" totalsRowDxfId="192"/>
    <tableColumn id="11" name="Курс ЮА перевод" dataDxfId="191" totalsRowDxfId="190"/>
    <tableColumn id="12" name="Курс ДОЛЛ перевод" dataDxfId="189" totalsRowDxfId="188"/>
    <tableColumn id="13" name="Сумма перевода Долл/Евро" dataDxfId="187" totalsRowDxfId="186"/>
    <tableColumn id="10" name="Сумма перевода ЮА" dataDxfId="185" totalsRowDxfId="184"/>
    <tableColumn id="14" name="Дата перевода" dataDxfId="183" totalsRowDxfId="182"/>
    <tableColumn id="18" name="Переведено в руб" dataDxfId="181">
      <calculatedColumnFormula>Таблица2[[#This Row],[Сумма перевода Долл/Евро]]*Таблица2[[#This Row],[Курс ДОЛЛ перевод]]+Таблица2[[#This Row],[Сумма за перевод руб]]</calculatedColumnFormula>
    </tableColumn>
    <tableColumn id="15" name="Остаток в долл" dataDxfId="180" totalsRowDxfId="179">
      <calculatedColumnFormula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calculatedColumnFormula>
    </tableColumn>
    <tableColumn id="21" name="Машина" dataDxfId="178" totalsRowDxfId="177"/>
    <tableColumn id="32" name="Примечания" dataDxfId="176" totalsRowDxfId="175"/>
  </tableColumns>
  <tableStyleInfo name="TableStyleMedium2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&#1055;&#1072;&#1087;&#1082;&#1072;%20&#1087;&#1086;%20&#1076;&#1072;&#1090;&#1072;&#1084;/FA-676/14.10.2021/PI%20FA-676%203%20770%20&#1076;&#1086;&#1083;&#1083;.xls" TargetMode="External"/><Relationship Id="rId13" Type="http://schemas.openxmlformats.org/officeDocument/2006/relationships/hyperlink" Target="../&#1055;&#1072;&#1087;&#1082;&#1072;%20&#1087;&#1086;%20&#1076;&#1072;&#1090;&#1072;&#1084;/FA-855/20.10.2021/PI%20FA-855%205%20085,78%20&#1076;&#1086;&#1083;&#1083;.pdf" TargetMode="External"/><Relationship Id="rId18" Type="http://schemas.openxmlformats.org/officeDocument/2006/relationships/hyperlink" Target="../&#1055;&#1072;&#1087;&#1082;&#1072;%20&#1087;&#1086;%20&#1076;&#1072;&#1090;&#1072;&#1084;/FA-828/25.10.2021/PI%20FA-828%203456,8%20&#1076;&#1086;&#1083;&#1083;.pdf" TargetMode="External"/><Relationship Id="rId26" Type="http://schemas.openxmlformats.org/officeDocument/2006/relationships/hyperlink" Target="../&#1055;&#1072;&#1087;&#1082;&#1072;%20&#1087;&#1086;%20&#1076;&#1072;&#1090;&#1072;&#1084;/&#1044;&#1050;%20&#1060;&#1077;&#1096;&#1085;%20&#1075;&#1088;&#1091;&#1087;/29.10.2021/17257,68/&#1082;&#1080;&#1090;&#1072;&#1081;-17257,68$.xlsx" TargetMode="External"/><Relationship Id="rId3" Type="http://schemas.openxmlformats.org/officeDocument/2006/relationships/hyperlink" Target="../&#1055;&#1072;&#1087;&#1082;&#1072;%20&#1087;&#1086;%20&#1076;&#1072;&#1090;&#1072;&#1084;/FI-630/05.10.2021/PI%20FI-630%2016%20000%20&#1076;&#1086;&#1083;&#1083;.xls" TargetMode="External"/><Relationship Id="rId21" Type="http://schemas.openxmlformats.org/officeDocument/2006/relationships/hyperlink" Target="../&#1055;&#1072;&#1087;&#1082;&#1072;%20&#1087;&#1086;%20&#1076;&#1072;&#1090;&#1072;&#1084;/FI-423/26.10.2021/PI%20FI-423%201%20076.4%20&#1076;&#1086;&#1083;&#1083;.jpg" TargetMode="External"/><Relationship Id="rId34" Type="http://schemas.openxmlformats.org/officeDocument/2006/relationships/hyperlink" Target="../&#1055;&#1072;&#1087;&#1082;&#1072;%20&#1087;&#1086;%20&#1076;&#1072;&#1090;&#1072;&#1084;/FA-727/08.11.2021/FI-08-11-2021(1).xlsx" TargetMode="External"/><Relationship Id="rId7" Type="http://schemas.openxmlformats.org/officeDocument/2006/relationships/hyperlink" Target="../&#1055;&#1072;&#1087;&#1082;&#1072;%20&#1087;&#1086;%20&#1076;&#1072;&#1090;&#1072;&#1084;/FI-562/14.10.2021/&#1064;&#1082;&#1072;&#1083;&#1099;/PI%20FI-562%207%20545%20&#1076;&#1086;&#1083;&#1083;.pdf" TargetMode="External"/><Relationship Id="rId12" Type="http://schemas.openxmlformats.org/officeDocument/2006/relationships/hyperlink" Target="../&#1055;&#1072;&#1087;&#1082;&#1072;%20&#1087;&#1086;%20&#1076;&#1072;&#1090;&#1072;&#1084;/FI-629/19.10.2021/PI%20FI-629%2028%20498.4%20&#1076;&#1086;&#1083;&#1083;.pdf" TargetMode="External"/><Relationship Id="rId17" Type="http://schemas.openxmlformats.org/officeDocument/2006/relationships/hyperlink" Target="../&#1055;&#1072;&#1087;&#1082;&#1072;%20&#1087;&#1086;%20&#1076;&#1072;&#1090;&#1072;&#1084;/FI-625/21.10.2021/PI%20FI-625%208%20600%20&#1076;&#1086;&#1083;&#1083;.XLSX" TargetMode="External"/><Relationship Id="rId25" Type="http://schemas.openxmlformats.org/officeDocument/2006/relationships/hyperlink" Target="../&#1055;&#1072;&#1087;&#1082;&#1072;%20&#1087;&#1086;%20&#1076;&#1072;&#1090;&#1072;&#1084;/&#1044;&#1050;%20&#1060;&#1077;&#1096;&#1085;%20&#1075;&#1088;&#1091;&#1087;/29.10.2021/3027,65/&#1082;&#1080;&#1090;&#1072;&#1081;-3027,65&#1077;&#1074;&#1088;&#1086;.xlsx" TargetMode="External"/><Relationship Id="rId33" Type="http://schemas.openxmlformats.org/officeDocument/2006/relationships/hyperlink" Target="../&#1055;&#1072;&#1087;&#1082;&#1072;%20&#1087;&#1086;%20&#1076;&#1072;&#1090;&#1072;&#1084;/FA-774/08.11.2021/PI%20FA-774%209%20127,20%20&#1076;&#1086;&#1083;&#1083;.pdf" TargetMode="External"/><Relationship Id="rId2" Type="http://schemas.openxmlformats.org/officeDocument/2006/relationships/hyperlink" Target="../&#1055;&#1072;&#1087;&#1082;&#1072;%20&#1087;&#1086;%20&#1076;&#1072;&#1090;&#1072;&#1084;/FA-836/08.10.2021/PI%20FA-836%202%20280%20&#1076;&#1086;&#1083;&#1083;.xls" TargetMode="External"/><Relationship Id="rId16" Type="http://schemas.openxmlformats.org/officeDocument/2006/relationships/hyperlink" Target="../&#1055;&#1072;&#1087;&#1082;&#1072;%20&#1087;&#1086;%20&#1076;&#1072;&#1090;&#1072;&#1084;/FI-625/21.10.2021/PI%20FI-625%208%20600%20&#1076;&#1086;&#1083;&#1083;.XLSX" TargetMode="External"/><Relationship Id="rId20" Type="http://schemas.openxmlformats.org/officeDocument/2006/relationships/hyperlink" Target="../&#1055;&#1072;&#1087;&#1082;&#1072;%20&#1087;&#1086;%20&#1076;&#1072;&#1090;&#1072;&#1084;/FA-841/25.10.2021/PI%20FA-841%2053%20550%20&#1102;&#1072;.jpg" TargetMode="External"/><Relationship Id="rId29" Type="http://schemas.openxmlformats.org/officeDocument/2006/relationships/hyperlink" Target="../&#1055;&#1072;&#1087;&#1082;&#1072;%20&#1087;&#1086;%20&#1076;&#1072;&#1090;&#1072;&#1084;/FA-776/27.10.2021/PI%20FA-776%201%20445%20&#1076;&#1086;&#1083;&#1083;.XLSX" TargetMode="External"/><Relationship Id="rId1" Type="http://schemas.openxmlformats.org/officeDocument/2006/relationships/hyperlink" Target="../&#1055;&#1072;&#1087;&#1082;&#1072;%20&#1087;&#1086;%20&#1076;&#1072;&#1090;&#1072;&#1084;/FA-764/05.10.2021/PI%20FA-764%206%20014%20&#1076;&#1086;&#1083;&#1083;.pdf" TargetMode="External"/><Relationship Id="rId6" Type="http://schemas.openxmlformats.org/officeDocument/2006/relationships/hyperlink" Target="../&#1055;&#1072;&#1087;&#1082;&#1072;%20&#1087;&#1086;%20&#1076;&#1072;&#1090;&#1072;&#1084;/FI-562/14.10.2021/&#1055;&#1086;&#1087;&#1083;&#1072;&#1074;&#1082;&#1080;/PI%20FI-562%204360%20&#1076;&#1086;&#1083;&#1083;.pdf" TargetMode="External"/><Relationship Id="rId11" Type="http://schemas.openxmlformats.org/officeDocument/2006/relationships/hyperlink" Target="../&#1055;&#1072;&#1087;&#1082;&#1072;%20&#1087;&#1086;%20&#1076;&#1072;&#1090;&#1072;&#1084;/FA-661/19.10.2021/ORDER%20PI%20machines%20%202021030408(2)(1).xls" TargetMode="External"/><Relationship Id="rId24" Type="http://schemas.openxmlformats.org/officeDocument/2006/relationships/hyperlink" Target="../&#1055;&#1072;&#1087;&#1082;&#1072;%20&#1087;&#1086;%20&#1076;&#1072;&#1090;&#1072;&#1084;/FA-768/19.08.2021/PI%20FA-768%202%20281.2%20&#1076;&#1086;&#1083;&#1083;.pdf" TargetMode="External"/><Relationship Id="rId32" Type="http://schemas.openxmlformats.org/officeDocument/2006/relationships/hyperlink" Target="../&#1055;&#1072;&#1087;&#1082;&#1072;%20&#1087;&#1086;%20&#1076;&#1072;&#1090;&#1072;&#1084;/FA-733/03.11.2021/20211027%20&#1044;&#1077;&#1088;&#1078;&#1072;&#1074;&#1082;&#1080;,%20&#1087;&#1083;&#1072;&#1089;&#1090;&#1080;&#1085;&#1099;.xlsx" TargetMode="External"/><Relationship Id="rId37" Type="http://schemas.openxmlformats.org/officeDocument/2006/relationships/table" Target="../tables/table1.xml"/><Relationship Id="rId5" Type="http://schemas.openxmlformats.org/officeDocument/2006/relationships/hyperlink" Target="../&#1055;&#1072;&#1087;&#1082;&#1072;%20&#1087;&#1086;%20&#1076;&#1072;&#1090;&#1072;&#1084;/FA-765/13.10.2021/PI%20FA-765%209845%20&#1076;&#1086;&#1083;&#1083;.pdf" TargetMode="External"/><Relationship Id="rId15" Type="http://schemas.openxmlformats.org/officeDocument/2006/relationships/hyperlink" Target="../&#1055;&#1072;&#1087;&#1082;&#1072;%20&#1087;&#1086;%20&#1076;&#1072;&#1090;&#1072;&#1084;/FA-776/21.10.2021/PI%20FA-776%205%20189%20&#1076;&#1086;&#1083;&#1083;.pdf" TargetMode="External"/><Relationship Id="rId23" Type="http://schemas.openxmlformats.org/officeDocument/2006/relationships/hyperlink" Target="../&#1055;&#1072;&#1087;&#1082;&#1072;%20&#1087;&#1086;%20&#1076;&#1072;&#1090;&#1072;&#1084;/FA-768/17.08.2021/PI%20FA-768%201002%20&#1076;&#1086;&#1083;&#1083;.pdf" TargetMode="External"/><Relationship Id="rId28" Type="http://schemas.openxmlformats.org/officeDocument/2006/relationships/hyperlink" Target="../&#1055;&#1072;&#1087;&#1082;&#1072;%20&#1087;&#1086;%20&#1076;&#1072;&#1090;&#1072;&#1084;/FA-828/29.10.2021/PI%20FA-828%208%20700%20&#1076;&#1086;&#1083;&#1083;.pdf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../&#1055;&#1072;&#1087;&#1082;&#1072;%20&#1087;&#1086;%20&#1076;&#1072;&#1090;&#1072;&#1084;/FI-625/18.10.2021/PI%20order%20SMD2103.xls" TargetMode="External"/><Relationship Id="rId19" Type="http://schemas.openxmlformats.org/officeDocument/2006/relationships/hyperlink" Target="../&#1055;&#1072;&#1087;&#1082;&#1072;%20&#1087;&#1086;%20&#1076;&#1072;&#1090;&#1072;&#1084;/FA-876/25.10.2021/PI%20FA-876%203%20025%20&#1076;&#1086;&#1083;&#1083;.png" TargetMode="External"/><Relationship Id="rId31" Type="http://schemas.openxmlformats.org/officeDocument/2006/relationships/hyperlink" Target="../&#1055;&#1072;&#1087;&#1082;&#1072;%20&#1087;&#1086;%20&#1076;&#1072;&#1090;&#1072;&#1084;/FA-557/08.11.2021/PI%20FI-557%20570%20&#1076;&#1086;&#1083;&#1083;.pdf" TargetMode="External"/><Relationship Id="rId4" Type="http://schemas.openxmlformats.org/officeDocument/2006/relationships/hyperlink" Target="../&#1055;&#1072;&#1087;&#1082;&#1072;%20&#1087;&#1086;%20&#1076;&#1072;&#1090;&#1072;&#1084;/FA-836/12.10.2021/PI%20FA-876%201300%20&#1076;&#1086;&#1083;&#1083;.pdf" TargetMode="External"/><Relationship Id="rId9" Type="http://schemas.openxmlformats.org/officeDocument/2006/relationships/hyperlink" Target="../../../../&#1053;&#1080;&#1082;&#1080;&#1090;&#1072;/OneDrive/&#1060;&#1048;&#1053;&#1040;&#1053;&#1057;&#1067;%20&#1055;&#1054;&#1058;&#1040;&#1052;&#1054;&#1046;&#1053;&#1045;/&#1060;&#1040;&#1057;&#1058;%20&#1048;&#1052;&#1055;&#1054;&#1056;&#1058;/&#1060;&#1080;&#1085;&#1072;&#1085;&#1089;&#1099;/&#1055;&#1072;&#1087;&#1082;&#1072;%20&#1087;&#1086;%20&#1076;&#1072;&#1090;&#1072;&#1084;/FA-837/15.10.2021/PI%20FA-837%2019680%20&#1076;&#1086;&#1083;&#1083;.pdf" TargetMode="External"/><Relationship Id="rId14" Type="http://schemas.openxmlformats.org/officeDocument/2006/relationships/hyperlink" Target="../&#1055;&#1072;&#1087;&#1082;&#1072;%20&#1087;&#1086;%20&#1076;&#1072;&#1090;&#1072;&#1084;/FA-766/21.10.2021/PI%20FA-766%2072%20600%20&#1102;&#1072;.png" TargetMode="External"/><Relationship Id="rId22" Type="http://schemas.openxmlformats.org/officeDocument/2006/relationships/hyperlink" Target="../&#1055;&#1072;&#1087;&#1082;&#1072;%20&#1087;&#1086;%20&#1076;&#1072;&#1090;&#1072;&#1084;/FA-768/04.08.2021/WeChat%20Image_20210805113711.png" TargetMode="External"/><Relationship Id="rId27" Type="http://schemas.openxmlformats.org/officeDocument/2006/relationships/hyperlink" Target="../&#1055;&#1072;&#1087;&#1082;&#1072;%20&#1087;&#1086;%20&#1076;&#1072;&#1090;&#1072;&#1084;/&#1044;&#1050;%20&#1060;&#1077;&#1096;&#1085;%20&#1075;&#1088;&#1091;&#1087;/29.10.2021/1129,88/&#1077;&#1074;&#1088;&#1086;&#1087;&#1072;-1129,88&#1077;&#1074;&#1088;&#1086;.xlsx" TargetMode="External"/><Relationship Id="rId30" Type="http://schemas.openxmlformats.org/officeDocument/2006/relationships/hyperlink" Target="../&#1055;&#1072;&#1087;&#1082;&#1072;%20&#1087;&#1086;%20&#1076;&#1072;&#1090;&#1072;&#1084;/FA-747/02.11.2021/PI%20FA-747%2027%20089.55%20&#1076;&#1086;&#1083;&#1083;.png" TargetMode="External"/><Relationship Id="rId35" Type="http://schemas.openxmlformats.org/officeDocument/2006/relationships/hyperlink" Target="../&#1055;&#1072;&#1087;&#1082;&#1072;%20&#1087;&#1086;%20&#1076;&#1072;&#1090;&#1072;&#1084;/FA-785/09.11.2021/&#1048;&#1055;%20&#1052;&#1072;&#1089;&#1102;&#1083;&#1080;&#1089;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D941"/>
  <sheetViews>
    <sheetView showGridLines="0" tabSelected="1" zoomScale="70" zoomScaleNormal="70" workbookViewId="0">
      <pane xSplit="7" ySplit="2" topLeftCell="H929" activePane="bottomRight" state="frozen"/>
      <selection pane="topRight" activeCell="G1" sqref="G1"/>
      <selection pane="bottomLeft" activeCell="A3" sqref="A3"/>
      <selection pane="bottomRight" activeCell="L943" sqref="L943"/>
    </sheetView>
  </sheetViews>
  <sheetFormatPr defaultRowHeight="15" x14ac:dyDescent="0.25"/>
  <cols>
    <col min="1" max="1" width="11.42578125" customWidth="1"/>
    <col min="2" max="2" width="9.42578125" customWidth="1"/>
    <col min="3" max="3" width="29.85546875" bestFit="1" customWidth="1"/>
    <col min="4" max="4" width="16.5703125" customWidth="1"/>
    <col min="5" max="5" width="20.28515625" hidden="1" customWidth="1"/>
    <col min="6" max="6" width="15.42578125" customWidth="1"/>
    <col min="7" max="7" width="18.5703125" customWidth="1"/>
    <col min="8" max="8" width="11.28515625" customWidth="1"/>
    <col min="9" max="9" width="9.42578125" customWidth="1"/>
    <col min="10" max="10" width="11.42578125" customWidth="1"/>
    <col min="11" max="11" width="9.42578125" customWidth="1"/>
    <col min="12" max="12" width="13.7109375" customWidth="1"/>
    <col min="13" max="13" width="15.5703125" customWidth="1"/>
    <col min="14" max="14" width="15.42578125" customWidth="1"/>
    <col min="15" max="15" width="17.7109375" customWidth="1"/>
    <col min="16" max="20" width="15.42578125" customWidth="1"/>
    <col min="21" max="21" width="13.5703125" customWidth="1"/>
    <col min="22" max="22" width="13" customWidth="1"/>
    <col min="23" max="23" width="12.42578125" customWidth="1"/>
    <col min="24" max="24" width="18.7109375" customWidth="1"/>
    <col min="25" max="25" width="18.5703125" customWidth="1"/>
    <col min="26" max="27" width="16.7109375" customWidth="1"/>
    <col min="28" max="28" width="18.42578125" customWidth="1"/>
    <col min="29" max="29" width="61.7109375" customWidth="1"/>
    <col min="30" max="30" width="142.85546875" style="18" customWidth="1"/>
  </cols>
  <sheetData>
    <row r="1" spans="1:30" ht="18.75" x14ac:dyDescent="0.3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73" t="s">
        <v>1</v>
      </c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</row>
    <row r="2" spans="1:30" s="2" customFormat="1" ht="30" x14ac:dyDescent="0.25">
      <c r="A2" s="4" t="s">
        <v>2</v>
      </c>
      <c r="B2" s="1" t="s">
        <v>3</v>
      </c>
      <c r="C2" s="1" t="s">
        <v>1121</v>
      </c>
      <c r="D2" s="1" t="s">
        <v>4</v>
      </c>
      <c r="E2" s="1" t="s">
        <v>1169</v>
      </c>
      <c r="F2" s="1" t="s">
        <v>5</v>
      </c>
      <c r="G2" s="4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3" t="s">
        <v>13</v>
      </c>
      <c r="O2" s="15" t="s">
        <v>14</v>
      </c>
      <c r="P2" s="11" t="s">
        <v>15</v>
      </c>
      <c r="Q2" s="11" t="s">
        <v>16</v>
      </c>
      <c r="R2" s="11" t="s">
        <v>17</v>
      </c>
      <c r="S2" s="31" t="s">
        <v>18</v>
      </c>
      <c r="T2" s="31" t="s">
        <v>19</v>
      </c>
      <c r="U2" s="1" t="s">
        <v>20</v>
      </c>
      <c r="V2" s="1" t="s">
        <v>21</v>
      </c>
      <c r="W2" s="1" t="s">
        <v>22</v>
      </c>
      <c r="X2" s="1" t="s">
        <v>1003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380</v>
      </c>
    </row>
    <row r="3" spans="1:30" s="2" customFormat="1" x14ac:dyDescent="0.25">
      <c r="A3" s="6">
        <v>44321</v>
      </c>
      <c r="B3" s="2" t="s">
        <v>28</v>
      </c>
      <c r="C3" s="2" t="s">
        <v>29</v>
      </c>
      <c r="D3" s="1" t="s">
        <v>30</v>
      </c>
      <c r="E3" s="1"/>
      <c r="F3" s="3"/>
      <c r="G3" s="5">
        <v>5682</v>
      </c>
      <c r="I3" s="2">
        <v>75.64</v>
      </c>
      <c r="K3" s="2">
        <v>80</v>
      </c>
      <c r="M3" s="26">
        <f>Таблица2[[#This Row],[Сумма Долл]]*Таблица2[[#This Row],[Курс ДОЛЛ]]</f>
        <v>429786.48</v>
      </c>
      <c r="N3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435837.68</v>
      </c>
      <c r="O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5688.0158814187398</v>
      </c>
      <c r="P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6044.8</v>
      </c>
      <c r="Q3" s="30"/>
      <c r="R3" s="12">
        <f>Таблица2[[#This Row],[Сумма в руб]]-Таблица2[[#This Row],[Оплата от клиента]]</f>
        <v>435837.68</v>
      </c>
      <c r="S3" s="32"/>
      <c r="T3" s="32"/>
      <c r="U3" s="2" t="s">
        <v>31</v>
      </c>
      <c r="W3" s="28">
        <v>75.56</v>
      </c>
      <c r="X3" s="9">
        <v>5682</v>
      </c>
      <c r="Y3" s="16"/>
      <c r="Z3" s="10">
        <v>44322</v>
      </c>
      <c r="AA3" s="26">
        <f>Таблица2[[#This Row],[Сумма перевода Долл/Евро]]*Таблица2[[#This Row],[Курс ДОЛЛ перевод]]+Таблица2[[#This Row],[Сумма за перевод руб]]</f>
        <v>435376.72000000003</v>
      </c>
      <c r="AB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6.0158814187398093</v>
      </c>
      <c r="AC3" s="9"/>
      <c r="AD3" s="41"/>
    </row>
    <row r="4" spans="1:30" s="2" customFormat="1" x14ac:dyDescent="0.25">
      <c r="A4" s="6">
        <v>44327</v>
      </c>
      <c r="B4" s="2" t="s">
        <v>32</v>
      </c>
      <c r="C4" s="2" t="s">
        <v>33</v>
      </c>
      <c r="D4" s="1" t="s">
        <v>34</v>
      </c>
      <c r="E4" s="1">
        <v>89.7</v>
      </c>
      <c r="F4" s="3"/>
      <c r="G4" s="5">
        <v>11395</v>
      </c>
      <c r="I4" s="2">
        <v>75.19</v>
      </c>
      <c r="J4" s="2">
        <v>0.99</v>
      </c>
      <c r="M4" s="26">
        <f>Таблица2[[#This Row],[Сумма Долл]]*Таблица2[[#This Row],[Курс ДОЛЛ]]</f>
        <v>856790.04999999993</v>
      </c>
      <c r="N4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865444.49494949484</v>
      </c>
      <c r="O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11454.412433155079</v>
      </c>
      <c r="P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8654.4449494949076</v>
      </c>
      <c r="Q4" s="30"/>
      <c r="R4" s="12">
        <f>Таблица2[[#This Row],[Сумма в руб]]-Таблица2[[#This Row],[Оплата от клиента]]</f>
        <v>865444.49494949484</v>
      </c>
      <c r="S4" s="32"/>
      <c r="T4" s="32"/>
      <c r="U4" s="2" t="s">
        <v>31</v>
      </c>
      <c r="W4" s="28">
        <v>74.8</v>
      </c>
      <c r="X4" s="9">
        <v>11395</v>
      </c>
      <c r="Y4" s="16"/>
      <c r="Z4" s="10">
        <v>44330</v>
      </c>
      <c r="AA4" s="26">
        <f>Таблица2[[#This Row],[Сумма перевода Долл/Евро]]*Таблица2[[#This Row],[Курс ДОЛЛ перевод]]+Таблица2[[#This Row],[Сумма за перевод руб]]</f>
        <v>861000.44494949491</v>
      </c>
      <c r="AB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59.41243315507927</v>
      </c>
      <c r="AC4" s="9"/>
      <c r="AD4" s="41"/>
    </row>
    <row r="5" spans="1:30" s="2" customFormat="1" x14ac:dyDescent="0.25">
      <c r="A5" s="6">
        <v>44327</v>
      </c>
      <c r="B5" s="2" t="s">
        <v>35</v>
      </c>
      <c r="C5" s="2" t="s">
        <v>36</v>
      </c>
      <c r="D5" s="1" t="s">
        <v>37</v>
      </c>
      <c r="E5" s="1"/>
      <c r="F5" s="3"/>
      <c r="G5" s="5">
        <v>2461</v>
      </c>
      <c r="I5" s="2">
        <v>75.19</v>
      </c>
      <c r="K5" s="2">
        <v>80</v>
      </c>
      <c r="M5" s="26">
        <f>Таблица2[[#This Row],[Сумма Долл]]*Таблица2[[#This Row],[Курс ДОЛЛ]]</f>
        <v>185042.59</v>
      </c>
      <c r="N5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191057.79</v>
      </c>
      <c r="O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2476.4800588865096</v>
      </c>
      <c r="P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5977.6</v>
      </c>
      <c r="Q5" s="30"/>
      <c r="R5" s="12">
        <f>Таблица2[[#This Row],[Сумма в руб]]-Таблица2[[#This Row],[Оплата от клиента]]</f>
        <v>191057.79</v>
      </c>
      <c r="S5" s="32"/>
      <c r="T5" s="32"/>
      <c r="U5" s="2" t="s">
        <v>31</v>
      </c>
      <c r="W5" s="28">
        <v>74.72</v>
      </c>
      <c r="X5" s="9">
        <v>2461</v>
      </c>
      <c r="Y5" s="16"/>
      <c r="Z5" s="10">
        <v>44328</v>
      </c>
      <c r="AA5" s="26">
        <f>Таблица2[[#This Row],[Сумма перевода Долл/Евро]]*Таблица2[[#This Row],[Курс ДОЛЛ перевод]]+Таблица2[[#This Row],[Сумма за перевод руб]]</f>
        <v>189863.52</v>
      </c>
      <c r="AB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15.480058886509596</v>
      </c>
      <c r="AC5" s="9"/>
      <c r="AD5" s="41"/>
    </row>
    <row r="6" spans="1:30" s="2" customFormat="1" ht="30" x14ac:dyDescent="0.25">
      <c r="A6" s="6">
        <v>44328</v>
      </c>
      <c r="B6" s="2" t="s">
        <v>38</v>
      </c>
      <c r="C6" s="2" t="s">
        <v>39</v>
      </c>
      <c r="D6" s="1" t="s">
        <v>40</v>
      </c>
      <c r="E6" s="1"/>
      <c r="F6" s="3"/>
      <c r="G6" s="5">
        <v>2249.3000000000002</v>
      </c>
      <c r="I6" s="2">
        <v>74.92</v>
      </c>
      <c r="J6" s="2">
        <v>0.96499999999999997</v>
      </c>
      <c r="M6" s="26">
        <f>Таблица2[[#This Row],[Сумма Долл]]*Таблица2[[#This Row],[Курс ДОЛЛ]]</f>
        <v>168517.55600000001</v>
      </c>
      <c r="N6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174629.59170984456</v>
      </c>
      <c r="O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2255.9244444444444</v>
      </c>
      <c r="P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6112.0357098445529</v>
      </c>
      <c r="Q6" s="30"/>
      <c r="R6" s="12">
        <f>Таблица2[[#This Row],[Сумма в руб]]-Таблица2[[#This Row],[Оплата от клиента]]</f>
        <v>174629.59170984456</v>
      </c>
      <c r="S6" s="32"/>
      <c r="T6" s="32"/>
      <c r="U6" s="2" t="s">
        <v>31</v>
      </c>
      <c r="W6" s="28">
        <v>74.7</v>
      </c>
      <c r="X6" s="9">
        <v>2255</v>
      </c>
      <c r="Y6" s="16"/>
      <c r="Z6" s="10">
        <v>44329</v>
      </c>
      <c r="AA6" s="26">
        <f>Таблица2[[#This Row],[Сумма перевода Долл/Евро]]*Таблица2[[#This Row],[Курс ДОЛЛ перевод]]+Таблица2[[#This Row],[Сумма за перевод руб]]</f>
        <v>174560.53570984455</v>
      </c>
      <c r="AB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0.92444444444436158</v>
      </c>
      <c r="AC6" s="9" t="s">
        <v>41</v>
      </c>
      <c r="AD6" s="41"/>
    </row>
    <row r="7" spans="1:30" s="2" customFormat="1" ht="30" x14ac:dyDescent="0.25">
      <c r="A7" s="6">
        <v>44328</v>
      </c>
      <c r="B7" s="2" t="s">
        <v>42</v>
      </c>
      <c r="C7" s="2" t="s">
        <v>43</v>
      </c>
      <c r="D7" s="1" t="s">
        <v>44</v>
      </c>
      <c r="E7" s="1"/>
      <c r="F7" s="3"/>
      <c r="G7" s="5">
        <v>16512</v>
      </c>
      <c r="I7" s="2">
        <v>74.92</v>
      </c>
      <c r="J7" s="2">
        <v>0.98499999999999999</v>
      </c>
      <c r="M7" s="26">
        <f>Таблица2[[#This Row],[Сумма Долл]]*Таблица2[[#This Row],[Курс ДОЛЛ]]</f>
        <v>1237079.04</v>
      </c>
      <c r="N7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1255917.807106599</v>
      </c>
      <c r="O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16538.489839572194</v>
      </c>
      <c r="P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18838.767106598942</v>
      </c>
      <c r="Q7" s="30"/>
      <c r="R7" s="12">
        <f>Таблица2[[#This Row],[Сумма в руб]]-Таблица2[[#This Row],[Оплата от клиента]]</f>
        <v>1255917.807106599</v>
      </c>
      <c r="S7" s="32"/>
      <c r="T7" s="32"/>
      <c r="U7" s="2" t="s">
        <v>31</v>
      </c>
      <c r="W7" s="28">
        <v>74.8</v>
      </c>
      <c r="X7" s="9">
        <v>16512</v>
      </c>
      <c r="Y7" s="16"/>
      <c r="Z7" s="10">
        <v>44329</v>
      </c>
      <c r="AA7" s="26">
        <f>Таблица2[[#This Row],[Сумма перевода Долл/Евро]]*Таблица2[[#This Row],[Курс ДОЛЛ перевод]]+Таблица2[[#This Row],[Сумма за перевод руб]]</f>
        <v>1253936.3671065988</v>
      </c>
      <c r="AB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26.489839572193887</v>
      </c>
      <c r="AC7" s="9"/>
      <c r="AD7" s="41"/>
    </row>
    <row r="8" spans="1:30" x14ac:dyDescent="0.25">
      <c r="A8" s="6">
        <v>44328</v>
      </c>
      <c r="B8" s="2" t="s">
        <v>45</v>
      </c>
      <c r="C8" s="2" t="s">
        <v>46</v>
      </c>
      <c r="D8" s="1"/>
      <c r="E8" s="1"/>
      <c r="F8" s="3">
        <v>72917</v>
      </c>
      <c r="G8" s="5">
        <f>Таблица2[[#This Row],[Сумма ЮА]]/Таблица2[[#This Row],[Курс ЮА]]</f>
        <v>11393.28125</v>
      </c>
      <c r="H8" s="2">
        <v>6.4</v>
      </c>
      <c r="I8" s="2">
        <v>74.92</v>
      </c>
      <c r="J8" s="2">
        <v>0.96499999999999997</v>
      </c>
      <c r="K8" s="2"/>
      <c r="L8" s="2"/>
      <c r="M8" s="26">
        <f>Таблица2[[#This Row],[Сумма Долл]]*Таблица2[[#This Row],[Курс ДОЛЛ]]</f>
        <v>853584.63124999998</v>
      </c>
      <c r="N8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884543.65932642482</v>
      </c>
      <c r="O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11411.55924131016</v>
      </c>
      <c r="P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30959.028076424845</v>
      </c>
      <c r="Q8" s="30"/>
      <c r="R8" s="12">
        <f>Таблица2[[#This Row],[Сумма в руб]]-Таблица2[[#This Row],[Оплата от клиента]]</f>
        <v>884543.65932642482</v>
      </c>
      <c r="S8" s="32"/>
      <c r="T8" s="32"/>
      <c r="U8" s="2" t="s">
        <v>31</v>
      </c>
      <c r="V8" s="2">
        <v>6.38</v>
      </c>
      <c r="W8" s="28">
        <v>74.8</v>
      </c>
      <c r="X8" s="9">
        <v>11423</v>
      </c>
      <c r="Y8" s="16">
        <v>72917</v>
      </c>
      <c r="Z8" s="10">
        <v>44334</v>
      </c>
      <c r="AA8" s="26">
        <f>Таблица2[[#This Row],[Сумма перевода Долл/Евро]]*Таблица2[[#This Row],[Курс ДОЛЛ перевод]]+Таблица2[[#This Row],[Сумма за перевод руб]]</f>
        <v>885399.42807642487</v>
      </c>
      <c r="AB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-17.437623893601994</v>
      </c>
      <c r="AC8" s="9"/>
      <c r="AD8" s="41"/>
    </row>
    <row r="9" spans="1:30" x14ac:dyDescent="0.25">
      <c r="A9" s="6">
        <v>44328</v>
      </c>
      <c r="B9" s="2" t="s">
        <v>47</v>
      </c>
      <c r="C9" s="2" t="s">
        <v>48</v>
      </c>
      <c r="D9" s="1"/>
      <c r="E9" s="1"/>
      <c r="F9" s="3">
        <v>30000</v>
      </c>
      <c r="G9" s="5">
        <f>Таблица2[[#This Row],[Сумма ЮА]]/Таблица2[[#This Row],[Курс ЮА]]</f>
        <v>4709.5761381475668</v>
      </c>
      <c r="H9" s="2">
        <v>6.37</v>
      </c>
      <c r="I9" s="2">
        <v>74.92</v>
      </c>
      <c r="J9" s="2">
        <v>0.97</v>
      </c>
      <c r="K9" s="2"/>
      <c r="L9" s="2"/>
      <c r="M9" s="26">
        <f>Таблица2[[#This Row],[Сумма Долл]]*Таблица2[[#This Row],[Курс ДОЛЛ]]</f>
        <v>352841.44427001569</v>
      </c>
      <c r="N9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363754.06625774817</v>
      </c>
      <c r="O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4722.1820699948566</v>
      </c>
      <c r="P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10912.621987732477</v>
      </c>
      <c r="Q9" s="30"/>
      <c r="R9" s="12">
        <f>Таблица2[[#This Row],[Сумма в руб]]-Таблица2[[#This Row],[Оплата от клиента]]</f>
        <v>363754.06625774817</v>
      </c>
      <c r="S9" s="32"/>
      <c r="T9" s="32"/>
      <c r="U9" s="2" t="s">
        <v>31</v>
      </c>
      <c r="V9" s="2">
        <v>6.38</v>
      </c>
      <c r="W9" s="28">
        <v>74.72</v>
      </c>
      <c r="X9" s="9">
        <v>4722</v>
      </c>
      <c r="Y9" s="16">
        <f>Таблица2[[#This Row],[Сумма перевода Долл/Евро]]*Таблица2[[#This Row],[Курс ЮА перевод]]</f>
        <v>30126.36</v>
      </c>
      <c r="Z9" s="10">
        <v>44334</v>
      </c>
      <c r="AA9" s="26">
        <f>Таблица2[[#This Row],[Сумма перевода Долл/Евро]]*Таблица2[[#This Row],[Курс ДОЛЛ перевод]]+Таблица2[[#This Row],[Сумма за перевод руб]]</f>
        <v>363740.46198773244</v>
      </c>
      <c r="AB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0.1820699948566471</v>
      </c>
      <c r="AC9" s="9"/>
      <c r="AD9" s="41"/>
    </row>
    <row r="10" spans="1:30" x14ac:dyDescent="0.25">
      <c r="A10" s="6">
        <v>44329</v>
      </c>
      <c r="B10" s="29" t="s">
        <v>49</v>
      </c>
      <c r="C10" s="29" t="s">
        <v>50</v>
      </c>
      <c r="D10" s="1"/>
      <c r="E10" s="1"/>
      <c r="F10" s="3"/>
      <c r="G10" s="5">
        <v>15340</v>
      </c>
      <c r="H10" s="2"/>
      <c r="I10" s="2">
        <v>75.11</v>
      </c>
      <c r="J10" s="2">
        <v>0.98</v>
      </c>
      <c r="K10" s="2"/>
      <c r="L10" s="2"/>
      <c r="M10" s="26">
        <f>Таблица2[[#This Row],[Сумма Долл]]*Таблица2[[#This Row],[Курс ДОЛЛ]]</f>
        <v>1152187.3999999999</v>
      </c>
      <c r="N10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1175701.4285714284</v>
      </c>
      <c r="O1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15325.716945996273</v>
      </c>
      <c r="P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23514.028571428498</v>
      </c>
      <c r="Q10" s="30"/>
      <c r="R10" s="12">
        <f>Таблица2[[#This Row],[Сумма в руб]]-Таблица2[[#This Row],[Оплата от клиента]]</f>
        <v>1175701.4285714284</v>
      </c>
      <c r="S10" s="32"/>
      <c r="T10" s="32"/>
      <c r="U10" s="2" t="s">
        <v>31</v>
      </c>
      <c r="V10" s="2"/>
      <c r="W10" s="28">
        <v>75.180000000000007</v>
      </c>
      <c r="X10" s="9">
        <v>15403</v>
      </c>
      <c r="Y10" s="16"/>
      <c r="Z10" s="10">
        <v>44330</v>
      </c>
      <c r="AA10" s="26">
        <f>Таблица2[[#This Row],[Сумма перевода Долл/Евро]]*Таблица2[[#This Row],[Курс ДОЛЛ перевод]]+Таблица2[[#This Row],[Сумма за перевод руб]]</f>
        <v>1181511.5685714285</v>
      </c>
      <c r="AB1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-77.283054003726647</v>
      </c>
      <c r="AC10" s="9"/>
      <c r="AD10" s="41"/>
    </row>
    <row r="11" spans="1:30" x14ac:dyDescent="0.25">
      <c r="A11" s="6">
        <v>44330</v>
      </c>
      <c r="B11" s="2" t="s">
        <v>47</v>
      </c>
      <c r="C11" s="2" t="s">
        <v>48</v>
      </c>
      <c r="D11" s="1"/>
      <c r="E11" s="1"/>
      <c r="F11" s="3">
        <v>37000</v>
      </c>
      <c r="G11" s="5">
        <f>Таблица2[[#This Row],[Сумма ЮА]]/Таблица2[[#This Row],[Курс ЮА]]</f>
        <v>5808.4772370486653</v>
      </c>
      <c r="H11" s="2">
        <v>6.37</v>
      </c>
      <c r="I11" s="2">
        <v>74.95</v>
      </c>
      <c r="J11" s="2">
        <v>0.97</v>
      </c>
      <c r="K11" s="2"/>
      <c r="L11" s="2"/>
      <c r="M11" s="26">
        <f>Таблица2[[#This Row],[Сумма Долл]]*Таблица2[[#This Row],[Курс ДОЛЛ]]</f>
        <v>435345.36891679751</v>
      </c>
      <c r="N11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448809.65867711086</v>
      </c>
      <c r="O1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5846.7011672951594</v>
      </c>
      <c r="P1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13464.289760313346</v>
      </c>
      <c r="Q11" s="30"/>
      <c r="R11" s="12">
        <f>Таблица2[[#This Row],[Сумма в руб]]-Таблица2[[#This Row],[Оплата от клиента]]</f>
        <v>448809.65867711086</v>
      </c>
      <c r="S11" s="32"/>
      <c r="T11" s="32"/>
      <c r="U11" s="2" t="s">
        <v>31</v>
      </c>
      <c r="V11" s="2">
        <v>6.39</v>
      </c>
      <c r="W11" s="28">
        <v>74.459999999999994</v>
      </c>
      <c r="X11" s="9">
        <v>5840</v>
      </c>
      <c r="Y11" s="16">
        <v>37000</v>
      </c>
      <c r="Z11" s="10">
        <v>44336</v>
      </c>
      <c r="AA11" s="26">
        <f>Таблица2[[#This Row],[Сумма перевода Долл/Евро]]*Таблица2[[#This Row],[Курс ДОЛЛ перевод]]+Таблица2[[#This Row],[Сумма за перевод руб]]</f>
        <v>448310.68976031331</v>
      </c>
      <c r="AB1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56.403827702044509</v>
      </c>
      <c r="AC11" s="9"/>
      <c r="AD11" s="41"/>
    </row>
    <row r="12" spans="1:30" x14ac:dyDescent="0.25">
      <c r="A12" s="6">
        <v>44333</v>
      </c>
      <c r="B12" s="2" t="s">
        <v>51</v>
      </c>
      <c r="C12" s="2" t="s">
        <v>52</v>
      </c>
      <c r="D12" s="1"/>
      <c r="E12" s="1"/>
      <c r="F12" s="3"/>
      <c r="G12" s="5">
        <v>4000</v>
      </c>
      <c r="H12" s="2"/>
      <c r="I12" s="2">
        <v>74.900000000000006</v>
      </c>
      <c r="J12" s="2">
        <v>0.98</v>
      </c>
      <c r="K12" s="2"/>
      <c r="L12" s="2"/>
      <c r="M12" s="26">
        <f>Таблица2[[#This Row],[Сумма Долл]]*Таблица2[[#This Row],[Курс ДОЛЛ]]</f>
        <v>299600</v>
      </c>
      <c r="N12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305714.28571428574</v>
      </c>
      <c r="O1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4010.7095046854083</v>
      </c>
      <c r="P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6114.2857142857392</v>
      </c>
      <c r="Q12" s="30">
        <v>305714.28999999998</v>
      </c>
      <c r="R12" s="12">
        <f>Таблица2[[#This Row],[Сумма в руб]]-Таблица2[[#This Row],[Оплата от клиента]]</f>
        <v>-4.2857142398133874E-3</v>
      </c>
      <c r="S12" s="32"/>
      <c r="T12" s="32"/>
      <c r="U12" s="2" t="s">
        <v>31</v>
      </c>
      <c r="V12" s="2"/>
      <c r="W12" s="28">
        <v>74.7</v>
      </c>
      <c r="X12" s="9">
        <v>4000</v>
      </c>
      <c r="Y12" s="16"/>
      <c r="Z12" s="10">
        <v>44334</v>
      </c>
      <c r="AA12" s="26">
        <f>Таблица2[[#This Row],[Сумма перевода Долл/Евро]]*Таблица2[[#This Row],[Курс ДОЛЛ перевод]]+Таблица2[[#This Row],[Сумма за перевод руб]]</f>
        <v>304914.28571428574</v>
      </c>
      <c r="AB1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10.709504685408319</v>
      </c>
      <c r="AC12" s="9" t="s">
        <v>468</v>
      </c>
      <c r="AD12" s="41" t="s">
        <v>629</v>
      </c>
    </row>
    <row r="13" spans="1:30" x14ac:dyDescent="0.25">
      <c r="A13" s="6">
        <v>44333</v>
      </c>
      <c r="B13" s="2" t="s">
        <v>53</v>
      </c>
      <c r="C13" s="2" t="s">
        <v>54</v>
      </c>
      <c r="D13" s="1"/>
      <c r="E13" s="1"/>
      <c r="F13" s="3"/>
      <c r="G13" s="5">
        <v>7806</v>
      </c>
      <c r="H13" s="2"/>
      <c r="I13" s="2">
        <v>74.900000000000006</v>
      </c>
      <c r="J13" s="2"/>
      <c r="K13" s="2"/>
      <c r="L13" s="2"/>
      <c r="M13" s="26">
        <f>Таблица2[[#This Row],[Сумма Долл]]*Таблица2[[#This Row],[Курс ДОЛЛ]]</f>
        <v>584669.4</v>
      </c>
      <c r="N13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584669.4</v>
      </c>
      <c r="O1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7806</v>
      </c>
      <c r="P1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13" s="30"/>
      <c r="R13" s="12">
        <f>Таблица2[[#This Row],[Сумма в руб]]-Таблица2[[#This Row],[Оплата от клиента]]</f>
        <v>584669.4</v>
      </c>
      <c r="S13" s="32"/>
      <c r="T13" s="32"/>
      <c r="U13" s="2"/>
      <c r="V13" s="2"/>
      <c r="W13" s="28"/>
      <c r="X13" s="9"/>
      <c r="Y13" s="16"/>
      <c r="Z13" s="2"/>
      <c r="AA13" s="26">
        <f>Таблица2[[#This Row],[Сумма перевода Долл/Евро]]*Таблица2[[#This Row],[Курс ДОЛЛ перевод]]+Таблица2[[#This Row],[Сумма за перевод руб]]</f>
        <v>0</v>
      </c>
      <c r="AB1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7806</v>
      </c>
      <c r="AC13" s="9"/>
      <c r="AD13" s="41"/>
    </row>
    <row r="14" spans="1:30" x14ac:dyDescent="0.25">
      <c r="A14" s="6">
        <v>44333</v>
      </c>
      <c r="B14" s="2" t="s">
        <v>55</v>
      </c>
      <c r="C14" s="2" t="s">
        <v>56</v>
      </c>
      <c r="D14" s="1"/>
      <c r="E14" s="1"/>
      <c r="F14" s="3">
        <f>13313.6+29053.8</f>
        <v>42367.4</v>
      </c>
      <c r="G14" s="5">
        <f>Таблица2[[#This Row],[Сумма ЮА]]/Таблица2[[#This Row],[Курс ЮА]]</f>
        <v>6651.0832025117743</v>
      </c>
      <c r="H14" s="2">
        <v>6.37</v>
      </c>
      <c r="I14" s="2">
        <v>74.900000000000006</v>
      </c>
      <c r="J14" s="2">
        <v>0.96499999999999997</v>
      </c>
      <c r="K14" s="2"/>
      <c r="L14" s="2"/>
      <c r="M14" s="26">
        <f>Таблица2[[#This Row],[Сумма Долл]]*Таблица2[[#This Row],[Курс ДОЛЛ]]</f>
        <v>498166.13186813192</v>
      </c>
      <c r="N14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516234.33354210563</v>
      </c>
      <c r="O1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6690.3858698379263</v>
      </c>
      <c r="P1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18068.201673973701</v>
      </c>
      <c r="Q14" s="30"/>
      <c r="R14" s="12">
        <f>Таблица2[[#This Row],[Сумма в руб]]-Таблица2[[#This Row],[Оплата от клиента]]</f>
        <v>516234.33354210563</v>
      </c>
      <c r="S14" s="32"/>
      <c r="T14" s="32"/>
      <c r="U14" s="2" t="s">
        <v>31</v>
      </c>
      <c r="V14" s="2"/>
      <c r="W14" s="28">
        <v>74.459999999999994</v>
      </c>
      <c r="X14" s="9">
        <v>6530</v>
      </c>
      <c r="Y14" s="16"/>
      <c r="Z14" s="10">
        <v>44335</v>
      </c>
      <c r="AA14" s="26">
        <f>Таблица2[[#This Row],[Сумма перевода Долл/Евро]]*Таблица2[[#This Row],[Курс ДОЛЛ перевод]]+Таблица2[[#This Row],[Сумма за перевод руб]]</f>
        <v>504292.00167397363</v>
      </c>
      <c r="AB1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160.38586983792629</v>
      </c>
      <c r="AC14" s="9"/>
      <c r="AD14" s="41"/>
    </row>
    <row r="15" spans="1:30" x14ac:dyDescent="0.25">
      <c r="A15" s="6">
        <v>44333</v>
      </c>
      <c r="B15" s="2" t="s">
        <v>57</v>
      </c>
      <c r="C15" s="2" t="s">
        <v>58</v>
      </c>
      <c r="D15" s="1"/>
      <c r="E15" s="1"/>
      <c r="F15" s="3"/>
      <c r="G15" s="5">
        <v>8340</v>
      </c>
      <c r="H15" s="2"/>
      <c r="I15" s="2">
        <v>74.900000000000006</v>
      </c>
      <c r="J15" s="2">
        <v>0.99</v>
      </c>
      <c r="K15" s="2"/>
      <c r="L15" s="2"/>
      <c r="M15" s="26">
        <f>Таблица2[[#This Row],[Сумма Долл]]*Таблица2[[#This Row],[Курс ДОЛЛ]]</f>
        <v>624666</v>
      </c>
      <c r="N15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630975.75757575757</v>
      </c>
      <c r="O1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8362.3293172690755</v>
      </c>
      <c r="P1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6309.7575757575687</v>
      </c>
      <c r="Q15" s="30"/>
      <c r="R15" s="12">
        <f>Таблица2[[#This Row],[Сумма в руб]]-Таблица2[[#This Row],[Оплата от клиента]]</f>
        <v>630975.75757575757</v>
      </c>
      <c r="S15" s="32"/>
      <c r="T15" s="32"/>
      <c r="U15" s="2" t="s">
        <v>31</v>
      </c>
      <c r="V15" s="2"/>
      <c r="W15" s="28">
        <v>74.7</v>
      </c>
      <c r="X15" s="9">
        <v>8340</v>
      </c>
      <c r="Y15" s="16"/>
      <c r="Z15" s="10">
        <v>44334</v>
      </c>
      <c r="AA15" s="26">
        <f>Таблица2[[#This Row],[Сумма перевода Долл/Евро]]*Таблица2[[#This Row],[Курс ДОЛЛ перевод]]+Таблица2[[#This Row],[Сумма за перевод руб]]</f>
        <v>629307.75757575757</v>
      </c>
      <c r="AB1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22.329317269075545</v>
      </c>
      <c r="AC15" s="9"/>
      <c r="AD15" s="41"/>
    </row>
    <row r="16" spans="1:30" x14ac:dyDescent="0.25">
      <c r="A16" s="6">
        <v>44334</v>
      </c>
      <c r="B16" s="2" t="s">
        <v>32</v>
      </c>
      <c r="C16" s="2" t="s">
        <v>33</v>
      </c>
      <c r="D16" s="1"/>
      <c r="E16" s="1"/>
      <c r="F16" s="3"/>
      <c r="G16" s="5">
        <v>9775</v>
      </c>
      <c r="H16" s="2"/>
      <c r="I16" s="2">
        <v>74.900000000000006</v>
      </c>
      <c r="J16" s="2">
        <v>0.99</v>
      </c>
      <c r="K16" s="2"/>
      <c r="L16" s="2"/>
      <c r="M16" s="26">
        <f>Таблица2[[#This Row],[Сумма Долл]]*Таблица2[[#This Row],[Курс ДОЛЛ]]</f>
        <v>732147.5</v>
      </c>
      <c r="N16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739542.92929292924</v>
      </c>
      <c r="O1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9775</v>
      </c>
      <c r="P1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7395.4292929292424</v>
      </c>
      <c r="Q16" s="30"/>
      <c r="R16" s="12">
        <f>Таблица2[[#This Row],[Сумма в руб]]-Таблица2[[#This Row],[Оплата от клиента]]</f>
        <v>739542.92929292924</v>
      </c>
      <c r="S16" s="32"/>
      <c r="T16" s="32"/>
      <c r="U16" s="2"/>
      <c r="V16" s="2"/>
      <c r="W16" s="28"/>
      <c r="X16" s="9"/>
      <c r="Y16" s="16"/>
      <c r="Z16" s="2"/>
      <c r="AA16" s="26">
        <f>Таблица2[[#This Row],[Сумма перевода Долл/Евро]]*Таблица2[[#This Row],[Курс ДОЛЛ перевод]]+Таблица2[[#This Row],[Сумма за перевод руб]]</f>
        <v>7395.4292929292424</v>
      </c>
      <c r="AB1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9775</v>
      </c>
      <c r="AC16" s="9"/>
      <c r="AD16" s="41"/>
    </row>
    <row r="17" spans="1:30" x14ac:dyDescent="0.25">
      <c r="A17" s="6">
        <v>44334</v>
      </c>
      <c r="B17" s="2" t="s">
        <v>45</v>
      </c>
      <c r="C17" s="2" t="s">
        <v>46</v>
      </c>
      <c r="D17" s="1"/>
      <c r="E17" s="1"/>
      <c r="F17" s="3"/>
      <c r="G17" s="5">
        <v>1024.5</v>
      </c>
      <c r="H17" s="2"/>
      <c r="I17" s="2">
        <v>74.900000000000006</v>
      </c>
      <c r="J17" s="2"/>
      <c r="K17" s="2">
        <v>80</v>
      </c>
      <c r="L17" s="2"/>
      <c r="M17" s="26">
        <f>Таблица2[[#This Row],[Сумма Долл]]*Таблица2[[#This Row],[Курс ДОЛЛ]]</f>
        <v>76735.05</v>
      </c>
      <c r="N17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82727.05</v>
      </c>
      <c r="O1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1032.356383694336</v>
      </c>
      <c r="P1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5946.4</v>
      </c>
      <c r="Q17" s="30"/>
      <c r="R17" s="12">
        <f>Таблица2[[#This Row],[Сумма в руб]]-Таблица2[[#This Row],[Оплата от клиента]]</f>
        <v>82727.05</v>
      </c>
      <c r="S17" s="32"/>
      <c r="T17" s="32"/>
      <c r="U17" s="2" t="s">
        <v>31</v>
      </c>
      <c r="V17" s="2"/>
      <c r="W17" s="28">
        <v>74.33</v>
      </c>
      <c r="X17" s="9">
        <v>1024.5</v>
      </c>
      <c r="Y17" s="16"/>
      <c r="Z17" s="10">
        <v>44335</v>
      </c>
      <c r="AA17" s="26">
        <f>Таблица2[[#This Row],[Сумма перевода Долл/Евро]]*Таблица2[[#This Row],[Курс ДОЛЛ перевод]]+Таблица2[[#This Row],[Сумма за перевод руб]]</f>
        <v>82097.484999999986</v>
      </c>
      <c r="AB1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7.8563836943360457</v>
      </c>
      <c r="AC17" s="9"/>
      <c r="AD17" s="41"/>
    </row>
    <row r="18" spans="1:30" x14ac:dyDescent="0.25">
      <c r="A18" s="6">
        <v>44334</v>
      </c>
      <c r="B18" s="2" t="s">
        <v>59</v>
      </c>
      <c r="C18" s="2" t="s">
        <v>60</v>
      </c>
      <c r="D18" s="1"/>
      <c r="E18" s="1"/>
      <c r="F18" s="3"/>
      <c r="G18" s="5">
        <v>8013</v>
      </c>
      <c r="H18" s="2"/>
      <c r="I18" s="2">
        <v>74.77</v>
      </c>
      <c r="J18" s="2">
        <v>0.99</v>
      </c>
      <c r="K18" s="2"/>
      <c r="L18" s="2"/>
      <c r="M18" s="26">
        <f>Таблица2[[#This Row],[Сумма Долл]]*Таблица2[[#This Row],[Курс ДОЛЛ]]</f>
        <v>599132.01</v>
      </c>
      <c r="N18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605183.84848484851</v>
      </c>
      <c r="O1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8013.0000000000009</v>
      </c>
      <c r="P1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6051.8384848485002</v>
      </c>
      <c r="Q18" s="30"/>
      <c r="R18" s="12">
        <f>Таблица2[[#This Row],[Сумма в руб]]-Таблица2[[#This Row],[Оплата от клиента]]</f>
        <v>605183.84848484851</v>
      </c>
      <c r="S18" s="32"/>
      <c r="T18" s="32"/>
      <c r="U18" s="2"/>
      <c r="V18" s="2"/>
      <c r="W18" s="28"/>
      <c r="X18" s="9"/>
      <c r="Y18" s="16"/>
      <c r="Z18" s="2"/>
      <c r="AA18" s="26">
        <f>Таблица2[[#This Row],[Сумма перевода Долл/Евро]]*Таблица2[[#This Row],[Курс ДОЛЛ перевод]]+Таблица2[[#This Row],[Сумма за перевод руб]]</f>
        <v>6051.8384848485002</v>
      </c>
      <c r="AB1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8013.0000000000009</v>
      </c>
      <c r="AC18" s="9"/>
      <c r="AD18" s="41"/>
    </row>
    <row r="19" spans="1:30" x14ac:dyDescent="0.25">
      <c r="A19" s="6">
        <v>44335</v>
      </c>
      <c r="B19" s="2" t="s">
        <v>61</v>
      </c>
      <c r="C19" s="2" t="s">
        <v>62</v>
      </c>
      <c r="D19" s="1"/>
      <c r="E19" s="1"/>
      <c r="F19" s="3"/>
      <c r="G19" s="5">
        <v>765</v>
      </c>
      <c r="H19" s="2"/>
      <c r="I19" s="2">
        <v>74.66</v>
      </c>
      <c r="J19" s="2"/>
      <c r="K19" s="2">
        <v>80</v>
      </c>
      <c r="L19" s="2"/>
      <c r="M19" s="26">
        <f>Таблица2[[#This Row],[Сумма Долл]]*Таблица2[[#This Row],[Курс ДОЛЛ]]</f>
        <v>57114.899999999994</v>
      </c>
      <c r="N19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63087.7</v>
      </c>
      <c r="O1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765</v>
      </c>
      <c r="P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5972.7999999999993</v>
      </c>
      <c r="Q19" s="30"/>
      <c r="R19" s="12">
        <f>Таблица2[[#This Row],[Сумма в руб]]-Таблица2[[#This Row],[Оплата от клиента]]</f>
        <v>63087.7</v>
      </c>
      <c r="S19" s="32"/>
      <c r="T19" s="32"/>
      <c r="U19" s="2"/>
      <c r="V19" s="2"/>
      <c r="W19" s="28"/>
      <c r="X19" s="9"/>
      <c r="Y19" s="16"/>
      <c r="Z19" s="2"/>
      <c r="AA19" s="26">
        <f>Таблица2[[#This Row],[Сумма перевода Долл/Евро]]*Таблица2[[#This Row],[Курс ДОЛЛ перевод]]+Таблица2[[#This Row],[Сумма за перевод руб]]</f>
        <v>5972.7999999999993</v>
      </c>
      <c r="AB1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765</v>
      </c>
      <c r="AC19" s="9"/>
      <c r="AD19" s="41"/>
    </row>
    <row r="20" spans="1:30" x14ac:dyDescent="0.25">
      <c r="A20" s="6">
        <v>44336</v>
      </c>
      <c r="B20" s="2" t="s">
        <v>45</v>
      </c>
      <c r="C20" s="2" t="s">
        <v>46</v>
      </c>
      <c r="D20" s="1"/>
      <c r="E20" s="1"/>
      <c r="F20" s="3">
        <v>16330</v>
      </c>
      <c r="G20" s="5">
        <f>Таблица2[[#This Row],[Сумма ЮА]]/Таблица2[[#This Row],[Курс ЮА]]</f>
        <v>2563.579277864992</v>
      </c>
      <c r="H20" s="2">
        <v>6.37</v>
      </c>
      <c r="I20" s="2">
        <v>74.88</v>
      </c>
      <c r="J20" s="2">
        <v>0.96499999999999997</v>
      </c>
      <c r="K20" s="2"/>
      <c r="L20" s="2"/>
      <c r="M20" s="26">
        <f>Таблица2[[#This Row],[Сумма Долл]]*Таблица2[[#This Row],[Курс ДОЛЛ]]</f>
        <v>191960.81632653059</v>
      </c>
      <c r="N20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198923.12572697471</v>
      </c>
      <c r="O2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2563.579277864992</v>
      </c>
      <c r="P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6962.3094004441227</v>
      </c>
      <c r="Q20" s="30"/>
      <c r="R20" s="12">
        <f>Таблица2[[#This Row],[Сумма в руб]]-Таблица2[[#This Row],[Оплата от клиента]]</f>
        <v>198923.12572697471</v>
      </c>
      <c r="S20" s="32"/>
      <c r="T20" s="32"/>
      <c r="U20" s="2"/>
      <c r="V20" s="2"/>
      <c r="W20" s="28"/>
      <c r="X20" s="9"/>
      <c r="Y20" s="16"/>
      <c r="Z20" s="2"/>
      <c r="AA20" s="26">
        <f>Таблица2[[#This Row],[Сумма перевода Долл/Евро]]*Таблица2[[#This Row],[Курс ДОЛЛ перевод]]+Таблица2[[#This Row],[Сумма за перевод руб]]</f>
        <v>6962.3094004441227</v>
      </c>
      <c r="AB2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2563.579277864992</v>
      </c>
      <c r="AC20" s="9"/>
      <c r="AD20" s="41"/>
    </row>
    <row r="21" spans="1:30" x14ac:dyDescent="0.25">
      <c r="A21" s="6">
        <v>44337</v>
      </c>
      <c r="B21" s="2" t="s">
        <v>32</v>
      </c>
      <c r="C21" s="2" t="s">
        <v>33</v>
      </c>
      <c r="D21" s="1"/>
      <c r="E21" s="1"/>
      <c r="F21" s="3"/>
      <c r="G21" s="5">
        <v>6210</v>
      </c>
      <c r="H21" s="2"/>
      <c r="I21" s="2">
        <v>74.59</v>
      </c>
      <c r="J21" s="2"/>
      <c r="K21" s="2">
        <v>80</v>
      </c>
      <c r="L21" s="2"/>
      <c r="M21" s="26">
        <f>Таблица2[[#This Row],[Сумма Долл]]*Таблица2[[#This Row],[Курс ДОЛЛ]]</f>
        <v>463203.9</v>
      </c>
      <c r="N21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469171.10000000003</v>
      </c>
      <c r="O2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6210</v>
      </c>
      <c r="P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5967.2000000000007</v>
      </c>
      <c r="Q21" s="30"/>
      <c r="R21" s="12">
        <f>Таблица2[[#This Row],[Сумма в руб]]-Таблица2[[#This Row],[Оплата от клиента]]</f>
        <v>469171.10000000003</v>
      </c>
      <c r="S21" s="32"/>
      <c r="T21" s="32"/>
      <c r="U21" s="2"/>
      <c r="V21" s="2"/>
      <c r="W21" s="28"/>
      <c r="X21" s="9"/>
      <c r="Y21" s="16"/>
      <c r="Z21" s="2"/>
      <c r="AA21" s="26">
        <f>Таблица2[[#This Row],[Сумма перевода Долл/Евро]]*Таблица2[[#This Row],[Курс ДОЛЛ перевод]]+Таблица2[[#This Row],[Сумма за перевод руб]]</f>
        <v>5967.2000000000007</v>
      </c>
      <c r="AB2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6210</v>
      </c>
      <c r="AC21" s="9"/>
      <c r="AD21" s="41"/>
    </row>
    <row r="22" spans="1:30" x14ac:dyDescent="0.25">
      <c r="A22" s="6">
        <v>44337</v>
      </c>
      <c r="B22" s="2" t="s">
        <v>63</v>
      </c>
      <c r="C22" s="2" t="s">
        <v>64</v>
      </c>
      <c r="D22" s="1" t="s">
        <v>65</v>
      </c>
      <c r="E22" s="1"/>
      <c r="F22" s="3"/>
      <c r="G22" s="5">
        <v>42747.6</v>
      </c>
      <c r="H22" s="2"/>
      <c r="I22" s="2">
        <v>74.59</v>
      </c>
      <c r="J22" s="2">
        <v>0.98</v>
      </c>
      <c r="K22" s="2"/>
      <c r="L22" s="2"/>
      <c r="M22" s="26">
        <f>Таблица2[[#This Row],[Сумма Долл]]*Таблица2[[#This Row],[Курс ДОЛЛ]]</f>
        <v>3188543.4840000002</v>
      </c>
      <c r="N22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3253615.8000000003</v>
      </c>
      <c r="O2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42891.35706214689</v>
      </c>
      <c r="P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65072.316000000108</v>
      </c>
      <c r="Q22" s="30">
        <v>3253615.8</v>
      </c>
      <c r="R22" s="12">
        <f>Таблица2[[#This Row],[Сумма в руб]]-Таблица2[[#This Row],[Оплата от клиента]]</f>
        <v>0</v>
      </c>
      <c r="S22" s="32"/>
      <c r="T22" s="32"/>
      <c r="U22" s="2"/>
      <c r="V22" s="2"/>
      <c r="W22" s="28">
        <v>74.34</v>
      </c>
      <c r="X22" s="9">
        <v>42747.6</v>
      </c>
      <c r="Y22" s="16"/>
      <c r="Z22" s="2"/>
      <c r="AA22" s="26">
        <f>Таблица2[[#This Row],[Сумма перевода Долл/Евро]]*Таблица2[[#This Row],[Курс ДОЛЛ перевод]]+Таблица2[[#This Row],[Сумма за перевод руб]]</f>
        <v>3242928.9000000004</v>
      </c>
      <c r="AB2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143.75706214689126</v>
      </c>
      <c r="AC22" s="9" t="s">
        <v>577</v>
      </c>
      <c r="AD22" s="41"/>
    </row>
    <row r="23" spans="1:30" x14ac:dyDescent="0.25">
      <c r="A23" s="6">
        <v>44337</v>
      </c>
      <c r="B23" s="2" t="s">
        <v>42</v>
      </c>
      <c r="C23" s="2" t="s">
        <v>43</v>
      </c>
      <c r="D23" s="1" t="s">
        <v>66</v>
      </c>
      <c r="E23" s="1"/>
      <c r="F23" s="3"/>
      <c r="G23" s="7">
        <f>3131+80</f>
        <v>3211</v>
      </c>
      <c r="H23" s="2"/>
      <c r="I23" s="2">
        <v>74.59</v>
      </c>
      <c r="J23" s="2">
        <v>0.98499999999999999</v>
      </c>
      <c r="K23" s="2"/>
      <c r="L23" s="2"/>
      <c r="M23" s="26">
        <f>Таблица2[[#This Row],[Сумма Долл]]*Таблица2[[#This Row],[Курс ДОЛЛ]]</f>
        <v>239508.49000000002</v>
      </c>
      <c r="N23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243155.82741116753</v>
      </c>
      <c r="O2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3211</v>
      </c>
      <c r="P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3647.3374111675075</v>
      </c>
      <c r="Q23" s="30"/>
      <c r="R23" s="12">
        <f>Таблица2[[#This Row],[Сумма в руб]]-Таблица2[[#This Row],[Оплата от клиента]]</f>
        <v>243155.82741116753</v>
      </c>
      <c r="S23" s="32"/>
      <c r="T23" s="32"/>
      <c r="U23" s="2"/>
      <c r="V23" s="2"/>
      <c r="W23" s="28"/>
      <c r="X23" s="9"/>
      <c r="Y23" s="16"/>
      <c r="Z23" s="2"/>
      <c r="AA23" s="26">
        <f>Таблица2[[#This Row],[Сумма перевода Долл/Евро]]*Таблица2[[#This Row],[Курс ДОЛЛ перевод]]+Таблица2[[#This Row],[Сумма за перевод руб]]</f>
        <v>3647.3374111675075</v>
      </c>
      <c r="AB2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3211</v>
      </c>
      <c r="AC23" s="9"/>
      <c r="AD23" s="41"/>
    </row>
    <row r="24" spans="1:30" x14ac:dyDescent="0.25">
      <c r="A24" s="6">
        <v>44340</v>
      </c>
      <c r="B24" s="2" t="s">
        <v>35</v>
      </c>
      <c r="C24" s="2" t="s">
        <v>36</v>
      </c>
      <c r="D24" s="1" t="s">
        <v>67</v>
      </c>
      <c r="E24" s="1"/>
      <c r="F24" s="3"/>
      <c r="G24" s="5">
        <v>810</v>
      </c>
      <c r="H24" s="2"/>
      <c r="I24" s="2">
        <v>74.540000000000006</v>
      </c>
      <c r="J24" s="2"/>
      <c r="K24" s="2">
        <v>80</v>
      </c>
      <c r="L24" s="2"/>
      <c r="M24" s="26">
        <f>Таблица2[[#This Row],[Сумма Долл]]*Таблица2[[#This Row],[Курс ДОЛЛ]]</f>
        <v>60377.4</v>
      </c>
      <c r="N24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66340.600000000006</v>
      </c>
      <c r="O2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812.17917675544788</v>
      </c>
      <c r="P2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5947.2000000000007</v>
      </c>
      <c r="Q24" s="30"/>
      <c r="R24" s="12">
        <f>Таблица2[[#This Row],[Сумма в руб]]-Таблица2[[#This Row],[Оплата от клиента]]</f>
        <v>66340.600000000006</v>
      </c>
      <c r="S24" s="32"/>
      <c r="T24" s="32"/>
      <c r="U24" s="2"/>
      <c r="V24" s="2"/>
      <c r="W24" s="28">
        <v>74.34</v>
      </c>
      <c r="X24" s="9"/>
      <c r="Y24" s="16"/>
      <c r="Z24" s="2"/>
      <c r="AA24" s="26">
        <f>Таблица2[[#This Row],[Сумма перевода Долл/Евро]]*Таблица2[[#This Row],[Курс ДОЛЛ перевод]]+Таблица2[[#This Row],[Сумма за перевод руб]]</f>
        <v>5947.2000000000007</v>
      </c>
      <c r="AB2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812.17917675544788</v>
      </c>
      <c r="AC24" s="9"/>
      <c r="AD24" s="41"/>
    </row>
    <row r="25" spans="1:30" x14ac:dyDescent="0.25">
      <c r="A25" s="6">
        <v>44340</v>
      </c>
      <c r="B25" s="2" t="s">
        <v>68</v>
      </c>
      <c r="C25" s="2" t="s">
        <v>69</v>
      </c>
      <c r="D25" s="1"/>
      <c r="E25" s="1"/>
      <c r="F25" s="3">
        <v>7700</v>
      </c>
      <c r="G25" s="5">
        <f>Таблица2[[#This Row],[Сумма ЮА]]/Таблица2[[#This Row],[Курс ЮА]]</f>
        <v>1210.691823899371</v>
      </c>
      <c r="H25" s="2">
        <v>6.36</v>
      </c>
      <c r="I25" s="2">
        <v>74.540000000000006</v>
      </c>
      <c r="J25" s="2"/>
      <c r="K25" s="2"/>
      <c r="L25" s="2">
        <v>5000</v>
      </c>
      <c r="M25" s="26">
        <f>Таблица2[[#This Row],[Сумма Долл]]*Таблица2[[#This Row],[Курс ДОЛЛ]]</f>
        <v>90244.968553459126</v>
      </c>
      <c r="N25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95244.968553459126</v>
      </c>
      <c r="O2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1210.691823899371</v>
      </c>
      <c r="P2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5000</v>
      </c>
      <c r="Q25" s="30"/>
      <c r="R25" s="12">
        <f>Таблица2[[#This Row],[Сумма в руб]]-Таблица2[[#This Row],[Оплата от клиента]]</f>
        <v>95244.968553459126</v>
      </c>
      <c r="S25" s="32"/>
      <c r="T25" s="32"/>
      <c r="U25" s="2"/>
      <c r="V25" s="2"/>
      <c r="W25" s="28"/>
      <c r="X25" s="9"/>
      <c r="Y25" s="16"/>
      <c r="Z25" s="2"/>
      <c r="AA25" s="26">
        <f>Таблица2[[#This Row],[Сумма перевода Долл/Евро]]*Таблица2[[#This Row],[Курс ДОЛЛ перевод]]+Таблица2[[#This Row],[Сумма за перевод руб]]</f>
        <v>5000</v>
      </c>
      <c r="AB2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1210.691823899371</v>
      </c>
      <c r="AC25" s="9"/>
      <c r="AD25" s="41"/>
    </row>
    <row r="26" spans="1:30" x14ac:dyDescent="0.25">
      <c r="A26" s="6">
        <v>44341</v>
      </c>
      <c r="B26" s="2" t="s">
        <v>70</v>
      </c>
      <c r="C26" s="2" t="s">
        <v>71</v>
      </c>
      <c r="D26" s="1"/>
      <c r="E26" s="1"/>
      <c r="F26" s="3"/>
      <c r="G26" s="5">
        <v>4150</v>
      </c>
      <c r="H26" s="2"/>
      <c r="I26" s="2">
        <v>74.3</v>
      </c>
      <c r="J26" s="2"/>
      <c r="K26" s="2">
        <v>100</v>
      </c>
      <c r="L26" s="2"/>
      <c r="M26" s="26">
        <f>Таблица2[[#This Row],[Сумма Долл]]*Таблица2[[#This Row],[Курс ДОЛЛ]]</f>
        <v>308345</v>
      </c>
      <c r="N26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315775</v>
      </c>
      <c r="O2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4150</v>
      </c>
      <c r="P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7430</v>
      </c>
      <c r="Q26" s="30">
        <v>315775</v>
      </c>
      <c r="R26" s="12">
        <f>Таблица2[[#This Row],[Сумма в руб]]-Таблица2[[#This Row],[Оплата от клиента]]</f>
        <v>0</v>
      </c>
      <c r="S26" s="32"/>
      <c r="T26" s="32"/>
      <c r="U26" s="2"/>
      <c r="V26" s="2"/>
      <c r="W26" s="28"/>
      <c r="X26" s="9"/>
      <c r="Y26" s="16"/>
      <c r="Z26" s="2"/>
      <c r="AA26" s="26">
        <f>Таблица2[[#This Row],[Сумма перевода Долл/Евро]]*Таблица2[[#This Row],[Курс ДОЛЛ перевод]]+Таблица2[[#This Row],[Сумма за перевод руб]]</f>
        <v>7430</v>
      </c>
      <c r="AB2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4150</v>
      </c>
      <c r="AC26" s="9"/>
      <c r="AD26" s="41"/>
    </row>
    <row r="27" spans="1:30" x14ac:dyDescent="0.25">
      <c r="A27" s="6">
        <v>44341</v>
      </c>
      <c r="B27" s="2" t="s">
        <v>72</v>
      </c>
      <c r="C27" s="2" t="s">
        <v>73</v>
      </c>
      <c r="D27" s="1"/>
      <c r="E27" s="1"/>
      <c r="F27" s="3">
        <v>303000</v>
      </c>
      <c r="G27" s="5">
        <f>Таблица2[[#This Row],[Сумма ЮА]]/Таблица2[[#This Row],[Курс ЮА]]</f>
        <v>47791.798107255519</v>
      </c>
      <c r="H27" s="2">
        <v>6.34</v>
      </c>
      <c r="I27" s="2">
        <v>74.3</v>
      </c>
      <c r="J27" s="2">
        <v>0.95</v>
      </c>
      <c r="K27" s="2"/>
      <c r="L27" s="2"/>
      <c r="M27" s="26">
        <f>Таблица2[[#This Row],[Сумма Долл]]*Таблица2[[#This Row],[Курс ДОЛЛ]]</f>
        <v>3550930.5993690849</v>
      </c>
      <c r="N27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3737821.6835464053</v>
      </c>
      <c r="O2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47791.798107255519</v>
      </c>
      <c r="P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186891.08417732036</v>
      </c>
      <c r="Q27" s="30"/>
      <c r="R27" s="12">
        <f>Таблица2[[#This Row],[Сумма в руб]]-Таблица2[[#This Row],[Оплата от клиента]]</f>
        <v>3737821.6835464053</v>
      </c>
      <c r="S27" s="32"/>
      <c r="T27" s="32"/>
      <c r="U27" s="2"/>
      <c r="V27" s="2"/>
      <c r="W27" s="28"/>
      <c r="X27" s="9"/>
      <c r="Y27" s="16"/>
      <c r="Z27" s="2"/>
      <c r="AA27" s="26">
        <f>Таблица2[[#This Row],[Сумма перевода Долл/Евро]]*Таблица2[[#This Row],[Курс ДОЛЛ перевод]]+Таблица2[[#This Row],[Сумма за перевод руб]]</f>
        <v>186891.08417732036</v>
      </c>
      <c r="AB2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47791.798107255519</v>
      </c>
      <c r="AC27" s="9"/>
      <c r="AD27" s="41"/>
    </row>
    <row r="28" spans="1:30" x14ac:dyDescent="0.25">
      <c r="A28" s="6">
        <v>44341</v>
      </c>
      <c r="B28" s="2" t="s">
        <v>74</v>
      </c>
      <c r="C28" s="2" t="s">
        <v>75</v>
      </c>
      <c r="D28" s="1"/>
      <c r="E28" s="1"/>
      <c r="F28" s="3"/>
      <c r="G28" s="5">
        <v>1050</v>
      </c>
      <c r="H28" s="2"/>
      <c r="I28" s="2">
        <v>74.3</v>
      </c>
      <c r="J28" s="2"/>
      <c r="K28" s="2"/>
      <c r="L28" s="2">
        <v>4800</v>
      </c>
      <c r="M28" s="26">
        <f>Таблица2[[#This Row],[Сумма Долл]]*Таблица2[[#This Row],[Курс ДОЛЛ]]</f>
        <v>78015</v>
      </c>
      <c r="N28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82815</v>
      </c>
      <c r="O2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1050</v>
      </c>
      <c r="P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4800</v>
      </c>
      <c r="Q28" s="30"/>
      <c r="R28" s="12">
        <f>Таблица2[[#This Row],[Сумма в руб]]-Таблица2[[#This Row],[Оплата от клиента]]</f>
        <v>82815</v>
      </c>
      <c r="S28" s="32"/>
      <c r="T28" s="32"/>
      <c r="U28" s="2"/>
      <c r="V28" s="2"/>
      <c r="W28" s="28"/>
      <c r="X28" s="9"/>
      <c r="Y28" s="16"/>
      <c r="Z28" s="2"/>
      <c r="AA28" s="26">
        <f>Таблица2[[#This Row],[Сумма перевода Долл/Евро]]*Таблица2[[#This Row],[Курс ДОЛЛ перевод]]+Таблица2[[#This Row],[Сумма за перевод руб]]</f>
        <v>4800</v>
      </c>
      <c r="AB2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1050</v>
      </c>
      <c r="AC28" s="9"/>
      <c r="AD28" s="41"/>
    </row>
    <row r="29" spans="1:30" x14ac:dyDescent="0.25">
      <c r="A29" s="6">
        <v>44342</v>
      </c>
      <c r="B29" s="2" t="s">
        <v>76</v>
      </c>
      <c r="C29" s="2" t="s">
        <v>77</v>
      </c>
      <c r="D29" s="1"/>
      <c r="E29" s="1"/>
      <c r="F29" s="3">
        <v>62260</v>
      </c>
      <c r="G29" s="5">
        <f>Таблица2[[#This Row],[Сумма ЮА]]/Таблица2[[#This Row],[Курс ЮА]]</f>
        <v>9728.125</v>
      </c>
      <c r="H29" s="2">
        <v>6.4</v>
      </c>
      <c r="I29" s="2">
        <v>74.42</v>
      </c>
      <c r="J29" s="2"/>
      <c r="K29" s="2"/>
      <c r="L29" s="2"/>
      <c r="M29" s="26">
        <f>Таблица2[[#This Row],[Сумма Долл]]*Таблица2[[#This Row],[Курс ДОЛЛ]]</f>
        <v>723967.0625</v>
      </c>
      <c r="N29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723967.0625</v>
      </c>
      <c r="O2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9728.125</v>
      </c>
      <c r="P2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29" s="30"/>
      <c r="R29" s="12">
        <f>Таблица2[[#This Row],[Сумма в руб]]-Таблица2[[#This Row],[Оплата от клиента]]</f>
        <v>723967.0625</v>
      </c>
      <c r="S29" s="32"/>
      <c r="T29" s="32"/>
      <c r="U29" s="2"/>
      <c r="V29" s="2"/>
      <c r="W29" s="28"/>
      <c r="X29" s="9"/>
      <c r="Y29" s="16"/>
      <c r="Z29" s="2"/>
      <c r="AA29" s="26">
        <f>Таблица2[[#This Row],[Сумма перевода Долл/Евро]]*Таблица2[[#This Row],[Курс ДОЛЛ перевод]]+Таблица2[[#This Row],[Сумма за перевод руб]]</f>
        <v>0</v>
      </c>
      <c r="AB2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9728.125</v>
      </c>
      <c r="AC29" s="9"/>
      <c r="AD29" s="41"/>
    </row>
    <row r="30" spans="1:30" x14ac:dyDescent="0.25">
      <c r="A30" s="6">
        <v>44342</v>
      </c>
      <c r="B30" s="2" t="s">
        <v>78</v>
      </c>
      <c r="C30" s="2" t="s">
        <v>79</v>
      </c>
      <c r="D30" s="1"/>
      <c r="E30" s="1"/>
      <c r="F30" s="8" t="s">
        <v>80</v>
      </c>
      <c r="G30" s="7">
        <f>12093.75+49.25</f>
        <v>12143</v>
      </c>
      <c r="H30" s="2"/>
      <c r="I30" s="2">
        <v>74.42</v>
      </c>
      <c r="J30" s="2">
        <v>0.98499999999999999</v>
      </c>
      <c r="K30" s="2"/>
      <c r="L30" s="2"/>
      <c r="M30" s="26">
        <f>Таблица2[[#This Row],[Сумма Долл]]*Таблица2[[#This Row],[Курс ДОЛЛ]]</f>
        <v>903682.06</v>
      </c>
      <c r="N30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917443.71573604073</v>
      </c>
      <c r="O3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12143</v>
      </c>
      <c r="P3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13761.655736040673</v>
      </c>
      <c r="Q30" s="30">
        <v>917443.72</v>
      </c>
      <c r="R30" s="12">
        <f>Таблица2[[#This Row],[Сумма в руб]]-Таблица2[[#This Row],[Оплата от клиента]]</f>
        <v>-4.2639592429623008E-3</v>
      </c>
      <c r="S30" s="32"/>
      <c r="T30" s="32"/>
      <c r="U30" s="2"/>
      <c r="V30" s="2"/>
      <c r="W30" s="28"/>
      <c r="X30" s="9">
        <v>12093.75</v>
      </c>
      <c r="Y30" s="16"/>
      <c r="Z30" s="2"/>
      <c r="AA30" s="26">
        <f>Таблица2[[#This Row],[Сумма перевода Долл/Евро]]*Таблица2[[#This Row],[Курс ДОЛЛ перевод]]+Таблица2[[#This Row],[Сумма за перевод руб]]</f>
        <v>13761.655736040673</v>
      </c>
      <c r="AB3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49.25</v>
      </c>
      <c r="AC30" s="9"/>
      <c r="AD30" s="41"/>
    </row>
    <row r="31" spans="1:30" x14ac:dyDescent="0.25">
      <c r="A31" s="6">
        <v>44343</v>
      </c>
      <c r="B31" s="2" t="s">
        <v>81</v>
      </c>
      <c r="C31" s="2" t="s">
        <v>82</v>
      </c>
      <c r="D31" s="1"/>
      <c r="E31" s="1"/>
      <c r="F31" s="8" t="s">
        <v>80</v>
      </c>
      <c r="G31" s="7">
        <f>900+44.879</f>
        <v>944.87900000000002</v>
      </c>
      <c r="H31" s="2"/>
      <c r="I31" s="2">
        <v>74.290000000000006</v>
      </c>
      <c r="J31" s="2">
        <v>0.97</v>
      </c>
      <c r="K31" s="2"/>
      <c r="L31" s="2"/>
      <c r="M31" s="26">
        <f>Таблица2[[#This Row],[Сумма Долл]]*Таблица2[[#This Row],[Курс ДОЛЛ]]</f>
        <v>70195.06091</v>
      </c>
      <c r="N31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72366.042175257739</v>
      </c>
      <c r="O3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944.87899999999991</v>
      </c>
      <c r="P3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2170.9812652577384</v>
      </c>
      <c r="Q31" s="30"/>
      <c r="R31" s="12">
        <f>Таблица2[[#This Row],[Сумма в руб]]-Таблица2[[#This Row],[Оплата от клиента]]</f>
        <v>72366.042175257739</v>
      </c>
      <c r="S31" s="32"/>
      <c r="T31" s="32"/>
      <c r="U31" s="2"/>
      <c r="V31" s="2"/>
      <c r="W31" s="28"/>
      <c r="X31" s="9"/>
      <c r="Y31" s="16"/>
      <c r="Z31" s="2"/>
      <c r="AA31" s="26">
        <f>Таблица2[[#This Row],[Сумма перевода Долл/Евро]]*Таблица2[[#This Row],[Курс ДОЛЛ перевод]]+Таблица2[[#This Row],[Сумма за перевод руб]]</f>
        <v>2170.9812652577384</v>
      </c>
      <c r="AB3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944.87899999999991</v>
      </c>
      <c r="AC31" s="9"/>
      <c r="AD31" s="41"/>
    </row>
    <row r="32" spans="1:30" x14ac:dyDescent="0.25">
      <c r="A32" s="6">
        <v>44344</v>
      </c>
      <c r="B32" s="2" t="s">
        <v>32</v>
      </c>
      <c r="C32" s="2" t="s">
        <v>33</v>
      </c>
      <c r="D32" s="1"/>
      <c r="E32" s="1"/>
      <c r="F32" s="3"/>
      <c r="G32" s="5">
        <v>10100</v>
      </c>
      <c r="H32" s="2"/>
      <c r="I32" s="2">
        <v>74.52</v>
      </c>
      <c r="J32" s="2">
        <v>0.99</v>
      </c>
      <c r="K32" s="2"/>
      <c r="L32" s="2"/>
      <c r="M32" s="26">
        <f>Таблица2[[#This Row],[Сумма Долл]]*Таблица2[[#This Row],[Курс ДОЛЛ]]</f>
        <v>752652</v>
      </c>
      <c r="N32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760254.54545454541</v>
      </c>
      <c r="O3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10100</v>
      </c>
      <c r="P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7602.5454545454122</v>
      </c>
      <c r="Q32" s="30">
        <v>760254.55</v>
      </c>
      <c r="R32" s="12">
        <f>Таблица2[[#This Row],[Сумма в руб]]-Таблица2[[#This Row],[Оплата от клиента]]</f>
        <v>-4.5454546343535185E-3</v>
      </c>
      <c r="S32" s="32"/>
      <c r="T32" s="32"/>
      <c r="U32" s="2"/>
      <c r="V32" s="2"/>
      <c r="W32" s="28"/>
      <c r="X32" s="9"/>
      <c r="Y32" s="16"/>
      <c r="Z32" s="2"/>
      <c r="AA32" s="26">
        <f>Таблица2[[#This Row],[Сумма перевода Долл/Евро]]*Таблица2[[#This Row],[Курс ДОЛЛ перевод]]+Таблица2[[#This Row],[Сумма за перевод руб]]</f>
        <v>7602.5454545454122</v>
      </c>
      <c r="AB3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10100</v>
      </c>
      <c r="AC32" s="9"/>
      <c r="AD32" s="41"/>
    </row>
    <row r="33" spans="1:30" x14ac:dyDescent="0.25">
      <c r="A33" s="6">
        <v>44344</v>
      </c>
      <c r="B33" s="2" t="s">
        <v>83</v>
      </c>
      <c r="C33" s="2" t="s">
        <v>84</v>
      </c>
      <c r="D33" s="1"/>
      <c r="E33" s="1"/>
      <c r="F33" s="3">
        <v>3150</v>
      </c>
      <c r="G33" s="5">
        <f>Таблица2[[#This Row],[Сумма ЮА]]/Таблица2[[#This Row],[Курс ЮА]]</f>
        <v>500</v>
      </c>
      <c r="H33" s="2">
        <v>6.3</v>
      </c>
      <c r="I33" s="2">
        <v>74.52</v>
      </c>
      <c r="J33" s="2"/>
      <c r="K33" s="2">
        <v>80</v>
      </c>
      <c r="L33" s="2"/>
      <c r="M33" s="26">
        <f>Таблица2[[#This Row],[Сумма Долл]]*Таблица2[[#This Row],[Курс ДОЛЛ]]</f>
        <v>37260</v>
      </c>
      <c r="N33" s="1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43221.599999999999</v>
      </c>
      <c r="O3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500</v>
      </c>
      <c r="P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5961.5999999999995</v>
      </c>
      <c r="Q33" s="30">
        <v>43221.599999999999</v>
      </c>
      <c r="R33" s="12">
        <f>Таблица2[[#This Row],[Сумма в руб]]-Таблица2[[#This Row],[Оплата от клиента]]</f>
        <v>0</v>
      </c>
      <c r="S33" s="32"/>
      <c r="T33" s="32"/>
      <c r="U33" s="2"/>
      <c r="V33" s="2"/>
      <c r="W33" s="28"/>
      <c r="X33" s="9"/>
      <c r="Y33" s="16"/>
      <c r="Z33" s="2"/>
      <c r="AA33" s="26">
        <f>Таблица2[[#This Row],[Сумма перевода Долл/Евро]]*Таблица2[[#This Row],[Курс ДОЛЛ перевод]]+Таблица2[[#This Row],[Сумма за перевод руб]]</f>
        <v>5961.5999999999995</v>
      </c>
      <c r="AB3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500</v>
      </c>
      <c r="AC33" s="9"/>
      <c r="AD33" s="41"/>
    </row>
    <row r="34" spans="1:30" x14ac:dyDescent="0.25">
      <c r="A34" s="6">
        <v>44349</v>
      </c>
      <c r="B34" s="2" t="s">
        <v>85</v>
      </c>
      <c r="C34" s="2" t="s">
        <v>86</v>
      </c>
      <c r="D34" s="1"/>
      <c r="E34" s="1"/>
      <c r="F34" s="3"/>
      <c r="G34" s="5">
        <v>3172.16</v>
      </c>
      <c r="H34" s="2"/>
      <c r="I34" s="2">
        <v>74.47</v>
      </c>
      <c r="J34" s="2">
        <v>0.95</v>
      </c>
      <c r="K34" s="2"/>
      <c r="L34" s="2"/>
      <c r="M34" s="26">
        <f>Таблица2[[#This Row],[Сумма Долл]]*Таблица2[[#This Row],[Курс ДОЛЛ]]</f>
        <v>236230.75519999999</v>
      </c>
      <c r="N3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248663.95284210527</v>
      </c>
      <c r="O3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3172.16</v>
      </c>
      <c r="P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12433.197642105282</v>
      </c>
      <c r="Q34" s="30"/>
      <c r="R34" s="12">
        <f>Таблица2[[#This Row],[Сумма в руб]]-Таблица2[[#This Row],[Оплата от клиента]]</f>
        <v>248663.95284210527</v>
      </c>
      <c r="S34" s="32"/>
      <c r="T34" s="32"/>
      <c r="U34" s="12"/>
      <c r="V34" s="2"/>
      <c r="W34" s="28"/>
      <c r="X34" s="9"/>
      <c r="Y34" s="16"/>
      <c r="Z34" s="2"/>
      <c r="AA34" s="26">
        <f>Таблица2[[#This Row],[Сумма перевода Долл/Евро]]*Таблица2[[#This Row],[Курс ДОЛЛ перевод]]+Таблица2[[#This Row],[Сумма за перевод руб]]</f>
        <v>12433.197642105282</v>
      </c>
      <c r="AB3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3172.16</v>
      </c>
      <c r="AC34" s="9"/>
      <c r="AD34" s="41"/>
    </row>
    <row r="35" spans="1:30" x14ac:dyDescent="0.25">
      <c r="A35" s="6">
        <v>44349</v>
      </c>
      <c r="B35" s="2" t="s">
        <v>35</v>
      </c>
      <c r="C35" s="2" t="s">
        <v>36</v>
      </c>
      <c r="D35" s="1"/>
      <c r="E35" s="1"/>
      <c r="F35" s="3"/>
      <c r="G35" s="5">
        <v>810</v>
      </c>
      <c r="H35" s="2"/>
      <c r="I35" s="2">
        <v>74.47</v>
      </c>
      <c r="J35" s="2"/>
      <c r="K35" s="2">
        <v>80</v>
      </c>
      <c r="L35" s="2"/>
      <c r="M35" s="26">
        <f>Таблица2[[#This Row],[Сумма Долл]]*Таблица2[[#This Row],[Курс ДОЛЛ]]</f>
        <v>60320.7</v>
      </c>
      <c r="N3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66278.3</v>
      </c>
      <c r="O3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813.38592233009706</v>
      </c>
      <c r="P3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5932.7999999999993</v>
      </c>
      <c r="Q35" s="30">
        <v>66278.3</v>
      </c>
      <c r="R35" s="12">
        <f>Таблица2[[#This Row],[Сумма в руб]]-Таблица2[[#This Row],[Оплата от клиента]]</f>
        <v>0</v>
      </c>
      <c r="S35" s="32"/>
      <c r="T35" s="32"/>
      <c r="U35" s="12"/>
      <c r="V35" s="2"/>
      <c r="W35" s="28">
        <v>74.16</v>
      </c>
      <c r="X35" s="9"/>
      <c r="Y35" s="16"/>
      <c r="Z35" s="2"/>
      <c r="AA35" s="26">
        <f>Таблица2[[#This Row],[Сумма перевода Долл/Евро]]*Таблица2[[#This Row],[Курс ДОЛЛ перевод]]+Таблица2[[#This Row],[Сумма за перевод руб]]</f>
        <v>5932.7999999999993</v>
      </c>
      <c r="AB3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813.38592233009706</v>
      </c>
      <c r="AC35" s="9"/>
      <c r="AD35" s="41"/>
    </row>
    <row r="36" spans="1:30" x14ac:dyDescent="0.25">
      <c r="A36" s="6">
        <v>44349</v>
      </c>
      <c r="B36" s="2" t="s">
        <v>87</v>
      </c>
      <c r="C36" s="2" t="s">
        <v>88</v>
      </c>
      <c r="D36" s="1"/>
      <c r="E36" s="1"/>
      <c r="F36" s="3"/>
      <c r="G36" s="7">
        <f>2844+48.5</f>
        <v>2892.5</v>
      </c>
      <c r="H36" s="2"/>
      <c r="I36" s="2">
        <v>74.36</v>
      </c>
      <c r="J36" s="2">
        <v>0.97</v>
      </c>
      <c r="K36" s="2"/>
      <c r="L36" s="2"/>
      <c r="M36" s="26">
        <f>Таблица2[[#This Row],[Сумма Долл]]*Таблица2[[#This Row],[Курс ДОЛЛ]]</f>
        <v>215086.3</v>
      </c>
      <c r="N3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221738.45360824742</v>
      </c>
      <c r="O3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2892.5</v>
      </c>
      <c r="P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6652.153608247434</v>
      </c>
      <c r="Q36" s="30">
        <v>221738.45</v>
      </c>
      <c r="R36" s="12">
        <f>Таблица2[[#This Row],[Сумма в руб]]-Таблица2[[#This Row],[Оплата от клиента]]</f>
        <v>3.6082474107388407E-3</v>
      </c>
      <c r="S36" s="32"/>
      <c r="T36" s="32"/>
      <c r="U36" s="12"/>
      <c r="V36" s="2">
        <v>6.4</v>
      </c>
      <c r="W36" s="28"/>
      <c r="X36" s="9"/>
      <c r="Y36" s="16">
        <v>18174</v>
      </c>
      <c r="Z36" s="2"/>
      <c r="AA36" s="26">
        <f>Таблица2[[#This Row],[Сумма перевода Долл/Евро]]*Таблица2[[#This Row],[Курс ДОЛЛ перевод]]+Таблица2[[#This Row],[Сумма за перевод руб]]</f>
        <v>6652.153608247434</v>
      </c>
      <c r="AB3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52.8125</v>
      </c>
      <c r="AC36" s="9"/>
      <c r="AD36" s="41"/>
    </row>
    <row r="37" spans="1:30" x14ac:dyDescent="0.25">
      <c r="A37" s="6">
        <v>44351</v>
      </c>
      <c r="B37" s="2" t="s">
        <v>89</v>
      </c>
      <c r="C37" s="2" t="s">
        <v>90</v>
      </c>
      <c r="D37" s="1"/>
      <c r="E37" s="1"/>
      <c r="F37" s="3"/>
      <c r="G37" s="7">
        <f>5600+50</f>
        <v>5650</v>
      </c>
      <c r="H37" s="2"/>
      <c r="I37" s="2">
        <v>74.239999999999995</v>
      </c>
      <c r="J37" s="2">
        <v>0.99</v>
      </c>
      <c r="K37" s="2"/>
      <c r="L37" s="2"/>
      <c r="M37" s="26">
        <f>Таблица2[[#This Row],[Сумма Долл]]*Таблица2[[#This Row],[Курс ДОЛЛ]]</f>
        <v>419456</v>
      </c>
      <c r="N3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423692.9292929293</v>
      </c>
      <c r="O3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5650</v>
      </c>
      <c r="P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4236.9292929293006</v>
      </c>
      <c r="Q37" s="30"/>
      <c r="R37" s="12">
        <f>Таблица2[[#This Row],[Сумма в руб]]-Таблица2[[#This Row],[Оплата от клиента]]</f>
        <v>423692.9292929293</v>
      </c>
      <c r="S37" s="32"/>
      <c r="T37" s="32"/>
      <c r="U37" s="12"/>
      <c r="V37" s="2"/>
      <c r="W37" s="28"/>
      <c r="X37" s="9"/>
      <c r="Y37" s="16"/>
      <c r="Z37" s="2"/>
      <c r="AA37" s="26">
        <f>Таблица2[[#This Row],[Сумма перевода Долл/Евро]]*Таблица2[[#This Row],[Курс ДОЛЛ перевод]]+Таблица2[[#This Row],[Сумма за перевод руб]]</f>
        <v>4236.9292929293006</v>
      </c>
      <c r="AB3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5650</v>
      </c>
      <c r="AC37" s="9"/>
      <c r="AD37" s="41"/>
    </row>
    <row r="38" spans="1:30" x14ac:dyDescent="0.25">
      <c r="A38" s="6">
        <v>44351</v>
      </c>
      <c r="B38" s="2" t="s">
        <v>89</v>
      </c>
      <c r="C38" s="2" t="s">
        <v>90</v>
      </c>
      <c r="D38" s="1"/>
      <c r="E38" s="1"/>
      <c r="F38" s="3"/>
      <c r="G38" s="7">
        <f>4655+50</f>
        <v>4705</v>
      </c>
      <c r="H38" s="2"/>
      <c r="I38" s="2">
        <v>74.239999999999995</v>
      </c>
      <c r="J38" s="2">
        <v>0.99</v>
      </c>
      <c r="K38" s="2"/>
      <c r="L38" s="2"/>
      <c r="M38" s="26">
        <f>Таблица2[[#This Row],[Сумма Долл]]*Таблица2[[#This Row],[Курс ДОЛЛ]]</f>
        <v>349299.19999999995</v>
      </c>
      <c r="N3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352827.47474747471</v>
      </c>
      <c r="O3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4705</v>
      </c>
      <c r="P3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3528.2747474747594</v>
      </c>
      <c r="Q38" s="30"/>
      <c r="R38" s="12">
        <f>Таблица2[[#This Row],[Сумма в руб]]-Таблица2[[#This Row],[Оплата от клиента]]</f>
        <v>352827.47474747471</v>
      </c>
      <c r="S38" s="32"/>
      <c r="T38" s="32"/>
      <c r="U38" s="12"/>
      <c r="V38" s="2"/>
      <c r="W38" s="28"/>
      <c r="X38" s="9"/>
      <c r="Y38" s="16"/>
      <c r="Z38" s="2"/>
      <c r="AA38" s="26">
        <f>Таблица2[[#This Row],[Сумма перевода Долл/Евро]]*Таблица2[[#This Row],[Курс ДОЛЛ перевод]]+Таблица2[[#This Row],[Сумма за перевод руб]]</f>
        <v>3528.2747474747594</v>
      </c>
      <c r="AB3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4705</v>
      </c>
      <c r="AC38" s="9"/>
      <c r="AD38" s="41"/>
    </row>
    <row r="39" spans="1:30" x14ac:dyDescent="0.25">
      <c r="A39" s="6">
        <v>44354</v>
      </c>
      <c r="B39" s="2" t="s">
        <v>91</v>
      </c>
      <c r="C39" s="2" t="s">
        <v>92</v>
      </c>
      <c r="D39" s="1"/>
      <c r="E39" s="1"/>
      <c r="F39" s="3"/>
      <c r="G39" s="5">
        <v>2988.6844000000001</v>
      </c>
      <c r="H39" s="2"/>
      <c r="I39" s="2">
        <v>73.349999999999994</v>
      </c>
      <c r="J39" s="2">
        <v>0.97</v>
      </c>
      <c r="K39" s="2"/>
      <c r="L39" s="2"/>
      <c r="M39" s="26">
        <f>Таблица2[[#This Row],[Сумма Долл]]*Таблица2[[#This Row],[Курс ДОЛЛ]]</f>
        <v>219220.00073999999</v>
      </c>
      <c r="N3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226000.0007628866</v>
      </c>
      <c r="O3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2988.6844000000001</v>
      </c>
      <c r="P3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6780.000022886612</v>
      </c>
      <c r="Q39" s="30">
        <v>226000</v>
      </c>
      <c r="R39" s="12">
        <f>Таблица2[[#This Row],[Сумма в руб]]-Таблица2[[#This Row],[Оплата от клиента]]</f>
        <v>7.6288660056889057E-4</v>
      </c>
      <c r="S39" s="32"/>
      <c r="T39" s="32"/>
      <c r="U39" s="24" t="s">
        <v>31</v>
      </c>
      <c r="V39" s="2">
        <v>6.4</v>
      </c>
      <c r="W39" s="28"/>
      <c r="X39" s="9"/>
      <c r="Y39" s="16">
        <v>19000</v>
      </c>
      <c r="Z39" s="2"/>
      <c r="AA39" s="26">
        <f>Таблица2[[#This Row],[Сумма перевода Долл/Евро]]*Таблица2[[#This Row],[Курс ДОЛЛ перевод]]+Таблица2[[#This Row],[Сумма за перевод руб]]</f>
        <v>6780.000022886612</v>
      </c>
      <c r="AB3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19.934400000000096</v>
      </c>
      <c r="AC39" s="9"/>
      <c r="AD39" s="41"/>
    </row>
    <row r="40" spans="1:30" x14ac:dyDescent="0.25">
      <c r="A40" s="6">
        <v>44355</v>
      </c>
      <c r="B40" s="2" t="s">
        <v>89</v>
      </c>
      <c r="C40" s="2" t="s">
        <v>90</v>
      </c>
      <c r="D40" s="1"/>
      <c r="E40" s="1"/>
      <c r="F40" s="3"/>
      <c r="G40" s="5">
        <v>5780</v>
      </c>
      <c r="H40" s="2"/>
      <c r="I40" s="2">
        <v>73.86</v>
      </c>
      <c r="J40" s="2">
        <v>0.97</v>
      </c>
      <c r="K40" s="2"/>
      <c r="L40" s="2"/>
      <c r="M40" s="26">
        <f>Таблица2[[#This Row],[Сумма Долл]]*Таблица2[[#This Row],[Курс ДОЛЛ]]</f>
        <v>426910.8</v>
      </c>
      <c r="N4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440114.22680412373</v>
      </c>
      <c r="O4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5780</v>
      </c>
      <c r="P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13203.426804123737</v>
      </c>
      <c r="Q40" s="30">
        <v>440114.22</v>
      </c>
      <c r="R40" s="12">
        <f>Таблица2[[#This Row],[Сумма в руб]]-Таблица2[[#This Row],[Оплата от клиента]]</f>
        <v>6.8041237536817789E-3</v>
      </c>
      <c r="S40" s="32"/>
      <c r="T40" s="32"/>
      <c r="U40" s="12"/>
      <c r="V40" s="2"/>
      <c r="W40" s="28"/>
      <c r="X40" s="9"/>
      <c r="Y40" s="16"/>
      <c r="Z40" s="2"/>
      <c r="AA40" s="26">
        <f>Таблица2[[#This Row],[Сумма перевода Долл/Евро]]*Таблица2[[#This Row],[Курс ДОЛЛ перевод]]+Таблица2[[#This Row],[Сумма за перевод руб]]</f>
        <v>13203.426804123737</v>
      </c>
      <c r="AB4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5780</v>
      </c>
      <c r="AC40" s="9" t="s">
        <v>41</v>
      </c>
      <c r="AD40" s="41"/>
    </row>
    <row r="41" spans="1:30" x14ac:dyDescent="0.25">
      <c r="A41" s="6">
        <v>44355</v>
      </c>
      <c r="B41" s="2" t="s">
        <v>89</v>
      </c>
      <c r="C41" s="2" t="s">
        <v>90</v>
      </c>
      <c r="D41" s="1"/>
      <c r="E41" s="1"/>
      <c r="F41" s="3"/>
      <c r="G41" s="5">
        <v>4968</v>
      </c>
      <c r="H41" s="2"/>
      <c r="I41" s="2">
        <v>73.86</v>
      </c>
      <c r="J41" s="2">
        <v>0.97</v>
      </c>
      <c r="K41" s="2"/>
      <c r="L41" s="2"/>
      <c r="M41" s="26">
        <f>Таблица2[[#This Row],[Сумма Долл]]*Таблица2[[#This Row],[Курс ДОЛЛ]]</f>
        <v>366936.48</v>
      </c>
      <c r="N4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378285.03092783503</v>
      </c>
      <c r="O4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4968</v>
      </c>
      <c r="P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11348.550927835051</v>
      </c>
      <c r="Q41" s="30">
        <v>378285.03</v>
      </c>
      <c r="R41" s="12">
        <f>Таблица2[[#This Row],[Сумма в руб]]-Таблица2[[#This Row],[Оплата от клиента]]</f>
        <v>9.278350044041872E-4</v>
      </c>
      <c r="S41" s="32"/>
      <c r="T41" s="32"/>
      <c r="U41" s="12"/>
      <c r="V41" s="2"/>
      <c r="W41" s="28"/>
      <c r="X41" s="9"/>
      <c r="Y41" s="16"/>
      <c r="Z41" s="2"/>
      <c r="AA41" s="26">
        <f>Таблица2[[#This Row],[Сумма перевода Долл/Евро]]*Таблица2[[#This Row],[Курс ДОЛЛ перевод]]+Таблица2[[#This Row],[Сумма за перевод руб]]</f>
        <v>11348.550927835051</v>
      </c>
      <c r="AB4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4968</v>
      </c>
      <c r="AC41" s="9" t="s">
        <v>41</v>
      </c>
      <c r="AD41" s="41"/>
    </row>
    <row r="42" spans="1:30" x14ac:dyDescent="0.25">
      <c r="A42" s="6">
        <v>44356</v>
      </c>
      <c r="B42" s="2" t="s">
        <v>87</v>
      </c>
      <c r="C42" s="2" t="s">
        <v>88</v>
      </c>
      <c r="D42" s="1"/>
      <c r="E42" s="1"/>
      <c r="F42" s="3"/>
      <c r="G42" s="7">
        <f>3899.07-48.5</f>
        <v>3850.57</v>
      </c>
      <c r="H42" s="2"/>
      <c r="I42" s="2">
        <v>73.239999999999995</v>
      </c>
      <c r="J42" s="2">
        <v>0.97</v>
      </c>
      <c r="K42" s="2"/>
      <c r="L42" s="2"/>
      <c r="M42" s="26">
        <f>Таблица2[[#This Row],[Сумма Долл]]*Таблица2[[#This Row],[Курс ДОЛЛ]]</f>
        <v>282015.74679999996</v>
      </c>
      <c r="N4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290737.88329896907</v>
      </c>
      <c r="O4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3850.5699999999997</v>
      </c>
      <c r="P4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8722.1364989691065</v>
      </c>
      <c r="Q42" s="30">
        <v>290737.89</v>
      </c>
      <c r="R42" s="12">
        <f>Таблица2[[#This Row],[Сумма в руб]]-Таблица2[[#This Row],[Оплата от клиента]]</f>
        <v>-6.7010309430770576E-3</v>
      </c>
      <c r="S42" s="32"/>
      <c r="T42" s="32"/>
      <c r="U42" s="12"/>
      <c r="V42" s="2">
        <v>6.4</v>
      </c>
      <c r="W42" s="28"/>
      <c r="X42" s="9"/>
      <c r="Y42" s="16">
        <v>24829</v>
      </c>
      <c r="Z42" s="2"/>
      <c r="AA42" s="26">
        <f>Таблица2[[#This Row],[Сумма перевода Долл/Евро]]*Таблица2[[#This Row],[Курс ДОЛЛ перевод]]+Таблица2[[#This Row],[Сумма за перевод руб]]</f>
        <v>8722.1364989691065</v>
      </c>
      <c r="AB4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-28.961250000000291</v>
      </c>
      <c r="AC42" s="9"/>
      <c r="AD42" s="41"/>
    </row>
    <row r="43" spans="1:30" x14ac:dyDescent="0.25">
      <c r="A43" s="6">
        <v>44357</v>
      </c>
      <c r="B43" s="2" t="s">
        <v>93</v>
      </c>
      <c r="C43" s="2" t="s">
        <v>94</v>
      </c>
      <c r="D43" s="1"/>
      <c r="E43" s="1"/>
      <c r="F43" s="3"/>
      <c r="G43" s="5">
        <v>1651.5239999999999</v>
      </c>
      <c r="H43" s="2"/>
      <c r="I43" s="2">
        <v>72.959999999999994</v>
      </c>
      <c r="J43" s="2">
        <v>0.97</v>
      </c>
      <c r="K43" s="2"/>
      <c r="L43" s="2"/>
      <c r="M43" s="26">
        <f>Таблица2[[#This Row],[Сумма Долл]]*Таблица2[[#This Row],[Курс ДОЛЛ]]</f>
        <v>120495.19103999998</v>
      </c>
      <c r="N4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124221.84643298967</v>
      </c>
      <c r="O4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1651.5239999999999</v>
      </c>
      <c r="P4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3726.6553929896909</v>
      </c>
      <c r="Q43" s="30">
        <v>124221.8</v>
      </c>
      <c r="R43" s="12">
        <f>Таблица2[[#This Row],[Сумма в руб]]-Таблица2[[#This Row],[Оплата от клиента]]</f>
        <v>4.6432989664026536E-2</v>
      </c>
      <c r="S43" s="32"/>
      <c r="T43" s="32"/>
      <c r="U43" s="12"/>
      <c r="V43" s="2"/>
      <c r="W43" s="28">
        <v>72.959999999999994</v>
      </c>
      <c r="X43" s="9">
        <v>1655.15</v>
      </c>
      <c r="Y43" s="16"/>
      <c r="Z43" s="2"/>
      <c r="AA43" s="26">
        <f>Таблица2[[#This Row],[Сумма перевода Долл/Евро]]*Таблица2[[#This Row],[Курс ДОЛЛ перевод]]+Таблица2[[#This Row],[Сумма за перевод руб]]</f>
        <v>124486.39939298968</v>
      </c>
      <c r="AB4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-3.6260000000002037</v>
      </c>
      <c r="AC43" s="9"/>
      <c r="AD43" s="41"/>
    </row>
    <row r="44" spans="1:30" x14ac:dyDescent="0.25">
      <c r="A44" s="6">
        <v>44357</v>
      </c>
      <c r="B44" s="2" t="s">
        <v>72</v>
      </c>
      <c r="C44" s="2" t="s">
        <v>73</v>
      </c>
      <c r="D44" s="1"/>
      <c r="E44" s="1"/>
      <c r="F44" s="3"/>
      <c r="G44" s="5">
        <v>50000</v>
      </c>
      <c r="H44" s="2"/>
      <c r="I44" s="2">
        <v>73.3</v>
      </c>
      <c r="J44" s="2">
        <v>0.95</v>
      </c>
      <c r="K44" s="2"/>
      <c r="L44" s="2"/>
      <c r="M44" s="26">
        <f>Таблица2[[#This Row],[Сумма Долл]]*Таблица2[[#This Row],[Курс ДОЛЛ]]</f>
        <v>3665000</v>
      </c>
      <c r="N4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3857894.7368421056</v>
      </c>
      <c r="O4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50000</v>
      </c>
      <c r="P4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192894.73684210563</v>
      </c>
      <c r="Q44" s="30">
        <v>3857894.74</v>
      </c>
      <c r="R44" s="12">
        <f>Таблица2[[#This Row],[Сумма в руб]]-Таблица2[[#This Row],[Оплата от клиента]]</f>
        <v>-3.1578945927321911E-3</v>
      </c>
      <c r="S44" s="32"/>
      <c r="T44" s="32"/>
      <c r="U44" s="12"/>
      <c r="V44" s="2"/>
      <c r="W44" s="28"/>
      <c r="X44" s="9"/>
      <c r="Y44" s="16"/>
      <c r="Z44" s="2"/>
      <c r="AA44" s="26">
        <f>Таблица2[[#This Row],[Сумма перевода Долл/Евро]]*Таблица2[[#This Row],[Курс ДОЛЛ перевод]]+Таблица2[[#This Row],[Сумма за перевод руб]]</f>
        <v>192894.73684210563</v>
      </c>
      <c r="AB4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50000</v>
      </c>
      <c r="AC44" s="9"/>
      <c r="AD44" s="41"/>
    </row>
    <row r="45" spans="1:30" x14ac:dyDescent="0.25">
      <c r="A45" s="6">
        <v>44358</v>
      </c>
      <c r="B45" s="2" t="s">
        <v>32</v>
      </c>
      <c r="C45" s="2" t="s">
        <v>33</v>
      </c>
      <c r="D45" s="1"/>
      <c r="E45" s="1"/>
      <c r="F45" s="3"/>
      <c r="G45" s="5">
        <v>4766</v>
      </c>
      <c r="H45" s="2"/>
      <c r="I45" s="2">
        <v>72.86</v>
      </c>
      <c r="J45" s="2"/>
      <c r="K45" s="2">
        <v>80</v>
      </c>
      <c r="L45" s="2"/>
      <c r="M45" s="26">
        <f>Таблица2[[#This Row],[Сумма Долл]]*Таблица2[[#This Row],[Курс ДОЛЛ]]</f>
        <v>347250.76</v>
      </c>
      <c r="N4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353079.56</v>
      </c>
      <c r="O4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4766</v>
      </c>
      <c r="P4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5828.8</v>
      </c>
      <c r="Q45" s="30">
        <v>353079.56</v>
      </c>
      <c r="R45" s="12">
        <f>Таблица2[[#This Row],[Сумма в руб]]-Таблица2[[#This Row],[Оплата от клиента]]</f>
        <v>0</v>
      </c>
      <c r="S45" s="32"/>
      <c r="T45" s="32"/>
      <c r="U45" s="12"/>
      <c r="V45" s="2"/>
      <c r="W45" s="28"/>
      <c r="X45" s="9"/>
      <c r="Y45" s="16"/>
      <c r="Z45" s="2"/>
      <c r="AA45" s="26">
        <f>Таблица2[[#This Row],[Сумма перевода Долл/Евро]]*Таблица2[[#This Row],[Курс ДОЛЛ перевод]]+Таблица2[[#This Row],[Сумма за перевод руб]]</f>
        <v>5828.8</v>
      </c>
      <c r="AB4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4766</v>
      </c>
      <c r="AC45" s="9"/>
      <c r="AD45" s="41"/>
    </row>
    <row r="46" spans="1:30" x14ac:dyDescent="0.25">
      <c r="A46" s="6">
        <v>44358</v>
      </c>
      <c r="B46" s="2" t="s">
        <v>59</v>
      </c>
      <c r="C46" s="2" t="s">
        <v>60</v>
      </c>
      <c r="D46" s="1"/>
      <c r="E46" s="1"/>
      <c r="F46" s="3"/>
      <c r="G46" s="5">
        <v>28046.400000000001</v>
      </c>
      <c r="H46" s="2"/>
      <c r="I46" s="2">
        <v>72.62</v>
      </c>
      <c r="J46" s="2">
        <v>0.99</v>
      </c>
      <c r="K46" s="2"/>
      <c r="L46" s="2"/>
      <c r="M46" s="26">
        <f>Таблица2[[#This Row],[Сумма Долл]]*Таблица2[[#This Row],[Курс ДОЛЛ]]</f>
        <v>2036729.5680000002</v>
      </c>
      <c r="N4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2057302.5939393942</v>
      </c>
      <c r="O4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28046.400000000001</v>
      </c>
      <c r="P4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20573.025939394021</v>
      </c>
      <c r="Q46" s="30">
        <v>2057302.59</v>
      </c>
      <c r="R46" s="12">
        <f>Таблица2[[#This Row],[Сумма в руб]]-Таблица2[[#This Row],[Оплата от клиента]]</f>
        <v>3.9393941406160593E-3</v>
      </c>
      <c r="S46" s="32"/>
      <c r="T46" s="32"/>
      <c r="U46" s="12"/>
      <c r="V46" s="2"/>
      <c r="W46" s="28"/>
      <c r="X46" s="9"/>
      <c r="Y46" s="16"/>
      <c r="Z46" s="2"/>
      <c r="AA46" s="26">
        <f>Таблица2[[#This Row],[Сумма перевода Долл/Евро]]*Таблица2[[#This Row],[Курс ДОЛЛ перевод]]+Таблица2[[#This Row],[Сумма за перевод руб]]</f>
        <v>20573.025939394021</v>
      </c>
      <c r="AB4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28046.400000000001</v>
      </c>
      <c r="AC46" s="9"/>
      <c r="AD46" s="41"/>
    </row>
    <row r="47" spans="1:30" x14ac:dyDescent="0.25">
      <c r="A47" s="6">
        <v>44362</v>
      </c>
      <c r="B47" s="2" t="s">
        <v>95</v>
      </c>
      <c r="C47" s="2" t="s">
        <v>96</v>
      </c>
      <c r="D47" s="1"/>
      <c r="E47" s="1"/>
      <c r="F47" s="3"/>
      <c r="G47" s="7">
        <f>572+50</f>
        <v>622</v>
      </c>
      <c r="H47" s="2"/>
      <c r="I47" s="2">
        <v>72.88</v>
      </c>
      <c r="J47" s="2">
        <v>0.97</v>
      </c>
      <c r="K47" s="2"/>
      <c r="L47" s="2"/>
      <c r="M47" s="26">
        <f>Таблица2[[#This Row],[Сумма Долл]]*Таблица2[[#This Row],[Курс ДОЛЛ]]</f>
        <v>45331.360000000001</v>
      </c>
      <c r="N4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46733.360824742267</v>
      </c>
      <c r="O4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622</v>
      </c>
      <c r="P4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1402.0008247422666</v>
      </c>
      <c r="Q47" s="30">
        <v>46733.36</v>
      </c>
      <c r="R47" s="12">
        <f>Таблица2[[#This Row],[Сумма в руб]]-Таблица2[[#This Row],[Оплата от клиента]]</f>
        <v>8.2474226655904204E-4</v>
      </c>
      <c r="S47" s="32"/>
      <c r="T47" s="32"/>
      <c r="U47" s="12"/>
      <c r="V47" s="2"/>
      <c r="W47" s="28"/>
      <c r="X47" s="9"/>
      <c r="Y47" s="16"/>
      <c r="Z47" s="2"/>
      <c r="AA47" s="26">
        <f>Таблица2[[#This Row],[Сумма перевода Долл/Евро]]*Таблица2[[#This Row],[Курс ДОЛЛ перевод]]+Таблица2[[#This Row],[Сумма за перевод руб]]</f>
        <v>1402.0008247422666</v>
      </c>
      <c r="AB4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622</v>
      </c>
      <c r="AC47" s="9"/>
      <c r="AD47" s="41"/>
    </row>
    <row r="48" spans="1:30" x14ac:dyDescent="0.25">
      <c r="A48" s="6">
        <v>44362</v>
      </c>
      <c r="B48" s="2" t="s">
        <v>97</v>
      </c>
      <c r="C48" s="2" t="s">
        <v>98</v>
      </c>
      <c r="D48" s="1"/>
      <c r="E48" s="1"/>
      <c r="F48" s="3"/>
      <c r="G48" s="7">
        <f>2536+50</f>
        <v>2586</v>
      </c>
      <c r="H48" s="2"/>
      <c r="I48" s="2">
        <v>72.88</v>
      </c>
      <c r="J48" s="2">
        <v>0.97</v>
      </c>
      <c r="K48" s="2"/>
      <c r="L48" s="2"/>
      <c r="M48" s="26">
        <f>Таблица2[[#This Row],[Сумма Долл]]*Таблица2[[#This Row],[Курс ДОЛЛ]]</f>
        <v>188467.68</v>
      </c>
      <c r="N4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194296.57731958764</v>
      </c>
      <c r="O4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2586</v>
      </c>
      <c r="P4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5828.8973195876461</v>
      </c>
      <c r="Q48" s="30">
        <v>194296.58</v>
      </c>
      <c r="R48" s="12">
        <f>Таблица2[[#This Row],[Сумма в руб]]-Таблица2[[#This Row],[Оплата от клиента]]</f>
        <v>-2.6804123481269926E-3</v>
      </c>
      <c r="S48" s="32"/>
      <c r="T48" s="32"/>
      <c r="U48" s="12"/>
      <c r="V48" s="2">
        <v>6.4</v>
      </c>
      <c r="W48" s="28"/>
      <c r="X48" s="9"/>
      <c r="Y48" s="16">
        <v>16370</v>
      </c>
      <c r="Z48" s="2"/>
      <c r="AA48" s="26">
        <f>Таблица2[[#This Row],[Сумма перевода Долл/Евро]]*Таблица2[[#This Row],[Курс ДОЛЛ перевод]]+Таблица2[[#This Row],[Сумма за перевод руб]]</f>
        <v>5828.8973195876461</v>
      </c>
      <c r="AB4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28.1875</v>
      </c>
      <c r="AC48" s="9"/>
      <c r="AD48" s="41"/>
    </row>
    <row r="49" spans="1:30" x14ac:dyDescent="0.25">
      <c r="A49" s="6">
        <v>44363</v>
      </c>
      <c r="B49" s="2" t="s">
        <v>47</v>
      </c>
      <c r="C49" s="2" t="s">
        <v>48</v>
      </c>
      <c r="D49" s="1"/>
      <c r="E49" s="1"/>
      <c r="F49" s="3"/>
      <c r="G49" s="5">
        <v>15878.0466</v>
      </c>
      <c r="H49" s="2"/>
      <c r="I49" s="2">
        <v>73.31</v>
      </c>
      <c r="J49" s="2">
        <v>0.97</v>
      </c>
      <c r="K49" s="2"/>
      <c r="L49" s="2"/>
      <c r="M49" s="26">
        <f>Таблица2[[#This Row],[Сумма Долл]]*Таблица2[[#This Row],[Курс ДОЛЛ]]</f>
        <v>1164019.5962459999</v>
      </c>
      <c r="N4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1200020.2023154639</v>
      </c>
      <c r="O4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15878.046599999998</v>
      </c>
      <c r="P4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36000.606069464004</v>
      </c>
      <c r="Q49" s="30">
        <v>1200020.2</v>
      </c>
      <c r="R49" s="12">
        <f>Таблица2[[#This Row],[Сумма в руб]]-Таблица2[[#This Row],[Оплата от клиента]]</f>
        <v>2.3154639638960361E-3</v>
      </c>
      <c r="S49" s="32"/>
      <c r="T49" s="32"/>
      <c r="U49" s="24" t="s">
        <v>31</v>
      </c>
      <c r="V49" s="2"/>
      <c r="W49" s="28">
        <v>73.31</v>
      </c>
      <c r="X49" s="9">
        <f>8000+4184</f>
        <v>12184</v>
      </c>
      <c r="Y49" s="16"/>
      <c r="Z49" s="2"/>
      <c r="AA49" s="26">
        <f>Таблица2[[#This Row],[Сумма перевода Долл/Евро]]*Таблица2[[#This Row],[Курс ДОЛЛ перевод]]+Таблица2[[#This Row],[Сумма за перевод руб]]</f>
        <v>929209.64606946404</v>
      </c>
      <c r="AB4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3694.0465999999979</v>
      </c>
      <c r="AC49" s="9"/>
      <c r="AD49" s="41"/>
    </row>
    <row r="50" spans="1:30" ht="30" x14ac:dyDescent="0.25">
      <c r="A50" s="6">
        <v>44365</v>
      </c>
      <c r="B50" s="2" t="s">
        <v>89</v>
      </c>
      <c r="C50" s="1" t="s">
        <v>99</v>
      </c>
      <c r="D50" s="1"/>
      <c r="E50" s="1"/>
      <c r="F50" s="3"/>
      <c r="G50" s="5">
        <v>4405</v>
      </c>
      <c r="H50" s="2"/>
      <c r="I50" s="2">
        <v>74.2</v>
      </c>
      <c r="J50" s="2">
        <v>0.97</v>
      </c>
      <c r="K50" s="2"/>
      <c r="L50" s="2"/>
      <c r="M50" s="26">
        <f>Таблица2[[#This Row],[Сумма Долл]]*Таблица2[[#This Row],[Курс ДОЛЛ]]</f>
        <v>326851</v>
      </c>
      <c r="N5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336959.79381443298</v>
      </c>
      <c r="O5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4405</v>
      </c>
      <c r="P5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10108.793814432982</v>
      </c>
      <c r="Q50" s="30">
        <v>336959.79</v>
      </c>
      <c r="R50" s="12">
        <f>Таблица2[[#This Row],[Сумма в руб]]-Таблица2[[#This Row],[Оплата от клиента]]</f>
        <v>3.8144330028444529E-3</v>
      </c>
      <c r="S50" s="32"/>
      <c r="T50" s="32"/>
      <c r="U50" s="12"/>
      <c r="V50" s="2"/>
      <c r="W50" s="28"/>
      <c r="X50" s="9"/>
      <c r="Y50" s="16"/>
      <c r="Z50" s="2"/>
      <c r="AA50" s="26">
        <f>Таблица2[[#This Row],[Сумма перевода Долл/Евро]]*Таблица2[[#This Row],[Курс ДОЛЛ перевод]]+Таблица2[[#This Row],[Сумма за перевод руб]]</f>
        <v>10108.793814432982</v>
      </c>
      <c r="AB5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4405</v>
      </c>
      <c r="AC50" s="9"/>
      <c r="AD50" s="41"/>
    </row>
    <row r="51" spans="1:30" x14ac:dyDescent="0.25">
      <c r="A51" s="6">
        <v>44365</v>
      </c>
      <c r="B51" s="2" t="s">
        <v>70</v>
      </c>
      <c r="C51" s="2" t="s">
        <v>71</v>
      </c>
      <c r="D51" s="1"/>
      <c r="E51" s="1"/>
      <c r="F51" s="3"/>
      <c r="G51" s="5">
        <v>665</v>
      </c>
      <c r="H51" s="2"/>
      <c r="I51" s="2">
        <v>74.2</v>
      </c>
      <c r="J51" s="2"/>
      <c r="K51" s="2">
        <v>80</v>
      </c>
      <c r="L51" s="2"/>
      <c r="M51" s="26">
        <f>Таблица2[[#This Row],[Сумма Долл]]*Таблица2[[#This Row],[Курс ДОЛЛ]]</f>
        <v>49343</v>
      </c>
      <c r="N5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55279</v>
      </c>
      <c r="O5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665</v>
      </c>
      <c r="P5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5936</v>
      </c>
      <c r="Q51" s="30">
        <v>55279</v>
      </c>
      <c r="R51" s="12">
        <f>Таблица2[[#This Row],[Сумма в руб]]-Таблица2[[#This Row],[Оплата от клиента]]</f>
        <v>0</v>
      </c>
      <c r="S51" s="32"/>
      <c r="T51" s="32"/>
      <c r="U51" s="12"/>
      <c r="V51" s="2"/>
      <c r="W51" s="28"/>
      <c r="X51" s="9"/>
      <c r="Y51" s="16"/>
      <c r="Z51" s="2"/>
      <c r="AA51" s="26">
        <f>Таблица2[[#This Row],[Сумма перевода Долл/Евро]]*Таблица2[[#This Row],[Курс ДОЛЛ перевод]]+Таблица2[[#This Row],[Сумма за перевод руб]]</f>
        <v>5936</v>
      </c>
      <c r="AB5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665</v>
      </c>
      <c r="AC51" s="9"/>
      <c r="AD51" s="41"/>
    </row>
    <row r="52" spans="1:30" x14ac:dyDescent="0.25">
      <c r="A52" s="6">
        <v>44368</v>
      </c>
      <c r="B52" s="29" t="s">
        <v>100</v>
      </c>
      <c r="C52" s="29" t="s">
        <v>101</v>
      </c>
      <c r="D52" s="1"/>
      <c r="E52" s="1"/>
      <c r="F52" s="3"/>
      <c r="G52" s="5">
        <v>100000</v>
      </c>
      <c r="H52" s="2"/>
      <c r="I52" s="2">
        <v>73.81</v>
      </c>
      <c r="J52" s="2">
        <v>0.98</v>
      </c>
      <c r="K52" s="2"/>
      <c r="L52" s="2"/>
      <c r="M52" s="26">
        <f>Таблица2[[#This Row],[Сумма Долл]]*Таблица2[[#This Row],[Курс ДОЛЛ]]</f>
        <v>7381000</v>
      </c>
      <c r="N5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7531632.6530612251</v>
      </c>
      <c r="O5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100000</v>
      </c>
      <c r="P5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150632.65306122508</v>
      </c>
      <c r="Q52" s="30">
        <v>7531632.6500000004</v>
      </c>
      <c r="R52" s="12">
        <f>Таблица2[[#This Row],[Сумма в руб]]-Таблица2[[#This Row],[Оплата от клиента]]</f>
        <v>3.0612247064709663E-3</v>
      </c>
      <c r="S52" s="32"/>
      <c r="T52" s="32"/>
      <c r="U52" s="12"/>
      <c r="V52" s="2"/>
      <c r="W52" s="28"/>
      <c r="X52" s="9"/>
      <c r="Y52" s="16"/>
      <c r="Z52" s="2"/>
      <c r="AA52" s="26">
        <f>Таблица2[[#This Row],[Сумма перевода Долл/Евро]]*Таблица2[[#This Row],[Курс ДОЛЛ перевод]]+Таблица2[[#This Row],[Сумма за перевод руб]]</f>
        <v>150632.65306122508</v>
      </c>
      <c r="AB5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100000</v>
      </c>
      <c r="AC52" s="9"/>
      <c r="AD52" s="41"/>
    </row>
    <row r="53" spans="1:30" x14ac:dyDescent="0.25">
      <c r="A53" s="6">
        <v>44368</v>
      </c>
      <c r="B53" s="2" t="s">
        <v>102</v>
      </c>
      <c r="C53" s="2" t="s">
        <v>103</v>
      </c>
      <c r="D53" s="1"/>
      <c r="E53" s="1"/>
      <c r="F53" s="3"/>
      <c r="G53" s="7">
        <f>5976+50</f>
        <v>6026</v>
      </c>
      <c r="H53" s="2"/>
      <c r="I53" s="2">
        <v>74</v>
      </c>
      <c r="J53" s="2">
        <v>0.98499999999999999</v>
      </c>
      <c r="K53" s="2"/>
      <c r="L53" s="2"/>
      <c r="M53" s="26">
        <f>Таблица2[[#This Row],[Сумма Долл]]*Таблица2[[#This Row],[Курс ДОЛЛ]]</f>
        <v>445924</v>
      </c>
      <c r="N5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452714.72081218276</v>
      </c>
      <c r="O5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6068.6445291235705</v>
      </c>
      <c r="P5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6790.7208121827571</v>
      </c>
      <c r="Q53" s="30">
        <v>452714.64</v>
      </c>
      <c r="R53" s="12">
        <f>Таблица2[[#This Row],[Сумма в руб]]-Таблица2[[#This Row],[Оплата от клиента]]</f>
        <v>8.0812182743102312E-2</v>
      </c>
      <c r="S53" s="32"/>
      <c r="T53" s="32"/>
      <c r="U53" s="12"/>
      <c r="V53" s="2">
        <v>6.38</v>
      </c>
      <c r="W53" s="28">
        <v>73.48</v>
      </c>
      <c r="X53" s="9"/>
      <c r="Y53" s="16">
        <v>38545</v>
      </c>
      <c r="Z53" s="2"/>
      <c r="AA53" s="26">
        <f>Таблица2[[#This Row],[Сумма перевода Долл/Евро]]*Таблица2[[#This Row],[Курс ДОЛЛ перевод]]+Таблица2[[#This Row],[Сумма за перевод руб]]</f>
        <v>6790.7208121827571</v>
      </c>
      <c r="AB5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27.108478966830262</v>
      </c>
      <c r="AC53" s="9"/>
      <c r="AD53" s="41"/>
    </row>
    <row r="54" spans="1:30" x14ac:dyDescent="0.25">
      <c r="A54" s="6">
        <v>44368</v>
      </c>
      <c r="B54" s="2" t="s">
        <v>104</v>
      </c>
      <c r="C54" s="2" t="s">
        <v>105</v>
      </c>
      <c r="D54" s="1" t="s">
        <v>106</v>
      </c>
      <c r="E54" s="1"/>
      <c r="F54" s="3">
        <v>24216</v>
      </c>
      <c r="G54" s="5">
        <f>Таблица2[[#This Row],[Сумма ЮА]]/Таблица2[[#This Row],[Курс ЮА]]</f>
        <v>3783.75</v>
      </c>
      <c r="H54" s="2">
        <v>6.4</v>
      </c>
      <c r="I54" s="2">
        <v>74</v>
      </c>
      <c r="J54" s="2">
        <v>0.96499999999999997</v>
      </c>
      <c r="K54" s="2"/>
      <c r="L54" s="2"/>
      <c r="M54" s="26">
        <f>Таблица2[[#This Row],[Сумма Долл]]*Таблица2[[#This Row],[Курс ДОЛЛ]]</f>
        <v>279997.5</v>
      </c>
      <c r="N5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290152.84974093264</v>
      </c>
      <c r="O5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3783.75</v>
      </c>
      <c r="P5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10155.349740932637</v>
      </c>
      <c r="Q54" s="30">
        <v>290152.84999999998</v>
      </c>
      <c r="R54" s="12">
        <f>Таблица2[[#This Row],[Сумма в руб]]-Таблица2[[#This Row],[Оплата от клиента]]</f>
        <v>-2.5906733935698867E-4</v>
      </c>
      <c r="S54" s="32"/>
      <c r="T54" s="32" t="s">
        <v>107</v>
      </c>
      <c r="U54" s="12"/>
      <c r="V54" s="2">
        <v>6.4</v>
      </c>
      <c r="W54" s="28"/>
      <c r="X54" s="9"/>
      <c r="Y54" s="16">
        <v>24216</v>
      </c>
      <c r="Z54" s="2"/>
      <c r="AA54" s="26">
        <f>Таблица2[[#This Row],[Сумма перевода Долл/Евро]]*Таблица2[[#This Row],[Курс ДОЛЛ перевод]]+Таблица2[[#This Row],[Сумма за перевод руб]]</f>
        <v>10155.349740932637</v>
      </c>
      <c r="AB5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54" s="9"/>
      <c r="AD54" s="41"/>
    </row>
    <row r="55" spans="1:30" x14ac:dyDescent="0.25">
      <c r="A55" s="6">
        <v>44368</v>
      </c>
      <c r="B55" s="2" t="s">
        <v>55</v>
      </c>
      <c r="C55" s="2" t="s">
        <v>56</v>
      </c>
      <c r="D55" s="1" t="s">
        <v>108</v>
      </c>
      <c r="E55" s="1"/>
      <c r="F55" s="3"/>
      <c r="G55" s="5">
        <v>4204</v>
      </c>
      <c r="H55" s="2"/>
      <c r="I55" s="2">
        <v>74</v>
      </c>
      <c r="J55" s="2">
        <v>0.97</v>
      </c>
      <c r="K55" s="2"/>
      <c r="L55" s="2"/>
      <c r="M55" s="26">
        <f>Таблица2[[#This Row],[Сумма Долл]]*Таблица2[[#This Row],[Курс ДОЛЛ]]</f>
        <v>311096</v>
      </c>
      <c r="N5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320717.5257731959</v>
      </c>
      <c r="O5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4178.5896574882472</v>
      </c>
      <c r="P5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9621.5257731958991</v>
      </c>
      <c r="Q55" s="30">
        <v>320717.53000000003</v>
      </c>
      <c r="R55" s="12">
        <f>Таблица2[[#This Row],[Сумма в руб]]-Таблица2[[#This Row],[Оплата от клиента]]</f>
        <v>-4.2268041288480163E-3</v>
      </c>
      <c r="S55" s="32">
        <v>44400</v>
      </c>
      <c r="T55" s="32"/>
      <c r="U55" s="12" t="s">
        <v>31</v>
      </c>
      <c r="V55" s="2"/>
      <c r="W55" s="28">
        <v>74.45</v>
      </c>
      <c r="X55" s="9">
        <v>4204</v>
      </c>
      <c r="Y55" s="16"/>
      <c r="Z55" s="10">
        <v>44400</v>
      </c>
      <c r="AA55" s="26">
        <f>Таблица2[[#This Row],[Сумма перевода Долл/Евро]]*Таблица2[[#This Row],[Курс ДОЛЛ перевод]]+Таблица2[[#This Row],[Сумма за перевод руб]]</f>
        <v>322609.32577319589</v>
      </c>
      <c r="AB5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-25.410342511752788</v>
      </c>
      <c r="AC55" s="9"/>
      <c r="AD55" s="41"/>
    </row>
    <row r="56" spans="1:30" x14ac:dyDescent="0.25">
      <c r="A56" s="6">
        <v>44369</v>
      </c>
      <c r="B56" s="2" t="s">
        <v>109</v>
      </c>
      <c r="C56" s="2" t="s">
        <v>110</v>
      </c>
      <c r="D56" s="1" t="s">
        <v>111</v>
      </c>
      <c r="E56" s="1"/>
      <c r="F56" s="3"/>
      <c r="G56" s="5">
        <v>5713</v>
      </c>
      <c r="H56" s="2"/>
      <c r="I56" s="2">
        <v>74</v>
      </c>
      <c r="J56" s="2">
        <v>0.96499999999999997</v>
      </c>
      <c r="K56" s="2"/>
      <c r="L56" s="2"/>
      <c r="M56" s="26">
        <f>Таблица2[[#This Row],[Сумма Долл]]*Таблица2[[#This Row],[Курс ДОЛЛ]]</f>
        <v>422762</v>
      </c>
      <c r="N5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438095.3367875648</v>
      </c>
      <c r="O5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5713</v>
      </c>
      <c r="P5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15333.336787564796</v>
      </c>
      <c r="Q56" s="30">
        <v>438095.34</v>
      </c>
      <c r="R56" s="12">
        <f>Таблица2[[#This Row],[Сумма в руб]]-Таблица2[[#This Row],[Оплата от клиента]]</f>
        <v>-3.212435229215771E-3</v>
      </c>
      <c r="S56" s="32"/>
      <c r="T56" s="32"/>
      <c r="U56" s="12"/>
      <c r="V56" s="2"/>
      <c r="W56" s="28"/>
      <c r="X56" s="9"/>
      <c r="Y56" s="16"/>
      <c r="Z56" s="2"/>
      <c r="AA56" s="26">
        <f>Таблица2[[#This Row],[Сумма перевода Долл/Евро]]*Таблица2[[#This Row],[Курс ДОЛЛ перевод]]+Таблица2[[#This Row],[Сумма за перевод руб]]</f>
        <v>15333.336787564796</v>
      </c>
      <c r="AB5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5713</v>
      </c>
      <c r="AC56" s="9"/>
      <c r="AD56" s="41"/>
    </row>
    <row r="57" spans="1:30" x14ac:dyDescent="0.25">
      <c r="A57" s="6">
        <v>44370</v>
      </c>
      <c r="B57" s="2" t="s">
        <v>112</v>
      </c>
      <c r="C57" s="2" t="s">
        <v>113</v>
      </c>
      <c r="D57" s="1" t="s">
        <v>114</v>
      </c>
      <c r="E57" s="1"/>
      <c r="F57" s="3"/>
      <c r="G57" s="5">
        <v>4226</v>
      </c>
      <c r="H57" s="2"/>
      <c r="I57" s="2">
        <v>74</v>
      </c>
      <c r="J57" s="2">
        <v>0.97</v>
      </c>
      <c r="K57" s="2"/>
      <c r="L57" s="2"/>
      <c r="M57" s="26">
        <f>Таблица2[[#This Row],[Сумма Долл]]*Таблица2[[#This Row],[Курс ДОЛЛ]]</f>
        <v>312724</v>
      </c>
      <c r="N5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322395.87628865981</v>
      </c>
      <c r="O5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4226</v>
      </c>
      <c r="P5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9671.8762886598124</v>
      </c>
      <c r="Q57" s="30">
        <v>322395.88</v>
      </c>
      <c r="R57" s="12">
        <f>Таблица2[[#This Row],[Сумма в руб]]-Таблица2[[#This Row],[Оплата от клиента]]</f>
        <v>-3.7113401922397316E-3</v>
      </c>
      <c r="S57" s="32"/>
      <c r="T57" s="32" t="s">
        <v>107</v>
      </c>
      <c r="U57" s="12"/>
      <c r="V57" s="2">
        <v>6.4</v>
      </c>
      <c r="W57" s="28"/>
      <c r="X57" s="9"/>
      <c r="Y57" s="16">
        <v>27141</v>
      </c>
      <c r="Z57" s="2"/>
      <c r="AA57" s="26">
        <f>Таблица2[[#This Row],[Сумма перевода Долл/Евро]]*Таблица2[[#This Row],[Курс ДОЛЛ перевод]]+Таблица2[[#This Row],[Сумма за перевод руб]]</f>
        <v>9671.8762886598124</v>
      </c>
      <c r="AB5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-14.78125</v>
      </c>
      <c r="AC57" s="9"/>
      <c r="AD57" s="41"/>
    </row>
    <row r="58" spans="1:30" x14ac:dyDescent="0.25">
      <c r="A58" s="6">
        <v>44370</v>
      </c>
      <c r="B58" s="2" t="s">
        <v>115</v>
      </c>
      <c r="C58" s="2" t="s">
        <v>116</v>
      </c>
      <c r="D58" s="1"/>
      <c r="E58" s="1"/>
      <c r="F58" s="3"/>
      <c r="G58" s="5">
        <v>1088</v>
      </c>
      <c r="H58" s="2"/>
      <c r="I58" s="2">
        <v>73.78</v>
      </c>
      <c r="J58" s="2"/>
      <c r="K58" s="2"/>
      <c r="L58" s="2">
        <v>5000</v>
      </c>
      <c r="M58" s="26">
        <f>Таблица2[[#This Row],[Сумма Долл]]*Таблица2[[#This Row],[Курс ДОЛЛ]]</f>
        <v>80272.639999999999</v>
      </c>
      <c r="N5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85272.639999999999</v>
      </c>
      <c r="O5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1088</v>
      </c>
      <c r="P5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5000</v>
      </c>
      <c r="Q58" s="30">
        <v>85272.639999999999</v>
      </c>
      <c r="R58" s="12">
        <f>Таблица2[[#This Row],[Сумма в руб]]-Таблица2[[#This Row],[Оплата от клиента]]</f>
        <v>0</v>
      </c>
      <c r="S58" s="32"/>
      <c r="T58" s="32"/>
      <c r="U58" s="12"/>
      <c r="V58" s="2"/>
      <c r="W58" s="28"/>
      <c r="X58" s="9"/>
      <c r="Y58" s="16"/>
      <c r="Z58" s="2"/>
      <c r="AA58" s="26">
        <f>Таблица2[[#This Row],[Сумма перевода Долл/Евро]]*Таблица2[[#This Row],[Курс ДОЛЛ перевод]]+Таблица2[[#This Row],[Сумма за перевод руб]]</f>
        <v>5000</v>
      </c>
      <c r="AB5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1088</v>
      </c>
      <c r="AC58" s="9"/>
      <c r="AD58" s="41"/>
    </row>
    <row r="59" spans="1:30" x14ac:dyDescent="0.25">
      <c r="A59" s="6">
        <v>44370</v>
      </c>
      <c r="B59" s="2" t="s">
        <v>32</v>
      </c>
      <c r="C59" s="2" t="s">
        <v>33</v>
      </c>
      <c r="D59" s="1"/>
      <c r="E59" s="1"/>
      <c r="F59" s="3"/>
      <c r="G59" s="5">
        <v>14822</v>
      </c>
      <c r="H59" s="2"/>
      <c r="I59" s="2">
        <v>73.78</v>
      </c>
      <c r="J59" s="2">
        <v>0.99</v>
      </c>
      <c r="K59" s="2"/>
      <c r="L59" s="2"/>
      <c r="M59" s="26">
        <f>Таблица2[[#This Row],[Сумма Долл]]*Таблица2[[#This Row],[Курс ДОЛЛ]]</f>
        <v>1093567.1599999999</v>
      </c>
      <c r="N5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1104613.2929292929</v>
      </c>
      <c r="O5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14821.999999999998</v>
      </c>
      <c r="P5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11046.132929292973</v>
      </c>
      <c r="Q59" s="30">
        <v>1104613.3</v>
      </c>
      <c r="R59" s="12">
        <f>Таблица2[[#This Row],[Сумма в руб]]-Таблица2[[#This Row],[Оплата от клиента]]</f>
        <v>-7.0707071572542191E-3</v>
      </c>
      <c r="S59" s="32"/>
      <c r="T59" s="32"/>
      <c r="U59" s="12"/>
      <c r="V59" s="2"/>
      <c r="W59" s="28"/>
      <c r="X59" s="9"/>
      <c r="Y59" s="16"/>
      <c r="Z59" s="2"/>
      <c r="AA59" s="26">
        <f>Таблица2[[#This Row],[Сумма перевода Долл/Евро]]*Таблица2[[#This Row],[Курс ДОЛЛ перевод]]+Таблица2[[#This Row],[Сумма за перевод руб]]</f>
        <v>11046.132929292973</v>
      </c>
      <c r="AB5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14821.999999999998</v>
      </c>
      <c r="AC59" s="9"/>
      <c r="AD59" s="41"/>
    </row>
    <row r="60" spans="1:30" x14ac:dyDescent="0.25">
      <c r="A60" s="6">
        <v>44371</v>
      </c>
      <c r="B60" s="2" t="s">
        <v>91</v>
      </c>
      <c r="C60" s="2" t="s">
        <v>92</v>
      </c>
      <c r="D60" s="1"/>
      <c r="E60" s="1"/>
      <c r="F60" s="3">
        <v>20000</v>
      </c>
      <c r="G60" s="7">
        <f>Таблица2[[#This Row],[Сумма ЮА]]/Таблица2[[#This Row],[Курс ЮА]] + 48.5</f>
        <v>3173.5</v>
      </c>
      <c r="H60" s="2">
        <v>6.4</v>
      </c>
      <c r="I60" s="2">
        <v>73.78</v>
      </c>
      <c r="J60" s="2">
        <v>0.97</v>
      </c>
      <c r="K60" s="2"/>
      <c r="L60" s="2"/>
      <c r="M60" s="26">
        <f>Таблица2[[#This Row],[Сумма Долл]]*Таблица2[[#This Row],[Курс ДОЛЛ]]</f>
        <v>234140.83000000002</v>
      </c>
      <c r="N6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241382.2989690722</v>
      </c>
      <c r="O6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3173.5</v>
      </c>
      <c r="P6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7241.4689690721862</v>
      </c>
      <c r="Q60" s="30">
        <v>241382.3</v>
      </c>
      <c r="R60" s="12">
        <f>Таблица2[[#This Row],[Сумма в руб]]-Таблица2[[#This Row],[Оплата от клиента]]</f>
        <v>-1.0309277859050781E-3</v>
      </c>
      <c r="S60" s="32">
        <v>44371</v>
      </c>
      <c r="T60" s="32" t="s">
        <v>107</v>
      </c>
      <c r="U60" s="12" t="s">
        <v>31</v>
      </c>
      <c r="V60" s="2">
        <v>6.42</v>
      </c>
      <c r="W60" s="28"/>
      <c r="X60" s="9"/>
      <c r="Y60" s="16">
        <v>20480</v>
      </c>
      <c r="Z60" s="10">
        <v>44404</v>
      </c>
      <c r="AA60" s="26">
        <f>Таблица2[[#This Row],[Сумма перевода Долл/Евро]]*Таблица2[[#This Row],[Курс ДОЛЛ перевод]]+Таблица2[[#This Row],[Сумма за перевод руб]]</f>
        <v>7241.4689690721862</v>
      </c>
      <c r="AB6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-16.531152647974977</v>
      </c>
      <c r="AC60" s="9"/>
      <c r="AD60" s="41"/>
    </row>
    <row r="61" spans="1:30" ht="60" x14ac:dyDescent="0.25">
      <c r="A61" s="6">
        <v>44371</v>
      </c>
      <c r="B61" s="2" t="s">
        <v>117</v>
      </c>
      <c r="C61" s="2" t="s">
        <v>118</v>
      </c>
      <c r="D61" s="1" t="s">
        <v>119</v>
      </c>
      <c r="E61" s="1"/>
      <c r="F61" s="3"/>
      <c r="G61" s="5">
        <v>5804</v>
      </c>
      <c r="H61" s="2"/>
      <c r="I61" s="2">
        <v>73.78</v>
      </c>
      <c r="J61" s="2">
        <v>0.96</v>
      </c>
      <c r="K61" s="2"/>
      <c r="L61" s="2"/>
      <c r="M61" s="26">
        <f>Таблица2[[#This Row],[Сумма Долл]]*Таблица2[[#This Row],[Курс ДОЛЛ]]</f>
        <v>428219.12</v>
      </c>
      <c r="N6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446061.58333333337</v>
      </c>
      <c r="O6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5804</v>
      </c>
      <c r="P6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17842.463333333377</v>
      </c>
      <c r="Q61" s="30">
        <v>446061.58</v>
      </c>
      <c r="R61" s="12">
        <f>Таблица2[[#This Row],[Сумма в руб]]-Таблица2[[#This Row],[Оплата от клиента]]</f>
        <v>3.3333333558402956E-3</v>
      </c>
      <c r="S61" s="32"/>
      <c r="T61" s="32"/>
      <c r="U61" s="12" t="s">
        <v>31</v>
      </c>
      <c r="V61" s="2"/>
      <c r="W61" s="28">
        <v>73.78</v>
      </c>
      <c r="X61" s="9">
        <v>5804</v>
      </c>
      <c r="Y61" s="16"/>
      <c r="Z61" s="2"/>
      <c r="AA61" s="26">
        <f>Таблица2[[#This Row],[Сумма перевода Долл/Евро]]*Таблица2[[#This Row],[Курс ДОЛЛ перевод]]+Таблица2[[#This Row],[Сумма за перевод руб]]</f>
        <v>446061.58333333337</v>
      </c>
      <c r="AB6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61" s="9" t="s">
        <v>361</v>
      </c>
      <c r="AD61" s="41"/>
    </row>
    <row r="62" spans="1:30" x14ac:dyDescent="0.25">
      <c r="A62" s="6">
        <v>44371</v>
      </c>
      <c r="B62" s="2" t="s">
        <v>35</v>
      </c>
      <c r="C62" s="2" t="s">
        <v>36</v>
      </c>
      <c r="D62" s="1"/>
      <c r="E62" s="1"/>
      <c r="F62" s="3"/>
      <c r="G62" s="5">
        <v>3229.52</v>
      </c>
      <c r="H62" s="2"/>
      <c r="I62" s="2">
        <v>73.7</v>
      </c>
      <c r="J62" s="2"/>
      <c r="K62" s="2">
        <v>80</v>
      </c>
      <c r="L62" s="2"/>
      <c r="M62" s="26">
        <f>Таблица2[[#This Row],[Сумма Долл]]*Таблица2[[#This Row],[Курс ДОЛЛ]]</f>
        <v>238015.62400000001</v>
      </c>
      <c r="N6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243911.62400000001</v>
      </c>
      <c r="O6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3256.4731700643042</v>
      </c>
      <c r="P6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5847.2000000000007</v>
      </c>
      <c r="Q62" s="30">
        <v>243911.62</v>
      </c>
      <c r="R62" s="12">
        <f>Таблица2[[#This Row],[Сумма в руб]]-Таблица2[[#This Row],[Оплата от клиента]]</f>
        <v>4.0000000153668225E-3</v>
      </c>
      <c r="S62" s="32"/>
      <c r="T62" s="32"/>
      <c r="U62" s="12"/>
      <c r="V62" s="2"/>
      <c r="W62" s="28">
        <v>73.09</v>
      </c>
      <c r="X62" s="9"/>
      <c r="Y62" s="16"/>
      <c r="Z62" s="2"/>
      <c r="AA62" s="26">
        <f>Таблица2[[#This Row],[Сумма перевода Долл/Евро]]*Таблица2[[#This Row],[Курс ДОЛЛ перевод]]+Таблица2[[#This Row],[Сумма за перевод руб]]</f>
        <v>5847.2000000000007</v>
      </c>
      <c r="AB6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3256.4731700643042</v>
      </c>
      <c r="AC62" s="9"/>
      <c r="AD62" s="41"/>
    </row>
    <row r="63" spans="1:30" x14ac:dyDescent="0.25">
      <c r="A63" s="6">
        <v>44371</v>
      </c>
      <c r="B63" s="2" t="s">
        <v>55</v>
      </c>
      <c r="C63" s="2" t="s">
        <v>56</v>
      </c>
      <c r="D63" s="1"/>
      <c r="E63" s="1"/>
      <c r="F63" s="3"/>
      <c r="G63" s="5">
        <v>9912</v>
      </c>
      <c r="H63" s="2"/>
      <c r="I63" s="2">
        <v>73.7</v>
      </c>
      <c r="J63" s="2">
        <v>0.97</v>
      </c>
      <c r="K63" s="2"/>
      <c r="L63" s="2"/>
      <c r="M63" s="26">
        <f>Таблица2[[#This Row],[Сумма Долл]]*Таблица2[[#This Row],[Курс ДОЛЛ]]</f>
        <v>730514.4</v>
      </c>
      <c r="N6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753107.62886597938</v>
      </c>
      <c r="O6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9912</v>
      </c>
      <c r="P6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22593.228865979356</v>
      </c>
      <c r="Q63" s="30"/>
      <c r="R63" s="12">
        <f>Таблица2[[#This Row],[Сумма в руб]]-Таблица2[[#This Row],[Оплата от клиента]]</f>
        <v>753107.62886597938</v>
      </c>
      <c r="S63" s="32"/>
      <c r="T63" s="32"/>
      <c r="U63" s="12"/>
      <c r="V63" s="2"/>
      <c r="W63" s="28"/>
      <c r="X63" s="9"/>
      <c r="Y63" s="16"/>
      <c r="Z63" s="2"/>
      <c r="AA63" s="26">
        <f>Таблица2[[#This Row],[Сумма перевода Долл/Евро]]*Таблица2[[#This Row],[Курс ДОЛЛ перевод]]+Таблица2[[#This Row],[Сумма за перевод руб]]</f>
        <v>22593.228865979356</v>
      </c>
      <c r="AB6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9912</v>
      </c>
      <c r="AC63" s="9"/>
      <c r="AD63" s="41"/>
    </row>
    <row r="64" spans="1:30" x14ac:dyDescent="0.25">
      <c r="A64" s="6">
        <v>44371</v>
      </c>
      <c r="B64" s="2" t="s">
        <v>120</v>
      </c>
      <c r="C64" s="2" t="s">
        <v>121</v>
      </c>
      <c r="D64" s="1"/>
      <c r="E64" s="1"/>
      <c r="F64" s="3">
        <v>23940</v>
      </c>
      <c r="G64" s="7">
        <f>Таблица2[[#This Row],[Сумма ЮА]]/Таблица2[[#This Row],[Курс ЮА]] + 50</f>
        <v>3790.625</v>
      </c>
      <c r="H64" s="2">
        <v>6.4</v>
      </c>
      <c r="I64" s="2">
        <v>73</v>
      </c>
      <c r="J64" s="2">
        <v>0.97</v>
      </c>
      <c r="K64" s="2"/>
      <c r="L64" s="2"/>
      <c r="M64" s="26">
        <f>Таблица2[[#This Row],[Сумма Долл]]*Таблица2[[#This Row],[Курс ДОЛЛ]]</f>
        <v>276715.625</v>
      </c>
      <c r="N6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285273.84020618559</v>
      </c>
      <c r="O6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3790.625</v>
      </c>
      <c r="P6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8558.2152061855886</v>
      </c>
      <c r="Q64" s="30"/>
      <c r="R64" s="12">
        <f>Таблица2[[#This Row],[Сумма в руб]]-Таблица2[[#This Row],[Оплата от клиента]]</f>
        <v>285273.84020618559</v>
      </c>
      <c r="S64" s="32"/>
      <c r="T64" s="32"/>
      <c r="U64" s="12"/>
      <c r="V64" s="2"/>
      <c r="W64" s="28"/>
      <c r="X64" s="9"/>
      <c r="Y64" s="16"/>
      <c r="Z64" s="2"/>
      <c r="AA64" s="26">
        <f>Таблица2[[#This Row],[Сумма перевода Долл/Евро]]*Таблица2[[#This Row],[Курс ДОЛЛ перевод]]+Таблица2[[#This Row],[Сумма за перевод руб]]</f>
        <v>8558.2152061855886</v>
      </c>
      <c r="AB6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3790.625</v>
      </c>
      <c r="AC64" s="9"/>
      <c r="AD64" s="41"/>
    </row>
    <row r="65" spans="1:30" x14ac:dyDescent="0.25">
      <c r="A65" s="6">
        <v>44372</v>
      </c>
      <c r="B65" s="2" t="s">
        <v>122</v>
      </c>
      <c r="C65" s="2" t="s">
        <v>123</v>
      </c>
      <c r="D65" s="1"/>
      <c r="E65" s="1"/>
      <c r="F65" s="3"/>
      <c r="G65" s="7">
        <f>2230+48.5</f>
        <v>2278.5</v>
      </c>
      <c r="H65" s="2"/>
      <c r="I65" s="2">
        <v>73.2</v>
      </c>
      <c r="J65" s="2">
        <v>0.97</v>
      </c>
      <c r="K65" s="2"/>
      <c r="L65" s="2"/>
      <c r="M65" s="26">
        <f>Таблица2[[#This Row],[Сумма Долл]]*Таблица2[[#This Row],[Курс ДОЛЛ]]</f>
        <v>166786.20000000001</v>
      </c>
      <c r="N6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171944.53608247425</v>
      </c>
      <c r="O6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2278.5</v>
      </c>
      <c r="P6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5158.3360824742413</v>
      </c>
      <c r="Q65" s="30">
        <v>171944.54</v>
      </c>
      <c r="R65" s="12">
        <f>Таблица2[[#This Row],[Сумма в руб]]-Таблица2[[#This Row],[Оплата от клиента]]</f>
        <v>-3.9175257552415133E-3</v>
      </c>
      <c r="S65" s="32"/>
      <c r="T65" s="32"/>
      <c r="U65" s="12"/>
      <c r="V65" s="2"/>
      <c r="W65" s="28"/>
      <c r="X65" s="9"/>
      <c r="Y65" s="16"/>
      <c r="Z65" s="2"/>
      <c r="AA65" s="26">
        <f>Таблица2[[#This Row],[Сумма перевода Долл/Евро]]*Таблица2[[#This Row],[Курс ДОЛЛ перевод]]+Таблица2[[#This Row],[Сумма за перевод руб]]</f>
        <v>5158.3360824742413</v>
      </c>
      <c r="AB6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2278.5</v>
      </c>
      <c r="AC65" s="9"/>
      <c r="AD65" s="41"/>
    </row>
    <row r="66" spans="1:30" x14ac:dyDescent="0.25">
      <c r="A66" s="6">
        <v>44372</v>
      </c>
      <c r="B66" s="2" t="s">
        <v>124</v>
      </c>
      <c r="C66" s="2" t="s">
        <v>125</v>
      </c>
      <c r="D66" s="1"/>
      <c r="E66" s="1"/>
      <c r="F66" s="3"/>
      <c r="G66" s="5">
        <v>10446.1</v>
      </c>
      <c r="H66" s="2"/>
      <c r="I66" s="2">
        <v>73.03</v>
      </c>
      <c r="J66" s="2">
        <v>0.98</v>
      </c>
      <c r="K66" s="2"/>
      <c r="L66" s="2"/>
      <c r="M66" s="26">
        <f>Таблица2[[#This Row],[Сумма Долл]]*Таблица2[[#This Row],[Курс ДОЛЛ]]</f>
        <v>762878.68300000008</v>
      </c>
      <c r="N6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778447.63571428577</v>
      </c>
      <c r="O6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10446.1</v>
      </c>
      <c r="P6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15568.952714285697</v>
      </c>
      <c r="Q66" s="30">
        <v>778447.64</v>
      </c>
      <c r="R66" s="12">
        <f>Таблица2[[#This Row],[Сумма в руб]]-Таблица2[[#This Row],[Оплата от клиента]]</f>
        <v>-4.2857142398133874E-3</v>
      </c>
      <c r="S66" s="32"/>
      <c r="T66" s="32"/>
      <c r="U66" s="12"/>
      <c r="V66" s="2"/>
      <c r="W66" s="28"/>
      <c r="X66" s="9"/>
      <c r="Y66" s="16"/>
      <c r="Z66" s="2"/>
      <c r="AA66" s="26">
        <f>Таблица2[[#This Row],[Сумма перевода Долл/Евро]]*Таблица2[[#This Row],[Курс ДОЛЛ перевод]]+Таблица2[[#This Row],[Сумма за перевод руб]]</f>
        <v>15568.952714285697</v>
      </c>
      <c r="AB6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10446.1</v>
      </c>
      <c r="AC66" s="9"/>
      <c r="AD66" s="41"/>
    </row>
    <row r="67" spans="1:30" x14ac:dyDescent="0.25">
      <c r="A67" s="6">
        <v>44375</v>
      </c>
      <c r="B67" s="2" t="s">
        <v>57</v>
      </c>
      <c r="C67" s="2" t="s">
        <v>58</v>
      </c>
      <c r="D67" s="1"/>
      <c r="E67" s="1"/>
      <c r="F67" s="3"/>
      <c r="G67" s="5">
        <v>4410</v>
      </c>
      <c r="H67" s="2"/>
      <c r="I67" s="2">
        <v>73</v>
      </c>
      <c r="J67" s="2"/>
      <c r="K67" s="2">
        <v>80</v>
      </c>
      <c r="L67" s="2"/>
      <c r="M67" s="26">
        <f>Таблица2[[#This Row],[Сумма Долл]]*Таблица2[[#This Row],[Курс ДОЛЛ]]</f>
        <v>321930</v>
      </c>
      <c r="N6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327770</v>
      </c>
      <c r="O6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4410</v>
      </c>
      <c r="P6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5840</v>
      </c>
      <c r="Q67" s="30">
        <v>327770</v>
      </c>
      <c r="R67" s="12">
        <f>Таблица2[[#This Row],[Сумма в руб]]-Таблица2[[#This Row],[Оплата от клиента]]</f>
        <v>0</v>
      </c>
      <c r="S67" s="32"/>
      <c r="T67" s="32"/>
      <c r="U67" s="12"/>
      <c r="V67" s="2"/>
      <c r="W67" s="28"/>
      <c r="X67" s="9"/>
      <c r="Y67" s="16"/>
      <c r="Z67" s="2"/>
      <c r="AA67" s="26">
        <f>Таблица2[[#This Row],[Сумма перевода Долл/Евро]]*Таблица2[[#This Row],[Курс ДОЛЛ перевод]]+Таблица2[[#This Row],[Сумма за перевод руб]]</f>
        <v>5840</v>
      </c>
      <c r="AB6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4410</v>
      </c>
      <c r="AC67" s="9"/>
      <c r="AD67" s="41"/>
    </row>
    <row r="68" spans="1:30" x14ac:dyDescent="0.25">
      <c r="A68" s="6">
        <v>44375</v>
      </c>
      <c r="B68" s="2" t="s">
        <v>126</v>
      </c>
      <c r="C68" s="2" t="s">
        <v>52</v>
      </c>
      <c r="D68" s="1"/>
      <c r="E68" s="1"/>
      <c r="F68" s="3"/>
      <c r="G68" s="5">
        <v>4000</v>
      </c>
      <c r="H68" s="2"/>
      <c r="I68" s="2">
        <v>73.099999999999994</v>
      </c>
      <c r="J68" s="2">
        <v>0.98</v>
      </c>
      <c r="K68" s="2"/>
      <c r="L68" s="2"/>
      <c r="M68" s="26">
        <f>Таблица2[[#This Row],[Сумма Долл]]*Таблица2[[#This Row],[Курс ДОЛЛ]]</f>
        <v>292400</v>
      </c>
      <c r="N6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298367.3469387755</v>
      </c>
      <c r="O6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3976.0674462877341</v>
      </c>
      <c r="P6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5967.3469387755031</v>
      </c>
      <c r="Q68" s="30">
        <v>298367.34999999998</v>
      </c>
      <c r="R68" s="12">
        <f>Таблица2[[#This Row],[Сумма в руб]]-Таблица2[[#This Row],[Оплата от клиента]]</f>
        <v>-3.0612244736403227E-3</v>
      </c>
      <c r="S68" s="32"/>
      <c r="T68" s="32"/>
      <c r="U68" s="12"/>
      <c r="V68" s="2"/>
      <c r="W68" s="28">
        <v>73.540000000000006</v>
      </c>
      <c r="X68" s="9">
        <v>4000</v>
      </c>
      <c r="Y68" s="16"/>
      <c r="Z68" s="2"/>
      <c r="AA68" s="26">
        <f>Таблица2[[#This Row],[Сумма перевода Долл/Евро]]*Таблица2[[#This Row],[Курс ДОЛЛ перевод]]+Таблица2[[#This Row],[Сумма за перевод руб]]</f>
        <v>300127.3469387755</v>
      </c>
      <c r="AB6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-23.932553712265872</v>
      </c>
      <c r="AC68" s="9" t="s">
        <v>579</v>
      </c>
      <c r="AD68" s="41"/>
    </row>
    <row r="69" spans="1:30" x14ac:dyDescent="0.25">
      <c r="A69" s="6">
        <v>44375</v>
      </c>
      <c r="B69" s="2" t="s">
        <v>120</v>
      </c>
      <c r="C69" s="2" t="s">
        <v>121</v>
      </c>
      <c r="D69" s="1"/>
      <c r="E69" s="1"/>
      <c r="F69" s="3"/>
      <c r="G69" s="7">
        <f>3700+50</f>
        <v>3750</v>
      </c>
      <c r="H69" s="2"/>
      <c r="I69" s="2">
        <v>73.260000000000005</v>
      </c>
      <c r="J69" s="2">
        <v>0.99</v>
      </c>
      <c r="K69" s="2"/>
      <c r="L69" s="2"/>
      <c r="M69" s="26">
        <f>Таблица2[[#This Row],[Сумма Долл]]*Таблица2[[#This Row],[Курс ДОЛЛ]]</f>
        <v>274725</v>
      </c>
      <c r="N6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277500</v>
      </c>
      <c r="O6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3749.9999999999995</v>
      </c>
      <c r="P6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2775</v>
      </c>
      <c r="Q69" s="30">
        <v>277500.09999999998</v>
      </c>
      <c r="R69" s="12">
        <f>Таблица2[[#This Row],[Сумма в руб]]-Таблица2[[#This Row],[Оплата от клиента]]</f>
        <v>-9.9999999976716936E-2</v>
      </c>
      <c r="S69" s="32"/>
      <c r="T69" s="32"/>
      <c r="U69" s="12"/>
      <c r="V69" s="2"/>
      <c r="W69" s="28"/>
      <c r="X69" s="9"/>
      <c r="Y69" s="16"/>
      <c r="Z69" s="2"/>
      <c r="AA69" s="26">
        <f>Таблица2[[#This Row],[Сумма перевода Долл/Евро]]*Таблица2[[#This Row],[Курс ДОЛЛ перевод]]+Таблица2[[#This Row],[Сумма за перевод руб]]</f>
        <v>2775</v>
      </c>
      <c r="AB6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3749.9999999999995</v>
      </c>
      <c r="AC69" s="9"/>
      <c r="AD69" s="41"/>
    </row>
    <row r="70" spans="1:30" x14ac:dyDescent="0.25">
      <c r="A70" s="6">
        <v>44377</v>
      </c>
      <c r="B70" s="2" t="s">
        <v>72</v>
      </c>
      <c r="C70" s="2" t="s">
        <v>73</v>
      </c>
      <c r="D70" s="1"/>
      <c r="E70" s="1"/>
      <c r="F70" s="3"/>
      <c r="G70" s="5">
        <v>49000</v>
      </c>
      <c r="H70" s="2"/>
      <c r="I70" s="2">
        <v>73.900000000000006</v>
      </c>
      <c r="J70" s="2">
        <v>0.97</v>
      </c>
      <c r="K70" s="2"/>
      <c r="L70" s="2"/>
      <c r="M70" s="26">
        <f>Таблица2[[#This Row],[Сумма Долл]]*Таблица2[[#This Row],[Курс ДОЛЛ]]</f>
        <v>3621100.0000000005</v>
      </c>
      <c r="N7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3733092.7835051552</v>
      </c>
      <c r="O7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49000</v>
      </c>
      <c r="P7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111992.78350515477</v>
      </c>
      <c r="Q70" s="30">
        <v>166673.84</v>
      </c>
      <c r="R70" s="12">
        <f>Таблица2[[#This Row],[Сумма в руб]]-Таблица2[[#This Row],[Оплата от клиента]]</f>
        <v>3566418.9435051554</v>
      </c>
      <c r="S70" s="32"/>
      <c r="T70" s="32"/>
      <c r="U70" s="12"/>
      <c r="V70" s="2"/>
      <c r="W70" s="28"/>
      <c r="X70" s="9"/>
      <c r="Y70" s="16"/>
      <c r="Z70" s="2"/>
      <c r="AA70" s="26">
        <f>Таблица2[[#This Row],[Сумма перевода Долл/Евро]]*Таблица2[[#This Row],[Курс ДОЛЛ перевод]]+Таблица2[[#This Row],[Сумма за перевод руб]]</f>
        <v>111992.78350515477</v>
      </c>
      <c r="AB7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49000</v>
      </c>
      <c r="AC70" s="9"/>
      <c r="AD70" s="41"/>
    </row>
    <row r="71" spans="1:30" x14ac:dyDescent="0.25">
      <c r="A71" s="6">
        <v>44377</v>
      </c>
      <c r="B71" s="2" t="s">
        <v>72</v>
      </c>
      <c r="C71" s="2" t="s">
        <v>73</v>
      </c>
      <c r="D71" s="1"/>
      <c r="E71" s="1"/>
      <c r="F71" s="3"/>
      <c r="G71" s="5">
        <v>49000</v>
      </c>
      <c r="H71" s="2"/>
      <c r="I71" s="2">
        <v>73.900000000000006</v>
      </c>
      <c r="J71" s="2">
        <v>0.97</v>
      </c>
      <c r="K71" s="2"/>
      <c r="L71" s="2"/>
      <c r="M71" s="26">
        <f>Таблица2[[#This Row],[Сумма Долл]]*Таблица2[[#This Row],[Курс ДОЛЛ]]</f>
        <v>3621100.0000000005</v>
      </c>
      <c r="N7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3733092.7835051552</v>
      </c>
      <c r="O7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49000</v>
      </c>
      <c r="P71" s="12"/>
      <c r="Q71" s="30">
        <v>3566418.94</v>
      </c>
      <c r="R71" s="12">
        <f>Таблица2[[#This Row],[Сумма в руб]]-Таблица2[[#This Row],[Оплата от клиента]]</f>
        <v>166673.8435051553</v>
      </c>
      <c r="S71" s="32"/>
      <c r="T71" s="32"/>
      <c r="U71" s="12"/>
      <c r="V71" s="2"/>
      <c r="W71" s="28"/>
      <c r="X71" s="9"/>
      <c r="Y71" s="16"/>
      <c r="Z71" s="2"/>
      <c r="AA71" s="26">
        <f>Таблица2[[#This Row],[Сумма перевода Долл/Евро]]*Таблица2[[#This Row],[Курс ДОЛЛ перевод]]+Таблица2[[#This Row],[Сумма за перевод руб]]</f>
        <v>0</v>
      </c>
      <c r="AB7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49000</v>
      </c>
      <c r="AC71" s="9"/>
      <c r="AD71" s="41"/>
    </row>
    <row r="72" spans="1:30" x14ac:dyDescent="0.25">
      <c r="A72" s="6">
        <v>44382</v>
      </c>
      <c r="B72" s="2" t="s">
        <v>59</v>
      </c>
      <c r="C72" s="2" t="s">
        <v>60</v>
      </c>
      <c r="D72" s="1"/>
      <c r="E72" s="1"/>
      <c r="F72" s="3"/>
      <c r="G72" s="5">
        <v>53369.821000000004</v>
      </c>
      <c r="H72" s="2"/>
      <c r="I72" s="2">
        <v>74.2</v>
      </c>
      <c r="J72" s="2">
        <v>0.99</v>
      </c>
      <c r="K72" s="2"/>
      <c r="L72" s="2"/>
      <c r="M72" s="26">
        <f>Таблица2[[#This Row],[Сумма Долл]]*Таблица2[[#This Row],[Курс ДОЛЛ]]</f>
        <v>3960040.7182000005</v>
      </c>
      <c r="N7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4000041.1294949502</v>
      </c>
      <c r="O7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53369.821000000004</v>
      </c>
      <c r="P7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40000.411294949707</v>
      </c>
      <c r="Q72" s="30">
        <v>4000041.14</v>
      </c>
      <c r="R72" s="12">
        <f>Таблица2[[#This Row],[Сумма в руб]]-Таблица2[[#This Row],[Оплата от клиента]]</f>
        <v>-1.0505049955099821E-2</v>
      </c>
      <c r="S72" s="32">
        <v>44382</v>
      </c>
      <c r="T72" s="32"/>
      <c r="U72" s="12"/>
      <c r="V72" s="2"/>
      <c r="W72" s="28"/>
      <c r="X72" s="9"/>
      <c r="Y72" s="16"/>
      <c r="Z72" s="2"/>
      <c r="AA72" s="26">
        <f>Таблица2[[#This Row],[Сумма перевода Долл/Евро]]*Таблица2[[#This Row],[Курс ДОЛЛ перевод]]+Таблица2[[#This Row],[Сумма за перевод руб]]</f>
        <v>40000.411294949707</v>
      </c>
      <c r="AB7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53369.821000000004</v>
      </c>
      <c r="AC72" s="9"/>
      <c r="AD72" s="41"/>
    </row>
    <row r="73" spans="1:30" ht="30" x14ac:dyDescent="0.25">
      <c r="A73" s="6">
        <v>44382</v>
      </c>
      <c r="B73" s="2" t="s">
        <v>89</v>
      </c>
      <c r="C73" s="1" t="s">
        <v>99</v>
      </c>
      <c r="D73" s="1" t="s">
        <v>127</v>
      </c>
      <c r="E73" s="1"/>
      <c r="F73" s="3"/>
      <c r="G73" s="5">
        <v>11400</v>
      </c>
      <c r="H73" s="2"/>
      <c r="I73" s="2">
        <v>74.2</v>
      </c>
      <c r="J73" s="2">
        <v>0.97</v>
      </c>
      <c r="K73" s="2"/>
      <c r="L73" s="2"/>
      <c r="M73" s="26">
        <f>Таблица2[[#This Row],[Сумма Долл]]*Таблица2[[#This Row],[Курс ДОЛЛ]]</f>
        <v>845880</v>
      </c>
      <c r="N7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872041.23711340211</v>
      </c>
      <c r="O7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11400</v>
      </c>
      <c r="P7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26161.237113402109</v>
      </c>
      <c r="Q73" s="30">
        <v>872041.24</v>
      </c>
      <c r="R73" s="12">
        <f>Таблица2[[#This Row],[Сумма в руб]]-Таблица2[[#This Row],[Оплата от клиента]]</f>
        <v>-2.8865978820249438E-3</v>
      </c>
      <c r="S73" s="32">
        <v>44382</v>
      </c>
      <c r="T73" s="32"/>
      <c r="U73" s="12"/>
      <c r="V73" s="2"/>
      <c r="W73" s="28"/>
      <c r="X73" s="9"/>
      <c r="Y73" s="16"/>
      <c r="Z73" s="2"/>
      <c r="AA73" s="26">
        <f>Таблица2[[#This Row],[Сумма перевода Долл/Евро]]*Таблица2[[#This Row],[Курс ДОЛЛ перевод]]+Таблица2[[#This Row],[Сумма за перевод руб]]</f>
        <v>26161.237113402109</v>
      </c>
      <c r="AB7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11400</v>
      </c>
      <c r="AC73" s="9"/>
      <c r="AD73" s="41"/>
    </row>
    <row r="74" spans="1:30" x14ac:dyDescent="0.25">
      <c r="A74" s="6">
        <v>44384</v>
      </c>
      <c r="B74" s="2" t="s">
        <v>42</v>
      </c>
      <c r="C74" s="2" t="s">
        <v>128</v>
      </c>
      <c r="D74" s="1" t="s">
        <v>129</v>
      </c>
      <c r="E74" s="1"/>
      <c r="F74" s="3"/>
      <c r="G74" s="5">
        <v>3212.06</v>
      </c>
      <c r="H74" s="2"/>
      <c r="I74" s="2">
        <v>75.5</v>
      </c>
      <c r="J74" s="2"/>
      <c r="K74" s="2">
        <v>80</v>
      </c>
      <c r="L74" s="2"/>
      <c r="M74" s="26">
        <f>Таблица2[[#This Row],[Сумма Долл]]*Таблица2[[#This Row],[Курс ДОЛЛ]]</f>
        <v>242510.53</v>
      </c>
      <c r="N7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248550.53</v>
      </c>
      <c r="O7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3203.9969612894702</v>
      </c>
      <c r="P7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6055.2</v>
      </c>
      <c r="Q74" s="30">
        <v>248550.53</v>
      </c>
      <c r="R74" s="12">
        <f>Таблица2[[#This Row],[Сумма в руб]]-Таблица2[[#This Row],[Оплата от клиента]]</f>
        <v>0</v>
      </c>
      <c r="S74" s="32">
        <v>44384</v>
      </c>
      <c r="T74" s="32" t="s">
        <v>130</v>
      </c>
      <c r="U74" s="12" t="s">
        <v>31</v>
      </c>
      <c r="V74" s="2"/>
      <c r="W74" s="28">
        <v>75.69</v>
      </c>
      <c r="X74" s="9">
        <v>3212.06</v>
      </c>
      <c r="Y74" s="16"/>
      <c r="Z74" s="10">
        <v>44385</v>
      </c>
      <c r="AA74" s="26">
        <f>Таблица2[[#This Row],[Сумма перевода Долл/Евро]]*Таблица2[[#This Row],[Курс ДОЛЛ перевод]]+Таблица2[[#This Row],[Сумма за перевод руб]]</f>
        <v>249176.0214</v>
      </c>
      <c r="AB7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-8.0630387105297814</v>
      </c>
      <c r="AC74" s="9"/>
      <c r="AD74" s="41"/>
    </row>
    <row r="75" spans="1:30" x14ac:dyDescent="0.25">
      <c r="A75" s="6">
        <v>44384</v>
      </c>
      <c r="B75" s="2" t="s">
        <v>131</v>
      </c>
      <c r="C75" s="2" t="s">
        <v>132</v>
      </c>
      <c r="D75" s="1"/>
      <c r="E75" s="1"/>
      <c r="F75" s="3">
        <v>2850</v>
      </c>
      <c r="G75" s="5">
        <f>Таблица2[[#This Row],[Сумма ЮА]]/Таблица2[[#This Row],[Курс ЮА]]</f>
        <v>446.00938967136153</v>
      </c>
      <c r="H75" s="2">
        <v>6.39</v>
      </c>
      <c r="I75" s="2">
        <v>75.2</v>
      </c>
      <c r="J75" s="2"/>
      <c r="K75" s="2">
        <v>80</v>
      </c>
      <c r="L75" s="2"/>
      <c r="M75" s="26">
        <f>Таблица2[[#This Row],[Сумма Долл]]*Таблица2[[#This Row],[Курс ДОЛЛ]]</f>
        <v>33539.90610328639</v>
      </c>
      <c r="N7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39555.90610328639</v>
      </c>
      <c r="O7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446.00938967136153</v>
      </c>
      <c r="P7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6016</v>
      </c>
      <c r="Q75" s="30"/>
      <c r="R75" s="12">
        <f>Таблица2[[#This Row],[Сумма в руб]]-Таблица2[[#This Row],[Оплата от клиента]]</f>
        <v>39555.90610328639</v>
      </c>
      <c r="S75" s="32"/>
      <c r="T75" s="32"/>
      <c r="U75" s="12"/>
      <c r="V75" s="2"/>
      <c r="W75" s="28"/>
      <c r="X75" s="9"/>
      <c r="Y75" s="16"/>
      <c r="Z75" s="2"/>
      <c r="AA75" s="26">
        <f>Таблица2[[#This Row],[Сумма перевода Долл/Евро]]*Таблица2[[#This Row],[Курс ДОЛЛ перевод]]+Таблица2[[#This Row],[Сумма за перевод руб]]</f>
        <v>6016</v>
      </c>
      <c r="AB7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446.00938967136153</v>
      </c>
      <c r="AC75" s="9"/>
      <c r="AD75" s="41"/>
    </row>
    <row r="76" spans="1:30" ht="30" x14ac:dyDescent="0.25">
      <c r="A76" s="6">
        <v>44384</v>
      </c>
      <c r="B76" s="2" t="s">
        <v>117</v>
      </c>
      <c r="C76" s="2" t="s">
        <v>118</v>
      </c>
      <c r="D76" s="1" t="s">
        <v>133</v>
      </c>
      <c r="E76" s="1"/>
      <c r="F76" s="3">
        <v>31120</v>
      </c>
      <c r="G76" s="5">
        <f>Таблица2[[#This Row],[Сумма ЮА]]/Таблица2[[#This Row],[Курс ЮА]]</f>
        <v>4870.1095461658842</v>
      </c>
      <c r="H76" s="2">
        <v>6.39</v>
      </c>
      <c r="I76" s="2">
        <v>75.2</v>
      </c>
      <c r="J76" s="2">
        <v>0.96</v>
      </c>
      <c r="K76" s="2"/>
      <c r="L76" s="2"/>
      <c r="M76" s="26">
        <f>Таблица2[[#This Row],[Сумма Долл]]*Таблица2[[#This Row],[Курс ДОЛЛ]]</f>
        <v>366232.23787167453</v>
      </c>
      <c r="N7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381491.91444966098</v>
      </c>
      <c r="O7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4870.1095461658842</v>
      </c>
      <c r="P7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15259.676577986451</v>
      </c>
      <c r="Q76" s="30">
        <v>381491.91</v>
      </c>
      <c r="R76" s="12">
        <f>Таблица2[[#This Row],[Сумма в руб]]-Таблица2[[#This Row],[Оплата от клиента]]</f>
        <v>4.4496610062196851E-3</v>
      </c>
      <c r="S76" s="32">
        <v>44384</v>
      </c>
      <c r="T76" s="32" t="s">
        <v>107</v>
      </c>
      <c r="U76" s="12" t="s">
        <v>31</v>
      </c>
      <c r="V76" s="2">
        <v>6.42</v>
      </c>
      <c r="W76" s="28"/>
      <c r="X76" s="9"/>
      <c r="Y76" s="16">
        <v>31120</v>
      </c>
      <c r="Z76" s="10">
        <v>44404</v>
      </c>
      <c r="AA76" s="26">
        <f>Таблица2[[#This Row],[Сумма перевода Долл/Евро]]*Таблица2[[#This Row],[Курс ДОЛЛ перевод]]+Таблица2[[#This Row],[Сумма за перевод руб]]</f>
        <v>15259.676577986451</v>
      </c>
      <c r="AB7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22.75752124376595</v>
      </c>
      <c r="AC76" s="9"/>
      <c r="AD76" s="41"/>
    </row>
    <row r="77" spans="1:30" x14ac:dyDescent="0.25">
      <c r="A77" s="6">
        <v>44389</v>
      </c>
      <c r="B77" s="2" t="s">
        <v>109</v>
      </c>
      <c r="C77" s="2" t="s">
        <v>110</v>
      </c>
      <c r="D77" s="1" t="s">
        <v>134</v>
      </c>
      <c r="E77" s="1"/>
      <c r="F77" s="3"/>
      <c r="G77" s="5">
        <v>10000</v>
      </c>
      <c r="H77" s="2"/>
      <c r="I77" s="2">
        <v>75.2</v>
      </c>
      <c r="J77" s="2">
        <v>0.97</v>
      </c>
      <c r="K77" s="2"/>
      <c r="L77" s="2"/>
      <c r="M77" s="26">
        <f>Таблица2[[#This Row],[Сумма Долл]]*Таблица2[[#This Row],[Курс ДОЛЛ]]</f>
        <v>752000</v>
      </c>
      <c r="N7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775257.73195876286</v>
      </c>
      <c r="O7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10000</v>
      </c>
      <c r="P7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23257.731958762859</v>
      </c>
      <c r="Q77" s="30">
        <v>775257.73</v>
      </c>
      <c r="R77" s="12">
        <f>Таблица2[[#This Row],[Сумма в руб]]-Таблица2[[#This Row],[Оплата от клиента]]</f>
        <v>1.9587628776207566E-3</v>
      </c>
      <c r="S77" s="32">
        <v>44390</v>
      </c>
      <c r="T77" s="32"/>
      <c r="U77" s="12"/>
      <c r="V77" s="2"/>
      <c r="W77" s="28"/>
      <c r="X77" s="9"/>
      <c r="Y77" s="16"/>
      <c r="Z77" s="2"/>
      <c r="AA77" s="26">
        <f>Таблица2[[#This Row],[Сумма перевода Долл/Евро]]*Таблица2[[#This Row],[Курс ДОЛЛ перевод]]+Таблица2[[#This Row],[Сумма за перевод руб]]</f>
        <v>23257.731958762859</v>
      </c>
      <c r="AB7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10000</v>
      </c>
      <c r="AC77" s="9"/>
      <c r="AD77" s="41"/>
    </row>
    <row r="78" spans="1:30" x14ac:dyDescent="0.25">
      <c r="A78" s="6">
        <v>44389</v>
      </c>
      <c r="B78" s="29" t="s">
        <v>47</v>
      </c>
      <c r="C78" s="29" t="s">
        <v>58</v>
      </c>
      <c r="D78" s="1" t="s">
        <v>135</v>
      </c>
      <c r="E78" s="1"/>
      <c r="F78" s="3"/>
      <c r="G78" s="5">
        <v>10370.450000000001</v>
      </c>
      <c r="H78" s="2"/>
      <c r="I78" s="2">
        <v>74.83</v>
      </c>
      <c r="J78" s="2">
        <v>0.99</v>
      </c>
      <c r="K78" s="2"/>
      <c r="L78" s="2"/>
      <c r="M78" s="26">
        <f>Таблица2[[#This Row],[Сумма Долл]]*Таблица2[[#This Row],[Курс ДОЛЛ]]</f>
        <v>776020.77350000001</v>
      </c>
      <c r="N7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783859.36717171723</v>
      </c>
      <c r="O7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10370.450000000001</v>
      </c>
      <c r="P7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7838.5936717172153</v>
      </c>
      <c r="Q78" s="30">
        <v>800021.3</v>
      </c>
      <c r="R78" s="12">
        <f>Таблица2[[#This Row],[Сумма в руб]]-Таблица2[[#This Row],[Оплата от клиента]]</f>
        <v>-16161.932828282821</v>
      </c>
      <c r="S78" s="32">
        <v>44389</v>
      </c>
      <c r="T78" s="32" t="s">
        <v>130</v>
      </c>
      <c r="U78" s="12" t="s">
        <v>31</v>
      </c>
      <c r="V78" s="2"/>
      <c r="W78" s="28">
        <v>74.83</v>
      </c>
      <c r="X78" s="9">
        <v>10370</v>
      </c>
      <c r="Y78" s="16"/>
      <c r="Z78" s="2"/>
      <c r="AA78" s="26">
        <f>Таблица2[[#This Row],[Сумма перевода Долл/Евро]]*Таблица2[[#This Row],[Курс ДОЛЛ перевод]]+Таблица2[[#This Row],[Сумма за перевод руб]]</f>
        <v>783825.69367171719</v>
      </c>
      <c r="AB7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0.4500000000007276</v>
      </c>
      <c r="AC78" s="9"/>
      <c r="AD78" s="41"/>
    </row>
    <row r="79" spans="1:30" x14ac:dyDescent="0.25">
      <c r="A79" s="6">
        <v>44389</v>
      </c>
      <c r="B79" s="2" t="s">
        <v>42</v>
      </c>
      <c r="C79" s="2" t="s">
        <v>128</v>
      </c>
      <c r="D79" s="1" t="s">
        <v>136</v>
      </c>
      <c r="E79" s="1"/>
      <c r="F79" s="3"/>
      <c r="G79" s="5">
        <v>38994</v>
      </c>
      <c r="H79" s="2"/>
      <c r="I79" s="2">
        <v>75.599999999999994</v>
      </c>
      <c r="J79" s="2">
        <v>0.98499999999999999</v>
      </c>
      <c r="K79" s="2"/>
      <c r="L79" s="2"/>
      <c r="M79" s="26">
        <f>Таблица2[[#This Row],[Сумма Долл]]*Таблица2[[#This Row],[Курс ДОЛЛ]]</f>
        <v>2947946.4</v>
      </c>
      <c r="N7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2992838.9847715735</v>
      </c>
      <c r="O7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39232.717593824862</v>
      </c>
      <c r="P7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44892.584771573544</v>
      </c>
      <c r="Q79" s="30">
        <v>2992838.98</v>
      </c>
      <c r="R79" s="12">
        <f>Таблица2[[#This Row],[Сумма в руб]]-Таблица2[[#This Row],[Оплата от клиента]]</f>
        <v>4.771573469042778E-3</v>
      </c>
      <c r="S79" s="32">
        <v>44389</v>
      </c>
      <c r="T79" s="32" t="s">
        <v>130</v>
      </c>
      <c r="U79" s="12" t="s">
        <v>31</v>
      </c>
      <c r="V79" s="2"/>
      <c r="W79" s="28">
        <v>75.14</v>
      </c>
      <c r="X79" s="9">
        <v>38994</v>
      </c>
      <c r="Y79" s="16"/>
      <c r="Z79" s="10">
        <v>44390</v>
      </c>
      <c r="AA79" s="26">
        <f>Таблица2[[#This Row],[Сумма перевода Долл/Евро]]*Таблица2[[#This Row],[Курс ДОЛЛ перевод]]+Таблица2[[#This Row],[Сумма за перевод руб]]</f>
        <v>2974901.7447715737</v>
      </c>
      <c r="AB7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238.71759382486198</v>
      </c>
      <c r="AC79" s="9"/>
      <c r="AD79" s="41"/>
    </row>
    <row r="80" spans="1:30" x14ac:dyDescent="0.25">
      <c r="A80" s="6">
        <v>44389</v>
      </c>
      <c r="B80" s="2" t="s">
        <v>104</v>
      </c>
      <c r="C80" s="2" t="s">
        <v>105</v>
      </c>
      <c r="D80" s="1"/>
      <c r="E80" s="1"/>
      <c r="F80" s="3"/>
      <c r="G80" s="5">
        <v>12205</v>
      </c>
      <c r="H80" s="2"/>
      <c r="I80" s="2">
        <v>75.599999999999994</v>
      </c>
      <c r="J80" s="2">
        <v>0.97</v>
      </c>
      <c r="K80" s="2"/>
      <c r="L80" s="2"/>
      <c r="M80" s="26">
        <f>Таблица2[[#This Row],[Сумма Долл]]*Таблица2[[#This Row],[Курс ДОЛЛ]]</f>
        <v>922697.99999999988</v>
      </c>
      <c r="N8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951235.05154639168</v>
      </c>
      <c r="O8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12286.258322237016</v>
      </c>
      <c r="P8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28537.051546391798</v>
      </c>
      <c r="Q80" s="30">
        <v>951235.05</v>
      </c>
      <c r="R80" s="12">
        <f>Таблица2[[#This Row],[Сумма в руб]]-Таблица2[[#This Row],[Оплата от клиента]]</f>
        <v>1.5463916352018714E-3</v>
      </c>
      <c r="S80" s="32">
        <v>44390</v>
      </c>
      <c r="T80" s="32" t="s">
        <v>130</v>
      </c>
      <c r="U80" s="12" t="s">
        <v>31</v>
      </c>
      <c r="V80" s="2"/>
      <c r="W80" s="28">
        <v>75.099999999999994</v>
      </c>
      <c r="X80" s="9">
        <v>12205</v>
      </c>
      <c r="Y80" s="16"/>
      <c r="Z80" s="10">
        <v>44390</v>
      </c>
      <c r="AA80" s="26">
        <f>Таблица2[[#This Row],[Сумма перевода Долл/Евро]]*Таблица2[[#This Row],[Курс ДОЛЛ перевод]]+Таблица2[[#This Row],[Сумма за перевод руб]]</f>
        <v>945132.55154639168</v>
      </c>
      <c r="AB8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81.258322237015818</v>
      </c>
      <c r="AC80" s="9"/>
      <c r="AD80" s="41"/>
    </row>
    <row r="81" spans="1:30" x14ac:dyDescent="0.25">
      <c r="A81" s="6">
        <v>44390</v>
      </c>
      <c r="B81" s="29" t="s">
        <v>137</v>
      </c>
      <c r="C81" s="29" t="s">
        <v>138</v>
      </c>
      <c r="D81" s="1"/>
      <c r="E81" s="1"/>
      <c r="F81" s="3"/>
      <c r="G81" s="5">
        <v>210</v>
      </c>
      <c r="H81" s="2"/>
      <c r="I81" s="2">
        <v>75.2</v>
      </c>
      <c r="J81" s="2"/>
      <c r="K81" s="2"/>
      <c r="L81" s="2">
        <v>4500</v>
      </c>
      <c r="M81" s="26">
        <f>Таблица2[[#This Row],[Сумма Долл]]*Таблица2[[#This Row],[Курс ДОЛЛ]]</f>
        <v>15792</v>
      </c>
      <c r="N8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20292</v>
      </c>
      <c r="O8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210.27962716378164</v>
      </c>
      <c r="P8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4500</v>
      </c>
      <c r="Q81" s="30">
        <v>20292</v>
      </c>
      <c r="R81" s="12">
        <f>Таблица2[[#This Row],[Сумма в руб]]-Таблица2[[#This Row],[Оплата от клиента]]</f>
        <v>0</v>
      </c>
      <c r="S81" s="32">
        <v>44390</v>
      </c>
      <c r="T81" s="32" t="s">
        <v>130</v>
      </c>
      <c r="U81" s="12" t="s">
        <v>31</v>
      </c>
      <c r="V81" s="2"/>
      <c r="W81" s="28">
        <v>75.099999999999994</v>
      </c>
      <c r="X81" s="9">
        <v>210</v>
      </c>
      <c r="Y81" s="16"/>
      <c r="Z81" s="10">
        <v>44331</v>
      </c>
      <c r="AA81" s="26">
        <f>Таблица2[[#This Row],[Сумма перевода Долл/Евро]]*Таблица2[[#This Row],[Курс ДОЛЛ перевод]]+Таблица2[[#This Row],[Сумма за перевод руб]]</f>
        <v>20271</v>
      </c>
      <c r="AB8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0.27962716378164032</v>
      </c>
      <c r="AC81" s="41" t="s">
        <v>508</v>
      </c>
      <c r="AD81" s="41"/>
    </row>
    <row r="82" spans="1:30" x14ac:dyDescent="0.25">
      <c r="A82" s="6">
        <v>44390</v>
      </c>
      <c r="B82" s="29" t="s">
        <v>59</v>
      </c>
      <c r="C82" s="29" t="s">
        <v>60</v>
      </c>
      <c r="D82" s="1"/>
      <c r="E82" s="1"/>
      <c r="F82" s="3"/>
      <c r="G82" s="5">
        <v>52920.127</v>
      </c>
      <c r="H82" s="2"/>
      <c r="I82" s="2">
        <v>74.83</v>
      </c>
      <c r="J82" s="2">
        <v>0.99</v>
      </c>
      <c r="K82" s="2"/>
      <c r="L82" s="2"/>
      <c r="M82" s="26">
        <f>Таблица2[[#This Row],[Сумма Долл]]*Таблица2[[#This Row],[Курс ДОЛЛ]]</f>
        <v>3960013.10341</v>
      </c>
      <c r="N82" s="24">
        <v>2000013.24</v>
      </c>
      <c r="O8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52729.868221171775</v>
      </c>
      <c r="P8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-1959999.86341</v>
      </c>
      <c r="Q82" s="30">
        <v>2000013.24</v>
      </c>
      <c r="R82" s="12">
        <f>Таблица2[[#This Row],[Сумма в руб]]-Таблица2[[#This Row],[Оплата от клиента]]</f>
        <v>0</v>
      </c>
      <c r="S82" s="32">
        <v>44392</v>
      </c>
      <c r="T82" s="32" t="s">
        <v>130</v>
      </c>
      <c r="U82" s="12" t="s">
        <v>31</v>
      </c>
      <c r="V82" s="2"/>
      <c r="W82" s="28">
        <v>75.099999999999994</v>
      </c>
      <c r="X82" s="9">
        <v>26365</v>
      </c>
      <c r="Y82" s="16"/>
      <c r="Z82" s="10">
        <v>44331</v>
      </c>
      <c r="AA82" s="26">
        <f>Таблица2[[#This Row],[Сумма перевода Долл/Евро]]*Таблица2[[#This Row],[Курс ДОЛЛ перевод]]+Таблица2[[#This Row],[Сумма за перевод руб]]</f>
        <v>20011.636589999776</v>
      </c>
      <c r="AB8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26364.868221171775</v>
      </c>
      <c r="AC82" s="9"/>
      <c r="AD82" s="41"/>
    </row>
    <row r="83" spans="1:30" x14ac:dyDescent="0.25">
      <c r="A83" s="6">
        <v>44390</v>
      </c>
      <c r="B83" s="29" t="s">
        <v>59</v>
      </c>
      <c r="C83" s="29" t="s">
        <v>60</v>
      </c>
      <c r="D83" s="1"/>
      <c r="E83" s="1"/>
      <c r="F83" s="3"/>
      <c r="G83" s="5">
        <v>52920.127</v>
      </c>
      <c r="H83" s="2"/>
      <c r="I83" s="2">
        <v>74.83</v>
      </c>
      <c r="J83" s="2">
        <v>0.99</v>
      </c>
      <c r="K83" s="2"/>
      <c r="L83" s="2"/>
      <c r="M83" s="26">
        <f>Таблица2[[#This Row],[Сумма Долл]]*Таблица2[[#This Row],[Курс ДОЛЛ]]</f>
        <v>3960013.10341</v>
      </c>
      <c r="N83" s="24">
        <v>2000000</v>
      </c>
      <c r="O8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52800.174712133332</v>
      </c>
      <c r="P83" s="12"/>
      <c r="Q83" s="30">
        <v>2000000</v>
      </c>
      <c r="R83" s="12">
        <f>Таблица2[[#This Row],[Сумма в руб]]-Таблица2[[#This Row],[Оплата от клиента]]</f>
        <v>0</v>
      </c>
      <c r="S83" s="32">
        <v>44390</v>
      </c>
      <c r="T83" s="32" t="s">
        <v>130</v>
      </c>
      <c r="U83" s="12" t="s">
        <v>31</v>
      </c>
      <c r="V83" s="2"/>
      <c r="W83" s="28">
        <v>75</v>
      </c>
      <c r="X83" s="9">
        <v>26364.85</v>
      </c>
      <c r="Y83" s="16"/>
      <c r="Z83" s="10">
        <v>44331</v>
      </c>
      <c r="AA83" s="26">
        <f>Таблица2[[#This Row],[Сумма перевода Долл/Евро]]*Таблица2[[#This Row],[Курс ДОЛЛ перевод]]+Таблица2[[#This Row],[Сумма за перевод руб]]</f>
        <v>1977363.75</v>
      </c>
      <c r="AB8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26435.324712133333</v>
      </c>
      <c r="AC83" s="9"/>
      <c r="AD83" s="41"/>
    </row>
    <row r="84" spans="1:30" x14ac:dyDescent="0.25">
      <c r="A84" s="6">
        <v>44390</v>
      </c>
      <c r="B84" s="29" t="s">
        <v>139</v>
      </c>
      <c r="C84" s="29" t="s">
        <v>140</v>
      </c>
      <c r="D84" s="1"/>
      <c r="E84" s="1"/>
      <c r="F84" s="3"/>
      <c r="G84" s="5">
        <v>14300</v>
      </c>
      <c r="H84" s="2"/>
      <c r="I84" s="2">
        <v>74.930000000000007</v>
      </c>
      <c r="J84" s="2">
        <v>0.97</v>
      </c>
      <c r="K84" s="2"/>
      <c r="L84" s="2"/>
      <c r="M84" s="26">
        <f>Таблица2[[#This Row],[Сумма Долл]]*Таблица2[[#This Row],[Курс ДОЛЛ]]</f>
        <v>1071499</v>
      </c>
      <c r="N8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1104638.1443298969</v>
      </c>
      <c r="O8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14267.629826897472</v>
      </c>
      <c r="P8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33139.144329896895</v>
      </c>
      <c r="Q84" s="30">
        <v>800000</v>
      </c>
      <c r="R84" s="24">
        <f>Таблица2[[#This Row],[Сумма в руб]]-Таблица2[[#This Row],[Оплата от клиента]]</f>
        <v>304638.1443298969</v>
      </c>
      <c r="S84" s="32">
        <v>44390</v>
      </c>
      <c r="T84" s="32" t="s">
        <v>130</v>
      </c>
      <c r="U84" s="12" t="s">
        <v>31</v>
      </c>
      <c r="V84" s="2"/>
      <c r="W84" s="28">
        <v>75.099999999999994</v>
      </c>
      <c r="X84" s="9">
        <v>14300</v>
      </c>
      <c r="Y84" s="16"/>
      <c r="Z84" s="10">
        <v>44396</v>
      </c>
      <c r="AA84" s="26">
        <f>Таблица2[[#This Row],[Сумма перевода Долл/Евро]]*Таблица2[[#This Row],[Курс ДОЛЛ перевод]]+Таблица2[[#This Row],[Сумма за перевод руб]]</f>
        <v>1107069.1443298969</v>
      </c>
      <c r="AB8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-32.370173102528497</v>
      </c>
      <c r="AC84" s="9"/>
      <c r="AD84" s="41"/>
    </row>
    <row r="85" spans="1:30" x14ac:dyDescent="0.25">
      <c r="A85" s="6">
        <v>44390</v>
      </c>
      <c r="B85" s="29" t="s">
        <v>139</v>
      </c>
      <c r="C85" s="29" t="s">
        <v>140</v>
      </c>
      <c r="D85" s="1"/>
      <c r="E85" s="1"/>
      <c r="F85" s="3"/>
      <c r="G85" s="5">
        <v>14300</v>
      </c>
      <c r="H85" s="2"/>
      <c r="I85" s="2">
        <v>74.930000000000007</v>
      </c>
      <c r="J85" s="2">
        <v>0.97</v>
      </c>
      <c r="K85" s="2"/>
      <c r="L85" s="2"/>
      <c r="M85" s="26">
        <f>Таблица2[[#This Row],[Сумма Долл]]*Таблица2[[#This Row],[Курс ДОЛЛ]]</f>
        <v>1071499</v>
      </c>
      <c r="N8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1104638.1443298969</v>
      </c>
      <c r="O8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14299.999999999998</v>
      </c>
      <c r="P85" s="12"/>
      <c r="Q85" s="30">
        <v>304638.14</v>
      </c>
      <c r="R85" s="24">
        <f>Таблица2[[#This Row],[Сумма в руб]]-Таблица2[[#This Row],[Оплата от клиента]]</f>
        <v>800000.00432989688</v>
      </c>
      <c r="S85" s="32" t="s">
        <v>141</v>
      </c>
      <c r="T85" s="32" t="s">
        <v>141</v>
      </c>
      <c r="U85" s="12" t="s">
        <v>141</v>
      </c>
      <c r="V85" s="2"/>
      <c r="W85" s="28"/>
      <c r="X85" s="9"/>
      <c r="Y85" s="16"/>
      <c r="Z85" s="2"/>
      <c r="AA85" s="26">
        <f>Таблица2[[#This Row],[Сумма перевода Долл/Евро]]*Таблица2[[#This Row],[Курс ДОЛЛ перевод]]+Таблица2[[#This Row],[Сумма за перевод руб]]</f>
        <v>0</v>
      </c>
      <c r="AB85" s="9"/>
      <c r="AC85" s="9"/>
      <c r="AD85" s="41"/>
    </row>
    <row r="86" spans="1:30" x14ac:dyDescent="0.25">
      <c r="A86" s="6">
        <v>44391</v>
      </c>
      <c r="B86" s="29" t="s">
        <v>142</v>
      </c>
      <c r="C86" s="29" t="s">
        <v>143</v>
      </c>
      <c r="D86" s="1"/>
      <c r="E86" s="1"/>
      <c r="F86" s="3"/>
      <c r="G86" s="5">
        <v>2000</v>
      </c>
      <c r="H86" s="2"/>
      <c r="I86" s="2">
        <v>75.400000000000006</v>
      </c>
      <c r="J86" s="2"/>
      <c r="K86" s="2">
        <v>80</v>
      </c>
      <c r="L86" s="2"/>
      <c r="M86" s="26">
        <f>Таблица2[[#This Row],[Сумма Долл]]*Таблица2[[#This Row],[Курс ДОЛЛ]]</f>
        <v>150800</v>
      </c>
      <c r="N8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156832</v>
      </c>
      <c r="O8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2007.989347536618</v>
      </c>
      <c r="P8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6008</v>
      </c>
      <c r="Q86" s="30">
        <v>156832</v>
      </c>
      <c r="R86" s="12">
        <f>Таблица2[[#This Row],[Сумма в руб]]-Таблица2[[#This Row],[Оплата от клиента]]</f>
        <v>0</v>
      </c>
      <c r="S86" s="32">
        <v>44391</v>
      </c>
      <c r="T86" s="32" t="s">
        <v>130</v>
      </c>
      <c r="U86" s="12" t="s">
        <v>31</v>
      </c>
      <c r="V86" s="2"/>
      <c r="W86" s="28">
        <v>75.099999999999994</v>
      </c>
      <c r="X86" s="9">
        <v>2000</v>
      </c>
      <c r="Y86" s="16"/>
      <c r="Z86" s="10">
        <v>44331</v>
      </c>
      <c r="AA86" s="26">
        <f>Таблица2[[#This Row],[Сумма перевода Долл/Евро]]*Таблица2[[#This Row],[Курс ДОЛЛ перевод]]+Таблица2[[#This Row],[Сумма за перевод руб]]</f>
        <v>156208</v>
      </c>
      <c r="AB8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7.98934753661797</v>
      </c>
      <c r="AC86" s="9" t="s">
        <v>361</v>
      </c>
      <c r="AD86" s="41"/>
    </row>
    <row r="87" spans="1:30" x14ac:dyDescent="0.25">
      <c r="A87" s="6">
        <v>44391</v>
      </c>
      <c r="B87" s="2" t="s">
        <v>72</v>
      </c>
      <c r="C87" s="2" t="s">
        <v>73</v>
      </c>
      <c r="D87" s="1"/>
      <c r="E87" s="1"/>
      <c r="F87" s="3"/>
      <c r="G87" s="5">
        <v>50000</v>
      </c>
      <c r="H87" s="2"/>
      <c r="I87" s="2">
        <v>75.400000000000006</v>
      </c>
      <c r="J87" s="2">
        <v>0.95</v>
      </c>
      <c r="K87" s="2"/>
      <c r="L87" s="2"/>
      <c r="M87" s="26">
        <f>Таблица2[[#This Row],[Сумма Долл]]*Таблица2[[#This Row],[Курс ДОЛЛ]]</f>
        <v>3770000.0000000005</v>
      </c>
      <c r="N8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3968421.0526315798</v>
      </c>
      <c r="O8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49973.488865323445</v>
      </c>
      <c r="P8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198421.05263157934</v>
      </c>
      <c r="Q87" s="30">
        <v>3968421.05</v>
      </c>
      <c r="R87" s="12">
        <f>Таблица2[[#This Row],[Сумма в руб]]-Таблица2[[#This Row],[Оплата от клиента]]</f>
        <v>2.6315799914300442E-3</v>
      </c>
      <c r="S87" s="32">
        <v>44396</v>
      </c>
      <c r="T87" s="32" t="s">
        <v>107</v>
      </c>
      <c r="U87" s="24" t="s">
        <v>31</v>
      </c>
      <c r="V87" s="2"/>
      <c r="W87" s="28">
        <v>75.44</v>
      </c>
      <c r="X87" s="9">
        <v>50073</v>
      </c>
      <c r="Y87" s="16"/>
      <c r="Z87" s="2"/>
      <c r="AA87" s="26">
        <f>Таблица2[[#This Row],[Сумма перевода Долл/Евро]]*Таблица2[[#This Row],[Курс ДОЛЛ перевод]]+Таблица2[[#This Row],[Сумма за перевод руб]]</f>
        <v>3975928.1726315795</v>
      </c>
      <c r="AB8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-99.51113467655523</v>
      </c>
      <c r="AC87" s="9"/>
      <c r="AD87" s="41"/>
    </row>
    <row r="88" spans="1:30" ht="30" x14ac:dyDescent="0.25">
      <c r="A88" s="6">
        <v>44392</v>
      </c>
      <c r="B88" s="29" t="s">
        <v>144</v>
      </c>
      <c r="C88" s="29" t="s">
        <v>145</v>
      </c>
      <c r="D88" s="25" t="s">
        <v>146</v>
      </c>
      <c r="E88" s="25"/>
      <c r="F88" s="3">
        <v>103740</v>
      </c>
      <c r="G88" s="5">
        <v>16260</v>
      </c>
      <c r="H88" s="2">
        <v>6.38</v>
      </c>
      <c r="I88" s="2">
        <v>75.3</v>
      </c>
      <c r="J88" s="2">
        <v>0.97</v>
      </c>
      <c r="K88" s="2"/>
      <c r="L88" s="2"/>
      <c r="M88" s="26">
        <f>Таблица2[[#This Row],[Сумма Долл]]*Таблица2[[#This Row],[Курс ДОЛЛ]]</f>
        <v>1224378</v>
      </c>
      <c r="N8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1262245.3608247424</v>
      </c>
      <c r="O8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16303.302263648469</v>
      </c>
      <c r="P8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37867.360824742354</v>
      </c>
      <c r="Q88" s="30">
        <v>1262245.3600000001</v>
      </c>
      <c r="R88" s="12">
        <f>Таблица2[[#This Row],[Сумма в руб]]-Таблица2[[#This Row],[Оплата от клиента]]</f>
        <v>8.2474225200712681E-4</v>
      </c>
      <c r="S88" s="32">
        <v>44392</v>
      </c>
      <c r="T88" s="32" t="s">
        <v>107</v>
      </c>
      <c r="U88" s="24" t="s">
        <v>31</v>
      </c>
      <c r="V88" s="2"/>
      <c r="W88" s="28">
        <v>75.099999999999994</v>
      </c>
      <c r="X88" s="9">
        <v>16260</v>
      </c>
      <c r="Y88" s="16"/>
      <c r="Z88" s="10">
        <v>44331</v>
      </c>
      <c r="AA88" s="26">
        <f>Таблица2[[#This Row],[Сумма перевода Долл/Евро]]*Таблица2[[#This Row],[Курс ДОЛЛ перевод]]+Таблица2[[#This Row],[Сумма за перевод руб]]</f>
        <v>1258993.3608247424</v>
      </c>
      <c r="AB8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43.302263648469307</v>
      </c>
      <c r="AC88" s="9"/>
      <c r="AD88" s="41"/>
    </row>
    <row r="89" spans="1:30" x14ac:dyDescent="0.25">
      <c r="A89" s="6">
        <v>44393</v>
      </c>
      <c r="B89" s="2" t="s">
        <v>147</v>
      </c>
      <c r="C89" s="2" t="s">
        <v>148</v>
      </c>
      <c r="D89" s="1" t="s">
        <v>149</v>
      </c>
      <c r="E89" s="1"/>
      <c r="F89" s="3"/>
      <c r="G89" s="5">
        <v>2868.22</v>
      </c>
      <c r="H89" s="2"/>
      <c r="I89" s="2">
        <v>75.23</v>
      </c>
      <c r="J89" s="2">
        <v>0.97</v>
      </c>
      <c r="K89" s="2"/>
      <c r="L89" s="2"/>
      <c r="M89" s="26">
        <f>Таблица2[[#This Row],[Сумма Долл]]*Таблица2[[#This Row],[Курс ДОЛЛ]]</f>
        <v>215776.1906</v>
      </c>
      <c r="N8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222449.68103092784</v>
      </c>
      <c r="O8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2868.22</v>
      </c>
      <c r="P8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6673.4904309278354</v>
      </c>
      <c r="Q89" s="30"/>
      <c r="R89" s="12">
        <f>Таблица2[[#This Row],[Сумма в руб]]-Таблица2[[#This Row],[Оплата от клиента]]</f>
        <v>222449.68103092784</v>
      </c>
      <c r="S89" s="32"/>
      <c r="T89" s="32"/>
      <c r="U89" s="12"/>
      <c r="V89" s="2"/>
      <c r="W89" s="28"/>
      <c r="X89" s="9"/>
      <c r="Y89" s="16"/>
      <c r="Z89" s="2"/>
      <c r="AA89" s="26">
        <f>Таблица2[[#This Row],[Сумма перевода Долл/Евро]]*Таблица2[[#This Row],[Курс ДОЛЛ перевод]]+Таблица2[[#This Row],[Сумма за перевод руб]]</f>
        <v>6673.4904309278354</v>
      </c>
      <c r="AB8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2868.22</v>
      </c>
      <c r="AC89" s="9"/>
      <c r="AD89" s="41"/>
    </row>
    <row r="90" spans="1:30" x14ac:dyDescent="0.25">
      <c r="A90" s="6">
        <v>44393</v>
      </c>
      <c r="B90" s="29" t="s">
        <v>147</v>
      </c>
      <c r="C90" s="29" t="s">
        <v>148</v>
      </c>
      <c r="D90" s="1" t="s">
        <v>150</v>
      </c>
      <c r="E90" s="1"/>
      <c r="F90" s="3"/>
      <c r="G90" s="5">
        <v>750</v>
      </c>
      <c r="H90" s="2"/>
      <c r="I90" s="2">
        <v>75.23</v>
      </c>
      <c r="J90" s="2">
        <v>0.97</v>
      </c>
      <c r="K90" s="2"/>
      <c r="L90" s="2"/>
      <c r="M90" s="26">
        <f>Таблица2[[#This Row],[Сумма Долл]]*Таблица2[[#This Row],[Курс ДОЛЛ]]</f>
        <v>56422.5</v>
      </c>
      <c r="N9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58167.525773195877</v>
      </c>
      <c r="O9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757.85762256548014</v>
      </c>
      <c r="P9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1745.0257731958773</v>
      </c>
      <c r="Q90" s="30">
        <v>58167.53</v>
      </c>
      <c r="R90" s="12">
        <f>Таблица2[[#This Row],[Сумма в руб]]-Таблица2[[#This Row],[Оплата от клиента]]</f>
        <v>-4.2268041215720586E-3</v>
      </c>
      <c r="S90" s="32">
        <v>44400</v>
      </c>
      <c r="T90" s="32" t="s">
        <v>130</v>
      </c>
      <c r="U90" s="12" t="s">
        <v>31</v>
      </c>
      <c r="V90" s="2"/>
      <c r="W90" s="28">
        <v>74.45</v>
      </c>
      <c r="X90" s="9">
        <v>750</v>
      </c>
      <c r="Y90" s="16"/>
      <c r="Z90" s="10">
        <v>44400</v>
      </c>
      <c r="AA90" s="26">
        <f>Таблица2[[#This Row],[Сумма перевода Долл/Евро]]*Таблица2[[#This Row],[Курс ДОЛЛ перевод]]+Таблица2[[#This Row],[Сумма за перевод руб]]</f>
        <v>57582.525773195877</v>
      </c>
      <c r="AB9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7.8576225654801419</v>
      </c>
      <c r="AC90" s="9"/>
      <c r="AD90" s="41"/>
    </row>
    <row r="91" spans="1:30" x14ac:dyDescent="0.25">
      <c r="A91" s="6">
        <v>44396</v>
      </c>
      <c r="B91" s="29" t="s">
        <v>32</v>
      </c>
      <c r="C91" s="29" t="s">
        <v>33</v>
      </c>
      <c r="D91" s="1" t="s">
        <v>151</v>
      </c>
      <c r="E91" s="1"/>
      <c r="F91" s="3"/>
      <c r="G91" s="5">
        <v>10382.5</v>
      </c>
      <c r="H91" s="2"/>
      <c r="I91" s="2">
        <v>75.290000000000006</v>
      </c>
      <c r="J91" s="2">
        <v>0.99</v>
      </c>
      <c r="K91" s="2"/>
      <c r="L91" s="2"/>
      <c r="M91" s="26">
        <f>Таблица2[[#This Row],[Сумма Долл]]*Таблица2[[#This Row],[Курс ДОЛЛ]]</f>
        <v>781698.42500000005</v>
      </c>
      <c r="N9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789594.36868686869</v>
      </c>
      <c r="O9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10386.638652670741</v>
      </c>
      <c r="P9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7895.9436868686462</v>
      </c>
      <c r="Q91" s="30">
        <v>789594.37</v>
      </c>
      <c r="R91" s="12">
        <f>Таблица2[[#This Row],[Сумма в руб]]-Таблица2[[#This Row],[Оплата от клиента]]</f>
        <v>-1.3131313025951385E-3</v>
      </c>
      <c r="S91" s="32">
        <v>44397</v>
      </c>
      <c r="T91" s="32" t="s">
        <v>130</v>
      </c>
      <c r="U91" s="12" t="s">
        <v>31</v>
      </c>
      <c r="V91" s="2"/>
      <c r="W91" s="28">
        <v>75.260000000000005</v>
      </c>
      <c r="X91" s="9">
        <v>10382.5</v>
      </c>
      <c r="Y91" s="16"/>
      <c r="Z91" s="10">
        <v>44398</v>
      </c>
      <c r="AA91" s="26">
        <f>Таблица2[[#This Row],[Сумма перевода Долл/Евро]]*Таблица2[[#This Row],[Курс ДОЛЛ перевод]]+Таблица2[[#This Row],[Сумма за перевод руб]]</f>
        <v>789282.89368686872</v>
      </c>
      <c r="AB9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4.1386526707410667</v>
      </c>
      <c r="AC91" s="9"/>
      <c r="AD91" s="41"/>
    </row>
    <row r="92" spans="1:30" x14ac:dyDescent="0.25">
      <c r="A92" s="6">
        <v>44396</v>
      </c>
      <c r="B92" s="29" t="s">
        <v>83</v>
      </c>
      <c r="C92" s="29" t="s">
        <v>84</v>
      </c>
      <c r="D92" s="1" t="s">
        <v>152</v>
      </c>
      <c r="E92" s="1"/>
      <c r="F92" s="3">
        <v>3150</v>
      </c>
      <c r="G92" s="5">
        <f>Таблица2[[#This Row],[Сумма ЮА]]/Таблица2[[#This Row],[Курс ЮА]]</f>
        <v>493.73040752351096</v>
      </c>
      <c r="H92" s="2">
        <v>6.38</v>
      </c>
      <c r="I92" s="2">
        <v>75.290000000000006</v>
      </c>
      <c r="J92" s="2"/>
      <c r="K92" s="2">
        <v>80</v>
      </c>
      <c r="L92" s="2"/>
      <c r="M92" s="26">
        <f>Таблица2[[#This Row],[Сумма Долл]]*Таблица2[[#This Row],[Курс ДОЛЛ]]</f>
        <v>37172.962382445141</v>
      </c>
      <c r="N9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43196.162382445145</v>
      </c>
      <c r="O9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492.879373938546</v>
      </c>
      <c r="P9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6033.6</v>
      </c>
      <c r="Q92" s="30">
        <v>43196.160000000003</v>
      </c>
      <c r="R92" s="12">
        <f>Таблица2[[#This Row],[Сумма в руб]]-Таблица2[[#This Row],[Оплата от клиента]]</f>
        <v>2.3824451418477111E-3</v>
      </c>
      <c r="S92" s="32">
        <v>44397</v>
      </c>
      <c r="T92" s="32" t="s">
        <v>130</v>
      </c>
      <c r="U92" s="12" t="s">
        <v>31</v>
      </c>
      <c r="V92" s="2"/>
      <c r="W92" s="28">
        <v>75.42</v>
      </c>
      <c r="X92" s="9">
        <v>493</v>
      </c>
      <c r="Y92" s="16"/>
      <c r="Z92" s="10">
        <v>44397</v>
      </c>
      <c r="AA92" s="26">
        <f>Таблица2[[#This Row],[Сумма перевода Долл/Евро]]*Таблица2[[#This Row],[Курс ДОЛЛ перевод]]+Таблица2[[#This Row],[Сумма за перевод руб]]</f>
        <v>43215.659999999996</v>
      </c>
      <c r="AB9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-0.12062606145400423</v>
      </c>
      <c r="AC92" s="9"/>
      <c r="AD92" s="41"/>
    </row>
    <row r="93" spans="1:30" ht="60" x14ac:dyDescent="0.25">
      <c r="A93" s="6">
        <v>44396</v>
      </c>
      <c r="B93" s="29" t="s">
        <v>55</v>
      </c>
      <c r="C93" s="29" t="s">
        <v>56</v>
      </c>
      <c r="D93" s="33" t="s">
        <v>153</v>
      </c>
      <c r="E93" s="33"/>
      <c r="F93" s="3"/>
      <c r="G93" s="5">
        <v>2065</v>
      </c>
      <c r="H93" s="2"/>
      <c r="I93" s="2">
        <v>75.290000000000006</v>
      </c>
      <c r="J93" s="2">
        <v>0.97</v>
      </c>
      <c r="K93" s="2"/>
      <c r="L93" s="2"/>
      <c r="M93" s="26">
        <f>Таблица2[[#This Row],[Сумма Долл]]*Таблица2[[#This Row],[Курс ДОЛЛ]]</f>
        <v>155473.85</v>
      </c>
      <c r="N9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160282.31958762888</v>
      </c>
      <c r="O9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2088.2988582941571</v>
      </c>
      <c r="P9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4808.4695876288752</v>
      </c>
      <c r="Q93" s="30">
        <v>160282.32</v>
      </c>
      <c r="R93" s="12">
        <f>Таблица2[[#This Row],[Сумма в руб]]-Таблица2[[#This Row],[Оплата от клиента]]</f>
        <v>-4.123711260035634E-4</v>
      </c>
      <c r="S93" s="32">
        <v>44400</v>
      </c>
      <c r="T93" s="32" t="s">
        <v>130</v>
      </c>
      <c r="U93" s="12" t="s">
        <v>31</v>
      </c>
      <c r="V93" s="2"/>
      <c r="W93" s="28">
        <v>74.45</v>
      </c>
      <c r="X93" s="9">
        <v>2065</v>
      </c>
      <c r="Y93" s="16"/>
      <c r="Z93" s="10">
        <v>44400</v>
      </c>
      <c r="AA93" s="26">
        <f>Таблица2[[#This Row],[Сумма перевода Долл/Евро]]*Таблица2[[#This Row],[Курс ДОЛЛ перевод]]+Таблица2[[#This Row],[Сумма за перевод руб]]</f>
        <v>158547.71958762888</v>
      </c>
      <c r="AB9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23.298858294157071</v>
      </c>
      <c r="AC93" s="9"/>
      <c r="AD93" s="41"/>
    </row>
    <row r="94" spans="1:30" ht="60" x14ac:dyDescent="0.25">
      <c r="A94" s="6">
        <v>44396</v>
      </c>
      <c r="B94" s="29" t="s">
        <v>55</v>
      </c>
      <c r="C94" s="29" t="s">
        <v>56</v>
      </c>
      <c r="D94" s="33" t="s">
        <v>154</v>
      </c>
      <c r="E94" s="33"/>
      <c r="F94" s="3"/>
      <c r="G94" s="5">
        <v>2250</v>
      </c>
      <c r="H94" s="2"/>
      <c r="I94" s="2">
        <v>75.290000000000006</v>
      </c>
      <c r="J94" s="2">
        <v>0.97</v>
      </c>
      <c r="K94" s="2"/>
      <c r="L94" s="2"/>
      <c r="M94" s="26">
        <f>Таблица2[[#This Row],[Сумма Долл]]*Таблица2[[#This Row],[Курс ДОЛЛ]]</f>
        <v>169402.5</v>
      </c>
      <c r="N9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174641.7525773196</v>
      </c>
      <c r="O9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2275.3861652115511</v>
      </c>
      <c r="P9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5239.2525773195957</v>
      </c>
      <c r="Q94" s="30">
        <v>174641.75</v>
      </c>
      <c r="R94" s="12">
        <f>Таблица2[[#This Row],[Сумма в руб]]-Таблица2[[#This Row],[Оплата от клиента]]</f>
        <v>2.5773195957299322E-3</v>
      </c>
      <c r="S94" s="32">
        <v>44400</v>
      </c>
      <c r="T94" s="32" t="s">
        <v>130</v>
      </c>
      <c r="U94" s="12" t="s">
        <v>31</v>
      </c>
      <c r="V94" s="2"/>
      <c r="W94" s="28">
        <v>74.45</v>
      </c>
      <c r="X94" s="9">
        <v>2250</v>
      </c>
      <c r="Y94" s="16"/>
      <c r="Z94" s="10">
        <v>44400</v>
      </c>
      <c r="AA94" s="26">
        <f>Таблица2[[#This Row],[Сумма перевода Долл/Евро]]*Таблица2[[#This Row],[Курс ДОЛЛ перевод]]+Таблица2[[#This Row],[Сумма за перевод руб]]</f>
        <v>172751.7525773196</v>
      </c>
      <c r="AB9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25.386165211551088</v>
      </c>
      <c r="AC94" s="9"/>
      <c r="AD94" s="41"/>
    </row>
    <row r="95" spans="1:30" x14ac:dyDescent="0.25">
      <c r="A95" s="6">
        <v>44398</v>
      </c>
      <c r="B95" s="29" t="s">
        <v>155</v>
      </c>
      <c r="C95" s="29" t="s">
        <v>77</v>
      </c>
      <c r="D95" s="1" t="s">
        <v>156</v>
      </c>
      <c r="E95" s="1"/>
      <c r="F95" s="3"/>
      <c r="G95" s="5">
        <v>6650</v>
      </c>
      <c r="H95" s="2"/>
      <c r="I95" s="2">
        <v>75.459999999999994</v>
      </c>
      <c r="J95" s="2">
        <v>0.97</v>
      </c>
      <c r="K95" s="2"/>
      <c r="L95" s="2"/>
      <c r="M95" s="26">
        <f>Таблица2[[#This Row],[Сумма Долл]]*Таблица2[[#This Row],[Курс ДОЛЛ]]</f>
        <v>501808.99999999994</v>
      </c>
      <c r="N9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517328.86597938137</v>
      </c>
      <c r="O9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6800.5014229570388</v>
      </c>
      <c r="P9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15519.865979381429</v>
      </c>
      <c r="Q95" s="30">
        <v>517328.87</v>
      </c>
      <c r="R95" s="12">
        <f>Таблица2[[#This Row],[Сумма в руб]]-Таблица2[[#This Row],[Оплата от клиента]]</f>
        <v>-4.0206186240538955E-3</v>
      </c>
      <c r="S95" s="32">
        <v>44407</v>
      </c>
      <c r="T95" s="32" t="s">
        <v>130</v>
      </c>
      <c r="U95" s="24" t="s">
        <v>31</v>
      </c>
      <c r="V95" s="2"/>
      <c r="W95" s="28">
        <v>73.790000000000006</v>
      </c>
      <c r="X95" s="9">
        <v>6690</v>
      </c>
      <c r="Y95" s="16"/>
      <c r="Z95" s="10">
        <v>44407</v>
      </c>
      <c r="AA95" s="26">
        <f>Таблица2[[#This Row],[Сумма перевода Долл/Евро]]*Таблица2[[#This Row],[Курс ДОЛЛ перевод]]+Таблица2[[#This Row],[Сумма за перевод руб]]</f>
        <v>509174.96597938146</v>
      </c>
      <c r="AB9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110.50142295703881</v>
      </c>
      <c r="AC95" s="9"/>
      <c r="AD95" s="41"/>
    </row>
    <row r="96" spans="1:30" ht="30" x14ac:dyDescent="0.25">
      <c r="A96" s="6">
        <v>44398</v>
      </c>
      <c r="B96" s="29" t="s">
        <v>147</v>
      </c>
      <c r="C96" s="29" t="s">
        <v>148</v>
      </c>
      <c r="D96" s="1" t="s">
        <v>157</v>
      </c>
      <c r="E96" s="1"/>
      <c r="F96" s="3"/>
      <c r="G96" s="5">
        <v>3124.03</v>
      </c>
      <c r="H96" s="2"/>
      <c r="I96" s="2">
        <v>75.459999999999994</v>
      </c>
      <c r="J96" s="2">
        <v>0.97</v>
      </c>
      <c r="K96" s="2"/>
      <c r="L96" s="2"/>
      <c r="M96" s="26">
        <f>Таблица2[[#This Row],[Сумма Долл]]*Таблица2[[#This Row],[Курс ДОЛЛ]]</f>
        <v>235739.30379999999</v>
      </c>
      <c r="N96" s="24">
        <v>241206.57</v>
      </c>
      <c r="O9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3166.4110651443921</v>
      </c>
      <c r="P9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5467.2662000000128</v>
      </c>
      <c r="Q96" s="36">
        <v>241206.57</v>
      </c>
      <c r="R96" s="12">
        <f>Таблица2[[#This Row],[Сумма в руб]]-Таблица2[[#This Row],[Оплата от клиента]]</f>
        <v>0</v>
      </c>
      <c r="S96" s="32">
        <v>44400</v>
      </c>
      <c r="T96" s="32" t="s">
        <v>130</v>
      </c>
      <c r="U96" s="24" t="s">
        <v>31</v>
      </c>
      <c r="V96" s="2"/>
      <c r="W96" s="28">
        <v>74.45</v>
      </c>
      <c r="X96" s="9">
        <v>3124.03</v>
      </c>
      <c r="Y96" s="16"/>
      <c r="Z96" s="10">
        <v>44400</v>
      </c>
      <c r="AA96" s="26">
        <f>Таблица2[[#This Row],[Сумма перевода Долл/Евро]]*Таблица2[[#This Row],[Курс ДОЛЛ перевод]]+Таблица2[[#This Row],[Сумма за перевод руб]]</f>
        <v>238051.29970000003</v>
      </c>
      <c r="AB9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42.381065144391869</v>
      </c>
      <c r="AC96" s="9"/>
      <c r="AD96" s="41"/>
    </row>
    <row r="97" spans="1:30" ht="45" x14ac:dyDescent="0.25">
      <c r="A97" s="6">
        <v>44399</v>
      </c>
      <c r="B97" s="29" t="s">
        <v>158</v>
      </c>
      <c r="C97" s="29" t="s">
        <v>159</v>
      </c>
      <c r="D97" s="1" t="s">
        <v>160</v>
      </c>
      <c r="E97" s="1"/>
      <c r="F97" s="3">
        <v>29300</v>
      </c>
      <c r="G97" s="5">
        <f>Таблица2[[#This Row],[Сумма ЮА]]/Таблица2[[#This Row],[Курс ЮА]]</f>
        <v>4592.4764890282131</v>
      </c>
      <c r="H97" s="2">
        <v>6.38</v>
      </c>
      <c r="I97" s="2">
        <v>74.7</v>
      </c>
      <c r="J97" s="2">
        <v>0.97</v>
      </c>
      <c r="K97" s="2"/>
      <c r="L97" s="2"/>
      <c r="M97" s="26">
        <f>Таблица2[[#This Row],[Сумма Долл]]*Таблица2[[#This Row],[Курс ДОЛЛ]]</f>
        <v>343057.99373040756</v>
      </c>
      <c r="N9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353668.03477361606</v>
      </c>
      <c r="O9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4607.8978338536945</v>
      </c>
      <c r="P9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10610.041043208505</v>
      </c>
      <c r="Q97" s="30">
        <v>353668.03</v>
      </c>
      <c r="R97" s="12">
        <f>Таблица2[[#This Row],[Сумма в руб]]-Таблица2[[#This Row],[Оплата от клиента]]</f>
        <v>4.7736160340718925E-3</v>
      </c>
      <c r="S97" s="32">
        <v>44400</v>
      </c>
      <c r="T97" s="32" t="s">
        <v>161</v>
      </c>
      <c r="U97" s="24" t="s">
        <v>31</v>
      </c>
      <c r="V97" s="2">
        <v>6.4</v>
      </c>
      <c r="W97" s="28">
        <v>74.45</v>
      </c>
      <c r="X97" s="9">
        <v>4640</v>
      </c>
      <c r="Y97" s="16">
        <v>29300</v>
      </c>
      <c r="Z97" s="10">
        <v>44400</v>
      </c>
      <c r="AA97" s="26">
        <f>Таблица2[[#This Row],[Сумма перевода Долл/Евро]]*Таблица2[[#This Row],[Курс ДОЛЛ перевод]]+Таблица2[[#This Row],[Сумма за перевод руб]]</f>
        <v>356058.0410432085</v>
      </c>
      <c r="AB9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29.772833853694465</v>
      </c>
      <c r="AC97" s="9"/>
      <c r="AD97" s="41"/>
    </row>
    <row r="98" spans="1:30" x14ac:dyDescent="0.25">
      <c r="A98" s="6">
        <v>44400</v>
      </c>
      <c r="B98" s="29" t="s">
        <v>104</v>
      </c>
      <c r="C98" s="29" t="s">
        <v>105</v>
      </c>
      <c r="D98" s="1" t="s">
        <v>162</v>
      </c>
      <c r="E98" s="1"/>
      <c r="F98" s="3">
        <v>52995</v>
      </c>
      <c r="G98" s="5">
        <f>Таблица2[[#This Row],[Сумма ЮА]]/Таблица2[[#This Row],[Курс ЮА]]</f>
        <v>8306.4263322884017</v>
      </c>
      <c r="H98" s="2">
        <v>6.38</v>
      </c>
      <c r="I98" s="2">
        <v>74.650000000000006</v>
      </c>
      <c r="J98" s="2">
        <v>0.96499999999999997</v>
      </c>
      <c r="K98" s="2"/>
      <c r="L98" s="2"/>
      <c r="M98" s="26">
        <f>Таблица2[[#This Row],[Сумма Долл]]*Таблица2[[#This Row],[Курс ДОЛЛ]]</f>
        <v>620074.72570532921</v>
      </c>
      <c r="N9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642564.48259619612</v>
      </c>
      <c r="O9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8278.701277774755</v>
      </c>
      <c r="P9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22489.756890866905</v>
      </c>
      <c r="Q98" s="30">
        <v>642564.48</v>
      </c>
      <c r="R98" s="12">
        <f>Таблица2[[#This Row],[Сумма в руб]]-Таблица2[[#This Row],[Оплата от клиента]]</f>
        <v>2.5961961364373565E-3</v>
      </c>
      <c r="S98" s="32">
        <v>44403</v>
      </c>
      <c r="T98" s="32" t="s">
        <v>107</v>
      </c>
      <c r="U98" s="24" t="s">
        <v>31</v>
      </c>
      <c r="V98" s="2">
        <v>6.4</v>
      </c>
      <c r="W98" s="28">
        <v>74.900000000000006</v>
      </c>
      <c r="X98" s="9">
        <v>8278.7000000000007</v>
      </c>
      <c r="Y98" s="16"/>
      <c r="Z98" s="2"/>
      <c r="AA98" s="26">
        <f>Таблица2[[#This Row],[Сумма перевода Долл/Евро]]*Таблица2[[#This Row],[Курс ДОЛЛ перевод]]+Таблица2[[#This Row],[Сумма за перевод руб]]</f>
        <v>642564.38689086703</v>
      </c>
      <c r="AB9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8278.701277774755</v>
      </c>
      <c r="AC98" s="9"/>
      <c r="AD98" s="41"/>
    </row>
    <row r="99" spans="1:30" x14ac:dyDescent="0.25">
      <c r="A99" s="6">
        <v>44400</v>
      </c>
      <c r="B99" s="29" t="s">
        <v>100</v>
      </c>
      <c r="C99" s="29" t="s">
        <v>101</v>
      </c>
      <c r="D99" s="1" t="s">
        <v>163</v>
      </c>
      <c r="E99" s="1"/>
      <c r="F99" s="3"/>
      <c r="G99" s="5"/>
      <c r="H99" s="2"/>
      <c r="I99" s="2">
        <v>74.650000000000006</v>
      </c>
      <c r="J99" s="2">
        <v>0.98</v>
      </c>
      <c r="K99" s="2"/>
      <c r="L99" s="2"/>
      <c r="M99" s="26">
        <f>Таблица2[[#This Row],[Сумма Долл]]*Таблица2[[#This Row],[Курс ДОЛЛ]]</f>
        <v>0</v>
      </c>
      <c r="N99" s="24">
        <v>2500005.25</v>
      </c>
      <c r="O9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9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2500005.25</v>
      </c>
      <c r="Q99" s="30">
        <v>2500005.25</v>
      </c>
      <c r="R99" s="12">
        <f>Таблица2[[#This Row],[Сумма в руб]]-Таблица2[[#This Row],[Оплата от клиента]]</f>
        <v>0</v>
      </c>
      <c r="S99" s="32">
        <v>44400</v>
      </c>
      <c r="T99" s="32" t="s">
        <v>164</v>
      </c>
      <c r="U99" s="24" t="s">
        <v>31</v>
      </c>
      <c r="V99" s="2"/>
      <c r="W99" s="28">
        <v>74.45</v>
      </c>
      <c r="X99" s="9">
        <v>32908</v>
      </c>
      <c r="Y99" s="16"/>
      <c r="Z99" s="10">
        <v>44400</v>
      </c>
      <c r="AA99" s="26">
        <f>Таблица2[[#This Row],[Сумма перевода Долл/Евро]]*Таблица2[[#This Row],[Курс ДОЛЛ перевод]]+Таблица2[[#This Row],[Сумма за перевод руб]]</f>
        <v>4950005.8499999996</v>
      </c>
      <c r="AB9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-32908</v>
      </c>
      <c r="AC99" s="9"/>
      <c r="AD99" s="41"/>
    </row>
    <row r="100" spans="1:30" ht="30" x14ac:dyDescent="0.25">
      <c r="A100" s="6">
        <v>44400</v>
      </c>
      <c r="B100" s="29" t="s">
        <v>165</v>
      </c>
      <c r="C100" s="29" t="s">
        <v>62</v>
      </c>
      <c r="D100" s="1" t="s">
        <v>166</v>
      </c>
      <c r="E100" s="1"/>
      <c r="F100" s="3"/>
      <c r="G100" s="5">
        <v>690</v>
      </c>
      <c r="H100" s="2"/>
      <c r="I100" s="2">
        <v>74.650000000000006</v>
      </c>
      <c r="J100" s="2"/>
      <c r="K100" s="2">
        <v>80</v>
      </c>
      <c r="L100" s="2"/>
      <c r="M100" s="26">
        <f>Таблица2[[#This Row],[Сумма Долл]]*Таблица2[[#This Row],[Курс ДОЛЛ]]</f>
        <v>51508.500000000007</v>
      </c>
      <c r="N10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57480.500000000007</v>
      </c>
      <c r="O10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691.85359301544668</v>
      </c>
      <c r="P10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5956</v>
      </c>
      <c r="Q100" s="30">
        <v>57480.5</v>
      </c>
      <c r="R100" s="12">
        <f>Таблица2[[#This Row],[Сумма в руб]]-Таблица2[[#This Row],[Оплата от клиента]]</f>
        <v>0</v>
      </c>
      <c r="S100" s="32">
        <v>44400</v>
      </c>
      <c r="T100" s="32" t="s">
        <v>164</v>
      </c>
      <c r="U100" s="24" t="s">
        <v>31</v>
      </c>
      <c r="V100" s="2"/>
      <c r="W100" s="28">
        <v>74.45</v>
      </c>
      <c r="X100" s="9">
        <v>690</v>
      </c>
      <c r="Y100" s="16"/>
      <c r="Z100" s="10">
        <v>44400</v>
      </c>
      <c r="AA100" s="26">
        <f>Таблица2[[#This Row],[Сумма перевода Долл/Евро]]*Таблица2[[#This Row],[Курс ДОЛЛ перевод]]+Таблица2[[#This Row],[Сумма за перевод руб]]</f>
        <v>57326.5</v>
      </c>
      <c r="AB10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1.8535930154466769</v>
      </c>
      <c r="AC100" s="9" t="s">
        <v>293</v>
      </c>
      <c r="AD100" s="41"/>
    </row>
    <row r="101" spans="1:30" x14ac:dyDescent="0.25">
      <c r="A101" s="6">
        <v>44400</v>
      </c>
      <c r="B101" s="38" t="s">
        <v>167</v>
      </c>
      <c r="C101" s="38" t="s">
        <v>168</v>
      </c>
      <c r="D101" s="1"/>
      <c r="E101" s="1"/>
      <c r="F101" s="3">
        <f>Таблица2[[#This Row],[Сумма Долл]]*Таблица2[[#This Row],[Курс ЮА]]</f>
        <v>5106.8072000000002</v>
      </c>
      <c r="G101" s="5">
        <v>800.44</v>
      </c>
      <c r="H101" s="2">
        <v>6.38</v>
      </c>
      <c r="I101" s="2">
        <v>74.650000000000006</v>
      </c>
      <c r="J101" s="2"/>
      <c r="K101" s="2">
        <v>80</v>
      </c>
      <c r="L101" s="2"/>
      <c r="M101" s="26">
        <f>Таблица2[[#This Row],[Сумма Долл]]*Таблица2[[#This Row],[Курс ДОЛЛ]]</f>
        <v>59752.846000000005</v>
      </c>
      <c r="N10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65724.846000000005</v>
      </c>
      <c r="O10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797.76830440587446</v>
      </c>
      <c r="P10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5992</v>
      </c>
      <c r="Q101" s="30">
        <v>65724.850000000006</v>
      </c>
      <c r="R101" s="12">
        <f>Таблица2[[#This Row],[Сумма в руб]]-Таблица2[[#This Row],[Оплата от клиента]]</f>
        <v>-4.0000000008149073E-3</v>
      </c>
      <c r="S101" s="32">
        <v>44400</v>
      </c>
      <c r="T101" s="32" t="s">
        <v>107</v>
      </c>
      <c r="U101" s="12" t="s">
        <v>31</v>
      </c>
      <c r="V101" s="2">
        <v>6.38</v>
      </c>
      <c r="W101" s="28">
        <v>74.900000000000006</v>
      </c>
      <c r="X101" s="9">
        <v>800.44</v>
      </c>
      <c r="Y101" s="16">
        <v>5319</v>
      </c>
      <c r="Z101" s="10">
        <v>44404</v>
      </c>
      <c r="AA101" s="26">
        <f>Таблица2[[#This Row],[Сумма перевода Долл/Евро]]*Таблица2[[#This Row],[Курс ДОЛЛ перевод]]+Таблица2[[#This Row],[Сумма за перевод руб]]</f>
        <v>65944.956000000006</v>
      </c>
      <c r="AB10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-35.930755155254133</v>
      </c>
      <c r="AC101" s="9" t="s">
        <v>563</v>
      </c>
      <c r="AD101" s="41"/>
    </row>
    <row r="102" spans="1:30" x14ac:dyDescent="0.25">
      <c r="A102" s="6">
        <v>44403</v>
      </c>
      <c r="B102" s="29" t="s">
        <v>112</v>
      </c>
      <c r="C102" s="29" t="s">
        <v>113</v>
      </c>
      <c r="D102" s="1"/>
      <c r="E102" s="1"/>
      <c r="F102" s="3">
        <v>50000</v>
      </c>
      <c r="G102" s="5">
        <f>Таблица2[[#This Row],[Сумма ЮА]]/Таблица2[[#This Row],[Курс ЮА]]</f>
        <v>7836.9905956112852</v>
      </c>
      <c r="H102" s="2">
        <v>6.38</v>
      </c>
      <c r="I102" s="2">
        <v>74</v>
      </c>
      <c r="J102" s="2">
        <v>0.97</v>
      </c>
      <c r="K102" s="2"/>
      <c r="L102" s="2"/>
      <c r="M102" s="26">
        <f>Таблица2[[#This Row],[Сумма Долл]]*Таблица2[[#This Row],[Курс ДОЛЛ]]</f>
        <v>579937.30407523515</v>
      </c>
      <c r="N10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597873.50935591257</v>
      </c>
      <c r="O10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7848.6575189502655</v>
      </c>
      <c r="P10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17936.205280677415</v>
      </c>
      <c r="Q102" s="30">
        <v>597873.51</v>
      </c>
      <c r="R102" s="12">
        <f>Таблица2[[#This Row],[Сумма в руб]]-Таблица2[[#This Row],[Оплата от клиента]]</f>
        <v>-6.4408744219690561E-4</v>
      </c>
      <c r="S102" s="32">
        <v>44413</v>
      </c>
      <c r="T102" s="32" t="s">
        <v>107</v>
      </c>
      <c r="U102" s="12" t="s">
        <v>31</v>
      </c>
      <c r="V102" s="2"/>
      <c r="W102" s="28">
        <v>73.89</v>
      </c>
      <c r="X102" s="9">
        <v>7800</v>
      </c>
      <c r="Y102" s="16"/>
      <c r="Z102" s="2"/>
      <c r="AA102" s="26">
        <f>Таблица2[[#This Row],[Сумма перевода Долл/Евро]]*Таблица2[[#This Row],[Курс ДОЛЛ перевод]]+Таблица2[[#This Row],[Сумма за перевод руб]]</f>
        <v>594278.20528067742</v>
      </c>
      <c r="AB10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48.657518950265512</v>
      </c>
      <c r="AC102" s="9" t="s">
        <v>425</v>
      </c>
      <c r="AD102" s="41"/>
    </row>
    <row r="103" spans="1:30" x14ac:dyDescent="0.25">
      <c r="A103" s="6">
        <v>44404</v>
      </c>
      <c r="B103" s="29" t="s">
        <v>109</v>
      </c>
      <c r="C103" s="29" t="s">
        <v>110</v>
      </c>
      <c r="D103" s="1" t="s">
        <v>169</v>
      </c>
      <c r="E103" s="1"/>
      <c r="F103" s="3">
        <f>Таблица2[[#This Row],[Сумма Долл]]*Таблица2[[#This Row],[Курс ЮА]]</f>
        <v>12249.6</v>
      </c>
      <c r="G103" s="5">
        <v>1920</v>
      </c>
      <c r="H103" s="2">
        <v>6.38</v>
      </c>
      <c r="I103" s="2">
        <v>74.62</v>
      </c>
      <c r="J103" s="2">
        <v>0.97</v>
      </c>
      <c r="K103" s="2"/>
      <c r="L103" s="2"/>
      <c r="M103" s="26">
        <f>Таблица2[[#This Row],[Сумма Долл]]*Таблица2[[#This Row],[Курс ДОЛЛ]]</f>
        <v>143270.40000000002</v>
      </c>
      <c r="N10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147701.4432989691</v>
      </c>
      <c r="O10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1928.7883683360262</v>
      </c>
      <c r="P10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4431.0432989690744</v>
      </c>
      <c r="Q103" s="30">
        <v>147701.44</v>
      </c>
      <c r="R103" s="12">
        <f>Таблица2[[#This Row],[Сумма в руб]]-Таблица2[[#This Row],[Оплата от клиента]]</f>
        <v>3.2989690953399986E-3</v>
      </c>
      <c r="S103" s="32">
        <v>44405</v>
      </c>
      <c r="T103" s="32" t="s">
        <v>107</v>
      </c>
      <c r="U103" s="24" t="s">
        <v>31</v>
      </c>
      <c r="V103" s="2"/>
      <c r="W103" s="28">
        <v>74.28</v>
      </c>
      <c r="X103" s="9">
        <v>1925</v>
      </c>
      <c r="Y103" s="16"/>
      <c r="Z103" s="2"/>
      <c r="AA103" s="26">
        <f>Таблица2[[#This Row],[Сумма перевода Долл/Евро]]*Таблица2[[#This Row],[Курс ДОЛЛ перевод]]+Таблица2[[#This Row],[Сумма за перевод руб]]</f>
        <v>147420.04329896907</v>
      </c>
      <c r="AB10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3.7883683360262239</v>
      </c>
      <c r="AC103" s="9"/>
      <c r="AD103" s="41"/>
    </row>
    <row r="104" spans="1:30" ht="60" x14ac:dyDescent="0.25">
      <c r="A104" s="6">
        <v>44404</v>
      </c>
      <c r="B104" s="29" t="s">
        <v>117</v>
      </c>
      <c r="C104" s="29" t="s">
        <v>118</v>
      </c>
      <c r="D104" s="1" t="s">
        <v>119</v>
      </c>
      <c r="E104" s="1"/>
      <c r="F104" s="8" t="s">
        <v>80</v>
      </c>
      <c r="G104" s="7">
        <f>13542.2 + 50</f>
        <v>13592.2</v>
      </c>
      <c r="H104" s="2"/>
      <c r="I104" s="2">
        <v>74.62</v>
      </c>
      <c r="J104" s="2">
        <v>0.99</v>
      </c>
      <c r="K104" s="2"/>
      <c r="L104" s="2"/>
      <c r="M104" s="26">
        <f>Таблица2[[#This Row],[Сумма Долл]]*Таблица2[[#This Row],[Курс ДОЛЛ]]</f>
        <v>1014249.9640000002</v>
      </c>
      <c r="N10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1024494.9131313133</v>
      </c>
      <c r="O10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13654.41523963382</v>
      </c>
      <c r="P10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10244.949131313129</v>
      </c>
      <c r="Q104" s="30">
        <v>1024494.91</v>
      </c>
      <c r="R104" s="12">
        <f>Таблица2[[#This Row],[Сумма в руб]]-Таблица2[[#This Row],[Оплата от клиента]]</f>
        <v>3.1313132494688034E-3</v>
      </c>
      <c r="S104" s="32">
        <v>44405</v>
      </c>
      <c r="T104" s="32" t="s">
        <v>130</v>
      </c>
      <c r="U104" s="24" t="s">
        <v>31</v>
      </c>
      <c r="V104" s="2"/>
      <c r="W104" s="28">
        <v>74.28</v>
      </c>
      <c r="X104" s="9">
        <v>13542.2</v>
      </c>
      <c r="Y104" s="16"/>
      <c r="Z104" s="10">
        <v>44405</v>
      </c>
      <c r="AA104" s="26">
        <f>Таблица2[[#This Row],[Сумма перевода Долл/Евро]]*Таблица2[[#This Row],[Курс ДОЛЛ перевод]]+Таблица2[[#This Row],[Сумма за перевод руб]]</f>
        <v>1016159.5651313132</v>
      </c>
      <c r="AB10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112.21523963381878</v>
      </c>
      <c r="AC104" s="9" t="s">
        <v>361</v>
      </c>
      <c r="AD104" s="41"/>
    </row>
    <row r="105" spans="1:30" ht="30" x14ac:dyDescent="0.25">
      <c r="A105" s="6">
        <v>44405</v>
      </c>
      <c r="B105" s="29" t="s">
        <v>42</v>
      </c>
      <c r="C105" s="29" t="s">
        <v>128</v>
      </c>
      <c r="D105" s="1" t="s">
        <v>170</v>
      </c>
      <c r="E105" s="1"/>
      <c r="F105" s="3"/>
      <c r="G105" s="5">
        <v>30350</v>
      </c>
      <c r="H105" s="2"/>
      <c r="I105" s="2">
        <v>74.599999999999994</v>
      </c>
      <c r="J105" s="2">
        <v>0.98499999999999999</v>
      </c>
      <c r="K105" s="2"/>
      <c r="L105" s="2"/>
      <c r="M105" s="26">
        <f>Таблица2[[#This Row],[Сумма Долл]]*Таблица2[[#This Row],[Курс ДОЛЛ]]</f>
        <v>2264110</v>
      </c>
      <c r="N10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2298588.8324873098</v>
      </c>
      <c r="O10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30683.154899037807</v>
      </c>
      <c r="P10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34478.832487309817</v>
      </c>
      <c r="Q105" s="30">
        <v>2298588.83</v>
      </c>
      <c r="R105" s="12">
        <f>Таблица2[[#This Row],[Сумма в руб]]-Таблица2[[#This Row],[Оплата от клиента]]</f>
        <v>2.487309742718935E-3</v>
      </c>
      <c r="S105" s="32">
        <v>44407</v>
      </c>
      <c r="T105" s="32" t="s">
        <v>130</v>
      </c>
      <c r="U105" s="24" t="s">
        <v>31</v>
      </c>
      <c r="V105" s="2"/>
      <c r="W105" s="28">
        <v>73.790000000000006</v>
      </c>
      <c r="X105" s="9">
        <v>30350</v>
      </c>
      <c r="Y105" s="16"/>
      <c r="Z105" s="10">
        <v>44407</v>
      </c>
      <c r="AA105" s="26">
        <f>Таблица2[[#This Row],[Сумма перевода Долл/Евро]]*Таблица2[[#This Row],[Курс ДОЛЛ перевод]]+Таблица2[[#This Row],[Сумма за перевод руб]]</f>
        <v>2274005.3324873098</v>
      </c>
      <c r="AB10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333.1548990378069</v>
      </c>
      <c r="AC105" s="9"/>
      <c r="AD105" s="41"/>
    </row>
    <row r="106" spans="1:30" x14ac:dyDescent="0.25">
      <c r="A106" s="6">
        <v>44406</v>
      </c>
      <c r="B106" s="29" t="s">
        <v>93</v>
      </c>
      <c r="C106" s="29" t="s">
        <v>94</v>
      </c>
      <c r="D106" s="1"/>
      <c r="E106" s="1"/>
      <c r="F106" s="3"/>
      <c r="G106" s="5">
        <v>946.43</v>
      </c>
      <c r="H106" s="2"/>
      <c r="I106" s="2">
        <v>74.23</v>
      </c>
      <c r="J106" s="2"/>
      <c r="K106" s="2">
        <v>80</v>
      </c>
      <c r="L106" s="2"/>
      <c r="M106" s="26">
        <f>Таблица2[[#This Row],[Сумма Долл]]*Таблица2[[#This Row],[Курс ДОЛЛ]]</f>
        <v>70253.498900000006</v>
      </c>
      <c r="N10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76191.898899999986</v>
      </c>
      <c r="O10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948.98688234499537</v>
      </c>
      <c r="P10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5922.4</v>
      </c>
      <c r="Q106" s="30">
        <v>76191.899999999994</v>
      </c>
      <c r="R106" s="12">
        <f>Таблица2[[#This Row],[Сумма в руб]]-Таблица2[[#This Row],[Оплата от клиента]]</f>
        <v>-1.1000000085914508E-3</v>
      </c>
      <c r="S106" s="32">
        <v>44406</v>
      </c>
      <c r="T106" s="32" t="s">
        <v>130</v>
      </c>
      <c r="U106" s="24" t="s">
        <v>31</v>
      </c>
      <c r="V106" s="2"/>
      <c r="W106" s="28">
        <v>74.03</v>
      </c>
      <c r="X106" s="9">
        <v>949</v>
      </c>
      <c r="Y106" s="16"/>
      <c r="Z106" s="10">
        <v>44407</v>
      </c>
      <c r="AA106" s="26">
        <f>Таблица2[[#This Row],[Сумма перевода Долл/Евро]]*Таблица2[[#This Row],[Курс ДОЛЛ перевод]]+Таблица2[[#This Row],[Сумма за перевод руб]]</f>
        <v>76176.87</v>
      </c>
      <c r="AB10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-1.3117655004634798E-2</v>
      </c>
      <c r="AC106" s="9"/>
      <c r="AD106" s="41"/>
    </row>
    <row r="107" spans="1:30" x14ac:dyDescent="0.25">
      <c r="A107" s="6">
        <v>44407</v>
      </c>
      <c r="B107" s="29" t="s">
        <v>59</v>
      </c>
      <c r="C107" s="29" t="s">
        <v>60</v>
      </c>
      <c r="D107" s="1" t="s">
        <v>171</v>
      </c>
      <c r="E107" s="1"/>
      <c r="F107" s="3"/>
      <c r="G107" s="5">
        <v>1644</v>
      </c>
      <c r="H107" s="2"/>
      <c r="I107" s="2">
        <v>74.23</v>
      </c>
      <c r="J107" s="2"/>
      <c r="K107" s="2">
        <v>80</v>
      </c>
      <c r="L107" s="2"/>
      <c r="M107" s="26">
        <f>Таблица2[[#This Row],[Сумма Долл]]*Таблица2[[#This Row],[Курс ДОЛЛ]]</f>
        <v>122034.12000000001</v>
      </c>
      <c r="N10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127972.52</v>
      </c>
      <c r="O10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1653.578861788618</v>
      </c>
      <c r="P10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5904</v>
      </c>
      <c r="Q107" s="30">
        <v>127972</v>
      </c>
      <c r="R107" s="12">
        <f>Таблица2[[#This Row],[Сумма в руб]]-Таблица2[[#This Row],[Оплата от клиента]]</f>
        <v>0.52000000000407454</v>
      </c>
      <c r="S107" s="32">
        <v>44410</v>
      </c>
      <c r="T107" s="32" t="s">
        <v>130</v>
      </c>
      <c r="U107" s="24" t="s">
        <v>31</v>
      </c>
      <c r="V107" s="2"/>
      <c r="W107" s="28">
        <v>73.8</v>
      </c>
      <c r="X107" s="9">
        <v>1644</v>
      </c>
      <c r="Y107" s="16"/>
      <c r="Z107" s="10">
        <v>44411</v>
      </c>
      <c r="AA107" s="26">
        <f>Таблица2[[#This Row],[Сумма перевода Долл/Евро]]*Таблица2[[#This Row],[Курс ДОЛЛ перевод]]+Таблица2[[#This Row],[Сумма за перевод руб]]</f>
        <v>127231.2</v>
      </c>
      <c r="AB10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9.5788617886180418</v>
      </c>
      <c r="AC107" s="9"/>
      <c r="AD107" s="41"/>
    </row>
    <row r="108" spans="1:30" x14ac:dyDescent="0.25">
      <c r="A108" s="6">
        <v>44410</v>
      </c>
      <c r="B108" s="29" t="s">
        <v>78</v>
      </c>
      <c r="C108" s="29" t="s">
        <v>79</v>
      </c>
      <c r="D108" s="1"/>
      <c r="E108" s="1"/>
      <c r="F108" s="8" t="s">
        <v>80</v>
      </c>
      <c r="G108" s="5">
        <f>28218.5 + 50</f>
        <v>28268.5</v>
      </c>
      <c r="H108" s="2"/>
      <c r="I108" s="2">
        <v>74.489999999999995</v>
      </c>
      <c r="J108" s="2">
        <v>0.98499999999999999</v>
      </c>
      <c r="K108" s="2"/>
      <c r="L108" s="2"/>
      <c r="M108" s="26">
        <f>Таблица2[[#This Row],[Сумма Долл]]*Таблица2[[#This Row],[Курс ДОЛЛ]]</f>
        <v>2105720.5649999999</v>
      </c>
      <c r="N10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2137787.3756345175</v>
      </c>
      <c r="O10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28478.774208817962</v>
      </c>
      <c r="P10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32066.810634517577</v>
      </c>
      <c r="Q108" s="30">
        <v>2137787.38</v>
      </c>
      <c r="R108" s="12">
        <f>Таблица2[[#This Row],[Сумма в руб]]-Таблица2[[#This Row],[Оплата от клиента]]</f>
        <v>-4.3654823675751686E-3</v>
      </c>
      <c r="S108" s="32">
        <v>44410</v>
      </c>
      <c r="T108" s="32" t="s">
        <v>130</v>
      </c>
      <c r="U108" s="24" t="s">
        <v>31</v>
      </c>
      <c r="V108" s="2"/>
      <c r="W108" s="28">
        <v>73.94</v>
      </c>
      <c r="X108" s="9">
        <v>28218.5</v>
      </c>
      <c r="Y108" s="16"/>
      <c r="Z108" s="10">
        <v>44410</v>
      </c>
      <c r="AA108" s="26">
        <f>Таблица2[[#This Row],[Сумма перевода Долл/Евро]]*Таблица2[[#This Row],[Курс ДОЛЛ перевод]]+Таблица2[[#This Row],[Сумма за перевод руб]]</f>
        <v>2118542.7006345177</v>
      </c>
      <c r="AB10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260.27420881796206</v>
      </c>
      <c r="AC108" s="9"/>
      <c r="AD108" s="41"/>
    </row>
    <row r="109" spans="1:30" x14ac:dyDescent="0.25">
      <c r="A109" s="6">
        <v>44410</v>
      </c>
      <c r="B109" s="29" t="s">
        <v>47</v>
      </c>
      <c r="C109" s="29" t="s">
        <v>48</v>
      </c>
      <c r="D109" s="1" t="s">
        <v>172</v>
      </c>
      <c r="E109" s="1"/>
      <c r="F109" s="3"/>
      <c r="G109" s="5">
        <v>10000</v>
      </c>
      <c r="H109" s="2"/>
      <c r="I109" s="2">
        <v>74.489999999999995</v>
      </c>
      <c r="J109" s="2">
        <v>0.97</v>
      </c>
      <c r="K109" s="2"/>
      <c r="L109" s="2"/>
      <c r="M109" s="26">
        <f>Таблица2[[#This Row],[Сумма Долл]]*Таблица2[[#This Row],[Курс ДОЛЛ]]</f>
        <v>744900</v>
      </c>
      <c r="N10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767938.1443298969</v>
      </c>
      <c r="O10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10074.384636191508</v>
      </c>
      <c r="P10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23038.144329896895</v>
      </c>
      <c r="Q109" s="30">
        <v>767938.14</v>
      </c>
      <c r="R109" s="12">
        <f>Таблица2[[#This Row],[Сумма в руб]]-Таблица2[[#This Row],[Оплата от клиента]]</f>
        <v>4.3298968812450767E-3</v>
      </c>
      <c r="S109" s="32">
        <v>44410</v>
      </c>
      <c r="T109" s="32" t="s">
        <v>130</v>
      </c>
      <c r="U109" s="24" t="s">
        <v>31</v>
      </c>
      <c r="V109" s="2"/>
      <c r="W109" s="28">
        <v>73.94</v>
      </c>
      <c r="X109" s="9">
        <v>10040</v>
      </c>
      <c r="Y109" s="16"/>
      <c r="Z109" s="10">
        <v>44410</v>
      </c>
      <c r="AA109" s="26">
        <f>Таблица2[[#This Row],[Сумма перевода Долл/Евро]]*Таблица2[[#This Row],[Курс ДОЛЛ перевод]]+Таблица2[[#This Row],[Сумма за перевод руб]]</f>
        <v>765395.74432989687</v>
      </c>
      <c r="AB10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34.384636191507525</v>
      </c>
      <c r="AC109" s="9"/>
      <c r="AD109" s="41"/>
    </row>
    <row r="110" spans="1:30" x14ac:dyDescent="0.25">
      <c r="A110" s="6">
        <v>44410</v>
      </c>
      <c r="B110" s="29" t="s">
        <v>173</v>
      </c>
      <c r="C110" s="29" t="s">
        <v>29</v>
      </c>
      <c r="D110" s="1"/>
      <c r="E110" s="1"/>
      <c r="F110" s="3"/>
      <c r="G110" s="5">
        <v>1942</v>
      </c>
      <c r="H110" s="2"/>
      <c r="I110" s="2">
        <v>73.75</v>
      </c>
      <c r="J110" s="2"/>
      <c r="K110" s="2">
        <v>80</v>
      </c>
      <c r="L110" s="2"/>
      <c r="M110" s="26">
        <f>Таблица2[[#This Row],[Сумма Долл]]*Таблица2[[#This Row],[Курс ДОЛЛ]]</f>
        <v>143222.5</v>
      </c>
      <c r="N11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149122.5</v>
      </c>
      <c r="O11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1942</v>
      </c>
      <c r="P1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5900</v>
      </c>
      <c r="Q110" s="30">
        <v>149122.5</v>
      </c>
      <c r="R110" s="12">
        <f>Таблица2[[#This Row],[Сумма в руб]]-Таблица2[[#This Row],[Оплата от клиента]]</f>
        <v>0</v>
      </c>
      <c r="S110" s="32">
        <v>44411</v>
      </c>
      <c r="T110" s="32" t="s">
        <v>130</v>
      </c>
      <c r="U110" s="24" t="s">
        <v>31</v>
      </c>
      <c r="V110" s="2"/>
      <c r="W110" s="28"/>
      <c r="X110" s="9">
        <v>1942</v>
      </c>
      <c r="Y110" s="16"/>
      <c r="Z110" s="10">
        <v>44411</v>
      </c>
      <c r="AA110" s="26">
        <f>Таблица2[[#This Row],[Сумма перевода Долл/Евро]]*Таблица2[[#This Row],[Курс ДОЛЛ перевод]]+Таблица2[[#This Row],[Сумма за перевод руб]]</f>
        <v>5900</v>
      </c>
      <c r="AB11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110" s="9"/>
      <c r="AD110" s="41"/>
    </row>
    <row r="111" spans="1:30" x14ac:dyDescent="0.25">
      <c r="A111" s="6">
        <v>44410</v>
      </c>
      <c r="B111" s="38" t="s">
        <v>174</v>
      </c>
      <c r="C111" s="38" t="s">
        <v>175</v>
      </c>
      <c r="D111" s="1"/>
      <c r="E111" s="1"/>
      <c r="F111" s="3"/>
      <c r="G111" s="5"/>
      <c r="H111" s="2"/>
      <c r="I111" s="2"/>
      <c r="J111" s="2"/>
      <c r="K111" s="2">
        <v>80</v>
      </c>
      <c r="L111" s="2"/>
      <c r="M111" s="26">
        <f>Таблица2[[#This Row],[Сумма Долл]]*Таблица2[[#This Row],[Курс ДОЛЛ]]</f>
        <v>0</v>
      </c>
      <c r="N111" s="24">
        <v>16429.599999999999</v>
      </c>
      <c r="O11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11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5904</v>
      </c>
      <c r="Q111" s="30">
        <v>16429.599999999999</v>
      </c>
      <c r="R111" s="12">
        <f>Таблица2[[#This Row],[Сумма в руб]]-Таблица2[[#This Row],[Оплата от клиента]]</f>
        <v>0</v>
      </c>
      <c r="S111" s="32">
        <v>44411</v>
      </c>
      <c r="T111" s="32" t="s">
        <v>107</v>
      </c>
      <c r="U111" s="12" t="s">
        <v>31</v>
      </c>
      <c r="V111" s="2">
        <v>6.42</v>
      </c>
      <c r="W111" s="28">
        <v>73.8</v>
      </c>
      <c r="X111" s="9">
        <v>142.62</v>
      </c>
      <c r="Y111" s="16">
        <v>1213</v>
      </c>
      <c r="Z111" s="2"/>
      <c r="AA111" s="26">
        <f>Таблица2[[#This Row],[Сумма перевода Долл/Евро]]*Таблица2[[#This Row],[Курс ДОЛЛ перевод]]+Таблица2[[#This Row],[Сумма за перевод руб]]</f>
        <v>16429.356</v>
      </c>
      <c r="AB11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-188.94080996884736</v>
      </c>
      <c r="AC111" s="9"/>
      <c r="AD111" s="41"/>
    </row>
    <row r="112" spans="1:30" x14ac:dyDescent="0.25">
      <c r="A112" s="6">
        <v>44411</v>
      </c>
      <c r="B112" s="38" t="s">
        <v>174</v>
      </c>
      <c r="C112" s="38" t="s">
        <v>175</v>
      </c>
      <c r="D112" s="1"/>
      <c r="E112" s="1"/>
      <c r="F112" s="3">
        <v>413</v>
      </c>
      <c r="G112" s="5">
        <f>Таблица2[[#This Row],[Сумма ЮА]]/Таблица2[[#This Row],[Курс ЮА]]</f>
        <v>64.53125</v>
      </c>
      <c r="H112" s="2">
        <v>6.4</v>
      </c>
      <c r="I112" s="2">
        <v>73.8</v>
      </c>
      <c r="J112" s="2"/>
      <c r="K112" s="2"/>
      <c r="L112" s="2"/>
      <c r="M112" s="26">
        <f>Таблица2[[#This Row],[Сумма Долл]]*Таблица2[[#This Row],[Курс ДОЛЛ]]</f>
        <v>4762.40625</v>
      </c>
      <c r="N11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4762.40625</v>
      </c>
      <c r="O11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64.235314944699212</v>
      </c>
      <c r="P1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112" s="30">
        <v>4762.41</v>
      </c>
      <c r="R112" s="12">
        <f>Таблица2[[#This Row],[Сумма в руб]]-Таблица2[[#This Row],[Оплата от клиента]]</f>
        <v>-3.7499999998544808E-3</v>
      </c>
      <c r="S112" s="32">
        <v>44425</v>
      </c>
      <c r="T112" s="32" t="s">
        <v>107</v>
      </c>
      <c r="U112" s="12" t="s">
        <v>31</v>
      </c>
      <c r="V112" s="2">
        <v>6.42</v>
      </c>
      <c r="W112" s="28">
        <v>74.14</v>
      </c>
      <c r="X112" s="9"/>
      <c r="Y112" s="16"/>
      <c r="Z112" s="2"/>
      <c r="AA112" s="26">
        <f>Таблица2[[#This Row],[Сумма перевода Долл/Евро]]*Таблица2[[#This Row],[Курс ДОЛЛ перевод]]+Таблица2[[#This Row],[Сумма за перевод руб]]</f>
        <v>0</v>
      </c>
      <c r="AB11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64.235314944699212</v>
      </c>
      <c r="AC112" s="9"/>
      <c r="AD112" s="41"/>
    </row>
    <row r="113" spans="1:30" x14ac:dyDescent="0.25">
      <c r="A113" s="6">
        <v>44411</v>
      </c>
      <c r="B113" s="29" t="s">
        <v>176</v>
      </c>
      <c r="C113" s="29" t="s">
        <v>177</v>
      </c>
      <c r="D113" s="1"/>
      <c r="E113" s="1"/>
      <c r="F113" s="8" t="s">
        <v>80</v>
      </c>
      <c r="G113" s="7">
        <f>44 * 1.3 * 22.1 + 50</f>
        <v>1314.1200000000001</v>
      </c>
      <c r="H113" s="2"/>
      <c r="I113" s="2">
        <v>74</v>
      </c>
      <c r="J113" s="2">
        <v>0.97</v>
      </c>
      <c r="K113" s="2"/>
      <c r="L113" s="2"/>
      <c r="M113" s="26">
        <f>Таблица2[[#This Row],[Сумма Долл]]*Таблица2[[#This Row],[Курс ДОЛЛ]]</f>
        <v>97244.88</v>
      </c>
      <c r="N11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100252.45360824744</v>
      </c>
      <c r="O11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1317.6813008130082</v>
      </c>
      <c r="P11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3007.5736082474323</v>
      </c>
      <c r="Q113" s="30">
        <v>100252.45</v>
      </c>
      <c r="R113" s="12">
        <f>Таблица2[[#This Row],[Сумма в руб]]-Таблица2[[#This Row],[Оплата от клиента]]</f>
        <v>3.6082474398426712E-3</v>
      </c>
      <c r="S113" s="32">
        <v>44412</v>
      </c>
      <c r="T113" s="32" t="s">
        <v>130</v>
      </c>
      <c r="U113" s="24" t="s">
        <v>31</v>
      </c>
      <c r="V113" s="2">
        <v>6.4</v>
      </c>
      <c r="W113" s="28">
        <v>73.8</v>
      </c>
      <c r="X113" s="9">
        <f>1314.12 - 50</f>
        <v>1264.1199999999999</v>
      </c>
      <c r="Y113" s="16"/>
      <c r="Z113" s="10">
        <v>44412</v>
      </c>
      <c r="AA113" s="26">
        <f>Таблица2[[#This Row],[Сумма перевода Долл/Евро]]*Таблица2[[#This Row],[Курс ДОЛЛ перевод]]+Таблица2[[#This Row],[Сумма за перевод руб]]</f>
        <v>96299.629608247415</v>
      </c>
      <c r="AB11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1317.6813008130082</v>
      </c>
      <c r="AC113" s="9"/>
      <c r="AD113" s="41"/>
    </row>
    <row r="114" spans="1:30" x14ac:dyDescent="0.25">
      <c r="A114" s="6">
        <v>44411</v>
      </c>
      <c r="B114" s="38" t="s">
        <v>178</v>
      </c>
      <c r="C114" s="38" t="s">
        <v>179</v>
      </c>
      <c r="D114" s="1"/>
      <c r="E114" s="1"/>
      <c r="F114" s="3">
        <v>23288</v>
      </c>
      <c r="G114" s="5">
        <f>Таблица2[[#This Row],[Сумма ЮА]]/Таблица2[[#This Row],[Курс ЮА]]</f>
        <v>3638.75</v>
      </c>
      <c r="H114" s="2">
        <v>6.4</v>
      </c>
      <c r="I114" s="2">
        <v>74</v>
      </c>
      <c r="J114" s="2">
        <v>0.97</v>
      </c>
      <c r="K114" s="2"/>
      <c r="L114" s="2"/>
      <c r="M114" s="26">
        <f>Таблица2[[#This Row],[Сумма Долл]]*Таблица2[[#This Row],[Курс ДОЛЛ]]</f>
        <v>269267.5</v>
      </c>
      <c r="N11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277595.3608247423</v>
      </c>
      <c r="O11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3648.6111111111113</v>
      </c>
      <c r="P11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8327.8608247422962</v>
      </c>
      <c r="Q114" s="30">
        <v>277595.36</v>
      </c>
      <c r="R114" s="12">
        <f>Таблица2[[#This Row],[Сумма в руб]]-Таблица2[[#This Row],[Оплата от клиента]]</f>
        <v>8.2474231021478772E-4</v>
      </c>
      <c r="S114" s="32">
        <v>44411</v>
      </c>
      <c r="T114" s="32" t="s">
        <v>107</v>
      </c>
      <c r="U114" s="24" t="s">
        <v>31</v>
      </c>
      <c r="V114" s="2">
        <v>6.42</v>
      </c>
      <c r="W114" s="28">
        <v>73.8</v>
      </c>
      <c r="X114" s="9"/>
      <c r="Y114" s="16">
        <v>23289</v>
      </c>
      <c r="Z114" s="2"/>
      <c r="AA114" s="26">
        <f>Таблица2[[#This Row],[Сумма перевода Долл/Евро]]*Таблица2[[#This Row],[Курс ДОЛЛ перевод]]+Таблица2[[#This Row],[Сумма за перевод руб]]</f>
        <v>8327.8608247422962</v>
      </c>
      <c r="AB11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21.041017653167273</v>
      </c>
      <c r="AC114" s="9"/>
      <c r="AD114" s="41"/>
    </row>
    <row r="115" spans="1:30" x14ac:dyDescent="0.25">
      <c r="A115" s="6">
        <v>44411</v>
      </c>
      <c r="B115" s="29" t="s">
        <v>180</v>
      </c>
      <c r="C115" s="29" t="s">
        <v>181</v>
      </c>
      <c r="D115" s="1"/>
      <c r="E115" s="1"/>
      <c r="F115" s="3"/>
      <c r="G115" s="5"/>
      <c r="H115" s="2"/>
      <c r="I115" s="2"/>
      <c r="J115" s="2">
        <v>0.98</v>
      </c>
      <c r="K115" s="2"/>
      <c r="L115" s="2"/>
      <c r="M115" s="26">
        <f>Таблица2[[#This Row],[Сумма Долл]]*Таблица2[[#This Row],[Курс ДОЛЛ]]</f>
        <v>0</v>
      </c>
      <c r="N115" s="24">
        <v>1339370</v>
      </c>
      <c r="O11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11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1339370</v>
      </c>
      <c r="Q115" s="30">
        <v>1339370</v>
      </c>
      <c r="R115" s="12">
        <f>Таблица2[[#This Row],[Сумма в руб]]-Таблица2[[#This Row],[Оплата от клиента]]</f>
        <v>0</v>
      </c>
      <c r="S115" s="32">
        <v>44412</v>
      </c>
      <c r="T115" s="32" t="s">
        <v>130</v>
      </c>
      <c r="U115" s="24" t="s">
        <v>31</v>
      </c>
      <c r="V115" s="2"/>
      <c r="W115" s="28">
        <v>73.89</v>
      </c>
      <c r="X115" s="9">
        <v>15843.73</v>
      </c>
      <c r="Y115" s="16"/>
      <c r="Z115" s="10">
        <v>44414</v>
      </c>
      <c r="AA115" s="26">
        <f>Таблица2[[#This Row],[Сумма перевода Долл/Евро]]*Таблица2[[#This Row],[Курс ДОЛЛ перевод]]+Таблица2[[#This Row],[Сумма за перевод руб]]</f>
        <v>2510063.2097</v>
      </c>
      <c r="AB11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-15843.73</v>
      </c>
      <c r="AC115" s="9"/>
      <c r="AD115" s="41"/>
    </row>
    <row r="116" spans="1:30" x14ac:dyDescent="0.25">
      <c r="A116" s="6">
        <v>44411</v>
      </c>
      <c r="B116" s="29" t="s">
        <v>180</v>
      </c>
      <c r="C116" s="29" t="s">
        <v>182</v>
      </c>
      <c r="D116" s="1"/>
      <c r="E116" s="1"/>
      <c r="F116" s="3"/>
      <c r="G116" s="5"/>
      <c r="H116" s="2"/>
      <c r="I116" s="2"/>
      <c r="J116" s="2">
        <v>0.98</v>
      </c>
      <c r="K116" s="2"/>
      <c r="L116" s="2"/>
      <c r="M116" s="26">
        <f>Таблица2[[#This Row],[Сумма Долл]]*Таблица2[[#This Row],[Курс ДОЛЛ]]</f>
        <v>0</v>
      </c>
      <c r="N116" s="24">
        <v>574016</v>
      </c>
      <c r="O11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11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574016</v>
      </c>
      <c r="Q116" s="30">
        <v>574016</v>
      </c>
      <c r="R116" s="12">
        <f>Таблица2[[#This Row],[Сумма в руб]]-Таблица2[[#This Row],[Оплата от клиента]]</f>
        <v>0</v>
      </c>
      <c r="S116" s="32">
        <v>44414</v>
      </c>
      <c r="T116" s="32" t="s">
        <v>130</v>
      </c>
      <c r="U116" s="24" t="s">
        <v>31</v>
      </c>
      <c r="V116" s="2"/>
      <c r="W116" s="28">
        <v>73.89</v>
      </c>
      <c r="X116" s="9">
        <v>6790.17</v>
      </c>
      <c r="Y116" s="16"/>
      <c r="Z116" s="10">
        <v>44414</v>
      </c>
      <c r="AA116" s="26">
        <f>Таблица2[[#This Row],[Сумма перевода Долл/Евро]]*Таблица2[[#This Row],[Курс ДОЛЛ перевод]]+Таблица2[[#This Row],[Сумма за перевод руб]]</f>
        <v>1075741.6613</v>
      </c>
      <c r="AB11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-6790.17</v>
      </c>
      <c r="AC116" s="9"/>
      <c r="AD116" s="41"/>
    </row>
    <row r="117" spans="1:30" ht="30" x14ac:dyDescent="0.25">
      <c r="A117" s="6">
        <v>44412</v>
      </c>
      <c r="B117" s="29" t="s">
        <v>57</v>
      </c>
      <c r="C117" s="29" t="s">
        <v>58</v>
      </c>
      <c r="D117" s="1" t="s">
        <v>183</v>
      </c>
      <c r="E117" s="1"/>
      <c r="F117" s="3"/>
      <c r="G117" s="5">
        <v>9127.2000000000007</v>
      </c>
      <c r="H117" s="2"/>
      <c r="I117" s="2">
        <v>74</v>
      </c>
      <c r="J117" s="2">
        <v>0.99</v>
      </c>
      <c r="K117" s="2"/>
      <c r="L117" s="2"/>
      <c r="M117" s="26">
        <f>Таблица2[[#This Row],[Сумма Долл]]*Таблица2[[#This Row],[Курс ДОЛЛ]]</f>
        <v>675412.8</v>
      </c>
      <c r="N11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682235.15151515161</v>
      </c>
      <c r="O11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9140.7876573284611</v>
      </c>
      <c r="P11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6822.3515151515603</v>
      </c>
      <c r="Q117" s="30">
        <v>682235.15</v>
      </c>
      <c r="R117" s="12">
        <f>Таблица2[[#This Row],[Сумма в руб]]-Таблица2[[#This Row],[Оплата от клиента]]</f>
        <v>1.5151515835896134E-3</v>
      </c>
      <c r="S117" s="32">
        <v>44412</v>
      </c>
      <c r="T117" s="32" t="s">
        <v>130</v>
      </c>
      <c r="U117" s="24" t="s">
        <v>31</v>
      </c>
      <c r="V117" s="2"/>
      <c r="W117" s="28">
        <v>73.89</v>
      </c>
      <c r="X117" s="9">
        <v>9127.2000000000007</v>
      </c>
      <c r="Y117" s="16"/>
      <c r="Z117" s="10">
        <v>44413</v>
      </c>
      <c r="AA117" s="26">
        <f>Таблица2[[#This Row],[Сумма перевода Долл/Евро]]*Таблица2[[#This Row],[Курс ДОЛЛ перевод]]+Таблица2[[#This Row],[Сумма за перевод руб]]</f>
        <v>681231.15951515164</v>
      </c>
      <c r="AB11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13.587657328460409</v>
      </c>
      <c r="AC117" s="9" t="s">
        <v>509</v>
      </c>
      <c r="AD117" s="41"/>
    </row>
    <row r="118" spans="1:30" x14ac:dyDescent="0.25">
      <c r="A118" s="6">
        <v>44412</v>
      </c>
      <c r="B118" s="29" t="s">
        <v>117</v>
      </c>
      <c r="C118" s="29" t="s">
        <v>184</v>
      </c>
      <c r="D118" s="1" t="s">
        <v>185</v>
      </c>
      <c r="E118" s="1"/>
      <c r="F118" s="8" t="s">
        <v>80</v>
      </c>
      <c r="G118" s="7">
        <f xml:space="preserve"> 5461.5 + 50</f>
        <v>5511.5</v>
      </c>
      <c r="H118" s="2"/>
      <c r="I118" s="2">
        <v>74</v>
      </c>
      <c r="J118" s="2">
        <v>0.99</v>
      </c>
      <c r="K118" s="2"/>
      <c r="L118" s="2"/>
      <c r="M118" s="26">
        <f>Таблица2[[#This Row],[Сумма Долл]]*Таблица2[[#This Row],[Курс ДОЛЛ]]</f>
        <v>407851</v>
      </c>
      <c r="N11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411970.70707070705</v>
      </c>
      <c r="O11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5519.7049668426034</v>
      </c>
      <c r="P11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4119.7070707070525</v>
      </c>
      <c r="Q118" s="30">
        <v>411970.71</v>
      </c>
      <c r="R118" s="12">
        <f>Таблица2[[#This Row],[Сумма в руб]]-Таблица2[[#This Row],[Оплата от клиента]]</f>
        <v>-2.9292929684743285E-3</v>
      </c>
      <c r="S118" s="32">
        <v>44412</v>
      </c>
      <c r="T118" s="32" t="s">
        <v>130</v>
      </c>
      <c r="U118" s="24" t="s">
        <v>31</v>
      </c>
      <c r="V118" s="2"/>
      <c r="W118" s="28">
        <v>73.89</v>
      </c>
      <c r="X118" s="9">
        <v>5461.5</v>
      </c>
      <c r="Y118" s="16"/>
      <c r="Z118" s="10">
        <v>44413</v>
      </c>
      <c r="AA118" s="26">
        <f>Таблица2[[#This Row],[Сумма перевода Долл/Евро]]*Таблица2[[#This Row],[Курс ДОЛЛ перевод]]+Таблица2[[#This Row],[Сумма за перевод руб]]</f>
        <v>407669.94207070704</v>
      </c>
      <c r="AB11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58.204966842603426</v>
      </c>
      <c r="AC118" s="9" t="s">
        <v>468</v>
      </c>
      <c r="AD118" s="41"/>
    </row>
    <row r="119" spans="1:30" ht="75" x14ac:dyDescent="0.25">
      <c r="A119" s="6">
        <v>44412</v>
      </c>
      <c r="B119" s="29" t="s">
        <v>186</v>
      </c>
      <c r="C119" s="29" t="s">
        <v>187</v>
      </c>
      <c r="D119" s="1"/>
      <c r="E119" s="44" t="s">
        <v>345</v>
      </c>
      <c r="F119" s="3"/>
      <c r="G119" s="5">
        <v>3640.41</v>
      </c>
      <c r="H119" s="2"/>
      <c r="I119" s="2">
        <v>73.84</v>
      </c>
      <c r="J119" s="2"/>
      <c r="K119" s="2">
        <v>80</v>
      </c>
      <c r="L119" s="2"/>
      <c r="M119" s="26">
        <f>Таблица2[[#This Row],[Сумма Долл]]*Таблица2[[#This Row],[Курс ДОЛЛ]]</f>
        <v>268807.87440000003</v>
      </c>
      <c r="N11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274715.07439999998</v>
      </c>
      <c r="O11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3637.9466017052378</v>
      </c>
      <c r="P1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5911.2</v>
      </c>
      <c r="Q119" s="30">
        <v>274715.07</v>
      </c>
      <c r="R119" s="12">
        <f>Таблица2[[#This Row],[Сумма в руб]]-Таблица2[[#This Row],[Оплата от клиента]]</f>
        <v>4.3999999761581421E-3</v>
      </c>
      <c r="S119" s="32">
        <v>44413</v>
      </c>
      <c r="T119" s="32" t="s">
        <v>130</v>
      </c>
      <c r="U119" s="24" t="s">
        <v>31</v>
      </c>
      <c r="V119" s="2"/>
      <c r="W119" s="28">
        <v>73.89</v>
      </c>
      <c r="X119" s="9">
        <v>3640.41</v>
      </c>
      <c r="Y119" s="16"/>
      <c r="Z119" s="10">
        <v>44413</v>
      </c>
      <c r="AA119" s="26">
        <f>Таблица2[[#This Row],[Сумма перевода Долл/Евро]]*Таблица2[[#This Row],[Курс ДОЛЛ перевод]]+Таблица2[[#This Row],[Сумма за перевод руб]]</f>
        <v>274901.09490000003</v>
      </c>
      <c r="AB11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-2.4633982947621007</v>
      </c>
      <c r="AC119" s="9"/>
      <c r="AD119" s="41"/>
    </row>
    <row r="120" spans="1:30" ht="90" x14ac:dyDescent="0.25">
      <c r="A120" s="6">
        <v>44413</v>
      </c>
      <c r="B120" s="29" t="s">
        <v>55</v>
      </c>
      <c r="C120" s="29" t="s">
        <v>56</v>
      </c>
      <c r="D120" s="1" t="s">
        <v>188</v>
      </c>
      <c r="E120" s="1"/>
      <c r="F120" s="3"/>
      <c r="G120" s="5">
        <v>572.30769230769226</v>
      </c>
      <c r="H120" s="2"/>
      <c r="I120" s="2">
        <v>74.09</v>
      </c>
      <c r="J120" s="2">
        <v>0.97</v>
      </c>
      <c r="K120" s="2"/>
      <c r="L120" s="2"/>
      <c r="M120" s="26">
        <f>Таблица2[[#This Row],[Сумма Долл]]*Таблица2[[#This Row],[Курс ДОЛЛ]]</f>
        <v>42402.276923076919</v>
      </c>
      <c r="N12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43713.687549563838</v>
      </c>
      <c r="O12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570.76695279414344</v>
      </c>
      <c r="P1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1311.4106264869188</v>
      </c>
      <c r="Q120" s="30">
        <v>43713.69</v>
      </c>
      <c r="R120" s="12">
        <f>Таблица2[[#This Row],[Сумма в руб]]-Таблица2[[#This Row],[Оплата от клиента]]</f>
        <v>-2.4504361645085737E-3</v>
      </c>
      <c r="S120" s="32">
        <v>44414</v>
      </c>
      <c r="T120" s="32" t="s">
        <v>130</v>
      </c>
      <c r="U120" s="24" t="s">
        <v>31</v>
      </c>
      <c r="V120" s="2"/>
      <c r="W120" s="28">
        <v>74.290000000000006</v>
      </c>
      <c r="X120" s="9">
        <v>572.30999999999995</v>
      </c>
      <c r="Y120" s="16"/>
      <c r="Z120" s="10">
        <v>44417</v>
      </c>
      <c r="AA120" s="26">
        <f>Таблица2[[#This Row],[Сумма перевода Долл/Евро]]*Таблица2[[#This Row],[Курс ДОЛЛ перевод]]+Таблица2[[#This Row],[Сумма за перевод руб]]</f>
        <v>43828.320526486918</v>
      </c>
      <c r="AB12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-1.5430472058565101</v>
      </c>
      <c r="AC120" s="9"/>
      <c r="AD120" s="41"/>
    </row>
    <row r="121" spans="1:30" ht="90" x14ac:dyDescent="0.25">
      <c r="A121" s="6">
        <v>44413</v>
      </c>
      <c r="B121" s="29" t="s">
        <v>55</v>
      </c>
      <c r="C121" s="29" t="s">
        <v>56</v>
      </c>
      <c r="D121" s="1" t="s">
        <v>189</v>
      </c>
      <c r="E121" s="1"/>
      <c r="F121" s="3"/>
      <c r="G121" s="5">
        <v>476.92307692307691</v>
      </c>
      <c r="H121" s="2"/>
      <c r="I121" s="2">
        <v>74.09</v>
      </c>
      <c r="J121" s="2">
        <v>0.97</v>
      </c>
      <c r="K121" s="2"/>
      <c r="L121" s="2"/>
      <c r="M121" s="26">
        <f>Таблица2[[#This Row],[Сумма Долл]]*Таблица2[[#This Row],[Курс ДОЛЛ]]</f>
        <v>35335.230769230773</v>
      </c>
      <c r="N12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36428.072957969867</v>
      </c>
      <c r="O12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475.63912732845296</v>
      </c>
      <c r="P1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1092.8421887390941</v>
      </c>
      <c r="Q121" s="30">
        <v>36428.07</v>
      </c>
      <c r="R121" s="12">
        <f>Таблица2[[#This Row],[Сумма в руб]]-Таблица2[[#This Row],[Оплата от клиента]]</f>
        <v>2.9579698675661348E-3</v>
      </c>
      <c r="S121" s="32">
        <v>44414</v>
      </c>
      <c r="T121" s="32" t="s">
        <v>130</v>
      </c>
      <c r="U121" s="24" t="s">
        <v>31</v>
      </c>
      <c r="V121" s="2"/>
      <c r="W121" s="28">
        <v>74.290000000000006</v>
      </c>
      <c r="X121" s="9">
        <v>476.92</v>
      </c>
      <c r="Y121" s="16"/>
      <c r="Z121" s="10">
        <v>44417</v>
      </c>
      <c r="AA121" s="26">
        <f>Таблица2[[#This Row],[Сумма перевода Долл/Евро]]*Таблица2[[#This Row],[Курс ДОЛЛ перевод]]+Таблица2[[#This Row],[Сумма за перевод руб]]</f>
        <v>36523.228988739102</v>
      </c>
      <c r="AB12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-1.2808726715470584</v>
      </c>
      <c r="AC121" s="9"/>
      <c r="AD121" s="41"/>
    </row>
    <row r="122" spans="1:30" ht="90" x14ac:dyDescent="0.25">
      <c r="A122" s="6">
        <v>44413</v>
      </c>
      <c r="B122" s="29" t="s">
        <v>55</v>
      </c>
      <c r="C122" s="29" t="s">
        <v>56</v>
      </c>
      <c r="D122" s="1" t="s">
        <v>190</v>
      </c>
      <c r="E122" s="1"/>
      <c r="F122" s="3"/>
      <c r="G122" s="5">
        <v>47.692307692307693</v>
      </c>
      <c r="H122" s="2"/>
      <c r="I122" s="2">
        <v>74.09</v>
      </c>
      <c r="J122" s="2">
        <v>0.97</v>
      </c>
      <c r="K122" s="2"/>
      <c r="L122" s="2"/>
      <c r="M122" s="26">
        <f>Таблица2[[#This Row],[Сумма Долл]]*Таблица2[[#This Row],[Курс ДОЛЛ]]</f>
        <v>3533.523076923077</v>
      </c>
      <c r="N12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3642.8072957969866</v>
      </c>
      <c r="O12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47.563912732845289</v>
      </c>
      <c r="P1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109.28421887390959</v>
      </c>
      <c r="Q122" s="30">
        <v>3642.81</v>
      </c>
      <c r="R122" s="12">
        <f>Таблица2[[#This Row],[Сумма в руб]]-Таблица2[[#This Row],[Оплата от клиента]]</f>
        <v>-2.7042030133088701E-3</v>
      </c>
      <c r="S122" s="32">
        <v>44414</v>
      </c>
      <c r="T122" s="32" t="s">
        <v>130</v>
      </c>
      <c r="U122" s="24" t="s">
        <v>31</v>
      </c>
      <c r="V122" s="2"/>
      <c r="W122" s="28">
        <v>74.290000000000006</v>
      </c>
      <c r="X122" s="9">
        <v>47.69</v>
      </c>
      <c r="Y122" s="16"/>
      <c r="Z122" s="10">
        <v>44417</v>
      </c>
      <c r="AA122" s="26">
        <f>Таблица2[[#This Row],[Сумма перевода Долл/Евро]]*Таблица2[[#This Row],[Курс ДОЛЛ перевод]]+Таблица2[[#This Row],[Сумма за перевод руб]]</f>
        <v>3652.1743188739097</v>
      </c>
      <c r="AB12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-0.12608726715470908</v>
      </c>
      <c r="AC122" s="9"/>
      <c r="AD122" s="41"/>
    </row>
    <row r="123" spans="1:30" ht="75" x14ac:dyDescent="0.25">
      <c r="A123" s="6">
        <v>44413</v>
      </c>
      <c r="B123" s="29" t="s">
        <v>55</v>
      </c>
      <c r="C123" s="29" t="s">
        <v>56</v>
      </c>
      <c r="D123" s="1" t="s">
        <v>191</v>
      </c>
      <c r="E123" s="1"/>
      <c r="F123" s="3"/>
      <c r="G123" s="5">
        <v>123.57692307692308</v>
      </c>
      <c r="H123" s="2"/>
      <c r="I123" s="2">
        <v>74.09</v>
      </c>
      <c r="J123" s="2">
        <v>0.97</v>
      </c>
      <c r="K123" s="2"/>
      <c r="L123" s="2"/>
      <c r="M123" s="26">
        <f>Таблица2[[#This Row],[Сумма Долл]]*Таблица2[[#This Row],[Курс ДОЛЛ]]</f>
        <v>9155.8142307692306</v>
      </c>
      <c r="N12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9438.9837430610623</v>
      </c>
      <c r="O12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123.24423516986445</v>
      </c>
      <c r="P1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283.16951229183178</v>
      </c>
      <c r="Q123" s="30">
        <v>9438.98</v>
      </c>
      <c r="R123" s="12">
        <f>Таблица2[[#This Row],[Сумма в руб]]-Таблица2[[#This Row],[Оплата от клиента]]</f>
        <v>3.743061062777997E-3</v>
      </c>
      <c r="S123" s="32">
        <v>44414</v>
      </c>
      <c r="T123" s="32" t="s">
        <v>130</v>
      </c>
      <c r="U123" s="24" t="s">
        <v>31</v>
      </c>
      <c r="V123" s="2"/>
      <c r="W123" s="28">
        <v>74.290000000000006</v>
      </c>
      <c r="X123" s="9">
        <v>123.58</v>
      </c>
      <c r="Y123" s="16"/>
      <c r="Z123" s="10">
        <v>44417</v>
      </c>
      <c r="AA123" s="26">
        <f>Таблица2[[#This Row],[Сумма перевода Долл/Евро]]*Таблица2[[#This Row],[Курс ДОЛЛ перевод]]+Таблица2[[#This Row],[Сумма за перевод руб]]</f>
        <v>9463.927712291832</v>
      </c>
      <c r="AB12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-0.33576483013554537</v>
      </c>
      <c r="AC123" s="9"/>
      <c r="AD123" s="41"/>
    </row>
    <row r="124" spans="1:30" x14ac:dyDescent="0.25">
      <c r="A124" s="6">
        <v>44413</v>
      </c>
      <c r="B124" s="2" t="s">
        <v>147</v>
      </c>
      <c r="C124" s="2" t="s">
        <v>148</v>
      </c>
      <c r="D124" s="1" t="s">
        <v>192</v>
      </c>
      <c r="E124" s="1"/>
      <c r="F124" s="3"/>
      <c r="G124" s="5">
        <v>6676</v>
      </c>
      <c r="H124" s="2"/>
      <c r="I124" s="2">
        <v>74.09</v>
      </c>
      <c r="J124" s="2">
        <v>0.97</v>
      </c>
      <c r="K124" s="2"/>
      <c r="L124" s="2"/>
      <c r="M124" s="26">
        <f>Таблица2[[#This Row],[Сумма Долл]]*Таблица2[[#This Row],[Курс ДОЛЛ]]</f>
        <v>494624.84</v>
      </c>
      <c r="N12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509922.51546391757</v>
      </c>
      <c r="O12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6676</v>
      </c>
      <c r="P12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15297.675463917549</v>
      </c>
      <c r="Q124" s="30"/>
      <c r="R124" s="12">
        <f>Таблица2[[#This Row],[Сумма в руб]]-Таблица2[[#This Row],[Оплата от клиента]]</f>
        <v>509922.51546391757</v>
      </c>
      <c r="S124" s="32"/>
      <c r="T124" s="32" t="s">
        <v>130</v>
      </c>
      <c r="U124" s="37"/>
      <c r="V124" s="2"/>
      <c r="W124" s="28"/>
      <c r="X124" s="9"/>
      <c r="Y124" s="16"/>
      <c r="Z124" s="2"/>
      <c r="AA124" s="26">
        <f>Таблица2[[#This Row],[Сумма перевода Долл/Евро]]*Таблица2[[#This Row],[Курс ДОЛЛ перевод]]+Таблица2[[#This Row],[Сумма за перевод руб]]</f>
        <v>15297.675463917549</v>
      </c>
      <c r="AB12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6676</v>
      </c>
      <c r="AC124" s="9"/>
      <c r="AD124" s="41"/>
    </row>
    <row r="125" spans="1:30" x14ac:dyDescent="0.25">
      <c r="A125" s="6">
        <v>44414</v>
      </c>
      <c r="B125" s="29" t="s">
        <v>126</v>
      </c>
      <c r="C125" s="29" t="s">
        <v>52</v>
      </c>
      <c r="D125" s="1" t="s">
        <v>372</v>
      </c>
      <c r="E125" s="1"/>
      <c r="F125" s="3"/>
      <c r="G125" s="5">
        <v>4000</v>
      </c>
      <c r="H125" s="2"/>
      <c r="I125" s="2">
        <v>74.09</v>
      </c>
      <c r="J125" s="2">
        <v>0.98</v>
      </c>
      <c r="K125" s="2"/>
      <c r="L125" s="2"/>
      <c r="M125" s="26">
        <f>Таблица2[[#This Row],[Сумма Долл]]*Таблица2[[#This Row],[Курс ДОЛЛ]]</f>
        <v>296360</v>
      </c>
      <c r="N12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302408.16326530615</v>
      </c>
      <c r="O12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4010.8269048585735</v>
      </c>
      <c r="P12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6048.1632653061533</v>
      </c>
      <c r="Q125" s="30">
        <v>302408.15999999997</v>
      </c>
      <c r="R125" s="12">
        <f>Таблица2[[#This Row],[Сумма в руб]]-Таблица2[[#This Row],[Оплата от клиента]]</f>
        <v>3.265306178946048E-3</v>
      </c>
      <c r="S125" s="32">
        <v>44414</v>
      </c>
      <c r="T125" s="32" t="s">
        <v>130</v>
      </c>
      <c r="U125" s="24" t="s">
        <v>31</v>
      </c>
      <c r="V125" s="2"/>
      <c r="W125" s="28">
        <v>73.89</v>
      </c>
      <c r="X125" s="9">
        <v>4000</v>
      </c>
      <c r="Y125" s="16"/>
      <c r="Z125" s="10">
        <v>44414</v>
      </c>
      <c r="AA125" s="26">
        <f>Таблица2[[#This Row],[Сумма перевода Долл/Евро]]*Таблица2[[#This Row],[Курс ДОЛЛ перевод]]+Таблица2[[#This Row],[Сумма за перевод руб]]</f>
        <v>301608.16326530615</v>
      </c>
      <c r="AB12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10.826904858573471</v>
      </c>
      <c r="AC125" s="9" t="s">
        <v>550</v>
      </c>
      <c r="AD125" s="41"/>
    </row>
    <row r="126" spans="1:30" x14ac:dyDescent="0.25">
      <c r="A126" s="6">
        <v>44414</v>
      </c>
      <c r="B126" s="29" t="s">
        <v>124</v>
      </c>
      <c r="C126" s="29" t="s">
        <v>193</v>
      </c>
      <c r="D126" s="1"/>
      <c r="E126" s="1"/>
      <c r="F126" s="3"/>
      <c r="G126" s="5">
        <v>54420</v>
      </c>
      <c r="H126" s="2"/>
      <c r="I126" s="2">
        <v>74.09</v>
      </c>
      <c r="J126" s="2">
        <v>0.98</v>
      </c>
      <c r="K126" s="2"/>
      <c r="L126" s="2"/>
      <c r="M126" s="26">
        <f>Таблица2[[#This Row],[Сумма Долл]]*Таблица2[[#This Row],[Курс ДОЛЛ]]</f>
        <v>4031977.8000000003</v>
      </c>
      <c r="N12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4114263.0612244899</v>
      </c>
      <c r="O12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54273.493067707634</v>
      </c>
      <c r="P1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82285.261224489659</v>
      </c>
      <c r="Q126" s="30">
        <v>4114263.06</v>
      </c>
      <c r="R126" s="12">
        <f>Таблица2[[#This Row],[Сумма в руб]]-Таблица2[[#This Row],[Оплата от клиента]]</f>
        <v>1.2244898825883865E-3</v>
      </c>
      <c r="S126" s="32">
        <v>44414</v>
      </c>
      <c r="T126" s="32" t="s">
        <v>130</v>
      </c>
      <c r="U126" s="24" t="s">
        <v>31</v>
      </c>
      <c r="V126" s="2"/>
      <c r="W126" s="28">
        <v>74.290000000000006</v>
      </c>
      <c r="X126" s="9">
        <v>54420</v>
      </c>
      <c r="Y126" s="16"/>
      <c r="Z126" s="10">
        <v>44417</v>
      </c>
      <c r="AA126" s="26">
        <f>Таблица2[[#This Row],[Сумма перевода Долл/Евро]]*Таблица2[[#This Row],[Курс ДОЛЛ перевод]]+Таблица2[[#This Row],[Сумма за перевод руб]]</f>
        <v>4125147.0612244899</v>
      </c>
      <c r="AB12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-146.5069322923664</v>
      </c>
      <c r="AC126" s="9"/>
      <c r="AD126" s="41"/>
    </row>
    <row r="127" spans="1:30" x14ac:dyDescent="0.25">
      <c r="A127" s="6">
        <v>44417</v>
      </c>
      <c r="B127" s="29" t="s">
        <v>47</v>
      </c>
      <c r="C127" s="29" t="s">
        <v>48</v>
      </c>
      <c r="D127" s="1" t="s">
        <v>194</v>
      </c>
      <c r="E127" s="1"/>
      <c r="F127" s="3"/>
      <c r="G127" s="5">
        <v>11724</v>
      </c>
      <c r="H127" s="2"/>
      <c r="I127" s="2">
        <v>74.489999999999995</v>
      </c>
      <c r="J127" s="2">
        <v>0.99</v>
      </c>
      <c r="K127" s="2"/>
      <c r="L127" s="2"/>
      <c r="M127" s="26">
        <f>Таблица2[[#This Row],[Сумма Долл]]*Таблица2[[#This Row],[Курс ДОЛЛ]]</f>
        <v>873320.75999999989</v>
      </c>
      <c r="N12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882142.18181818177</v>
      </c>
      <c r="O12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11736.604757425077</v>
      </c>
      <c r="P1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8821.4218181818724</v>
      </c>
      <c r="Q127" s="30">
        <v>882142.18</v>
      </c>
      <c r="R127" s="12">
        <f>Таблица2[[#This Row],[Сумма в руб]]-Таблица2[[#This Row],[Оплата от клиента]]</f>
        <v>1.8181817140430212E-3</v>
      </c>
      <c r="S127" s="32">
        <v>44418</v>
      </c>
      <c r="T127" s="32" t="s">
        <v>130</v>
      </c>
      <c r="U127" s="24" t="s">
        <v>31</v>
      </c>
      <c r="V127" s="2"/>
      <c r="W127" s="28">
        <v>74.41</v>
      </c>
      <c r="X127" s="9">
        <v>11724</v>
      </c>
      <c r="Y127" s="16"/>
      <c r="Z127" s="2"/>
      <c r="AA127" s="26">
        <f>Таблица2[[#This Row],[Сумма перевода Долл/Евро]]*Таблица2[[#This Row],[Курс ДОЛЛ перевод]]+Таблица2[[#This Row],[Сумма за перевод руб]]</f>
        <v>881204.26181818184</v>
      </c>
      <c r="AB12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12.604757425076969</v>
      </c>
      <c r="AC127" s="9"/>
      <c r="AD127" s="41"/>
    </row>
    <row r="128" spans="1:30" x14ac:dyDescent="0.25">
      <c r="A128" s="6">
        <v>44417</v>
      </c>
      <c r="B128" s="2" t="s">
        <v>195</v>
      </c>
      <c r="C128" s="2" t="s">
        <v>196</v>
      </c>
      <c r="D128" s="1"/>
      <c r="E128" s="1"/>
      <c r="F128" s="3">
        <v>47040</v>
      </c>
      <c r="G128" s="5">
        <f>Таблица2[[#This Row],[Сумма ЮА]]/Таблица2[[#This Row],[Курс ЮА]]</f>
        <v>7350</v>
      </c>
      <c r="H128" s="2">
        <v>6.4</v>
      </c>
      <c r="I128" s="2">
        <v>74.489999999999995</v>
      </c>
      <c r="J128" s="2">
        <v>0.94</v>
      </c>
      <c r="K128" s="2"/>
      <c r="L128" s="2"/>
      <c r="M128" s="26">
        <f>Таблица2[[#This Row],[Сумма Долл]]*Таблица2[[#This Row],[Курс ДОЛЛ]]</f>
        <v>547501.5</v>
      </c>
      <c r="N12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582448.40425531915</v>
      </c>
      <c r="O12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7350.0000000000009</v>
      </c>
      <c r="P1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34946.904255319154</v>
      </c>
      <c r="Q128" s="30"/>
      <c r="R128" s="12">
        <f>Таблица2[[#This Row],[Сумма в руб]]-Таблица2[[#This Row],[Оплата от клиента]]</f>
        <v>582448.40425531915</v>
      </c>
      <c r="S128" s="32"/>
      <c r="T128" s="32" t="s">
        <v>107</v>
      </c>
      <c r="U128" s="24"/>
      <c r="V128" s="2"/>
      <c r="W128" s="28"/>
      <c r="X128" s="9"/>
      <c r="Y128" s="16"/>
      <c r="Z128" s="2"/>
      <c r="AA128" s="26">
        <f>Таблица2[[#This Row],[Сумма перевода Долл/Евро]]*Таблица2[[#This Row],[Курс ДОЛЛ перевод]]+Таблица2[[#This Row],[Сумма за перевод руб]]</f>
        <v>34946.904255319154</v>
      </c>
      <c r="AB12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7350.0000000000009</v>
      </c>
      <c r="AC128" s="9"/>
      <c r="AD128" s="41"/>
    </row>
    <row r="129" spans="1:30" x14ac:dyDescent="0.25">
      <c r="A129" s="6">
        <v>44417</v>
      </c>
      <c r="B129" s="29" t="s">
        <v>197</v>
      </c>
      <c r="C129" s="29" t="s">
        <v>198</v>
      </c>
      <c r="D129" s="1"/>
      <c r="E129" s="1"/>
      <c r="F129" s="3"/>
      <c r="G129" s="5">
        <v>4373.2299999999996</v>
      </c>
      <c r="H129" s="2"/>
      <c r="I129" s="2">
        <v>74.489999999999995</v>
      </c>
      <c r="J129" s="2">
        <v>0.97</v>
      </c>
      <c r="K129" s="2"/>
      <c r="L129" s="2"/>
      <c r="M129" s="26">
        <f>Таблица2[[#This Row],[Сумма Долл]]*Таблица2[[#This Row],[Курс ДОЛЛ]]</f>
        <v>325761.90269999992</v>
      </c>
      <c r="N12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335837.01309278345</v>
      </c>
      <c r="O12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4377.9317658916807</v>
      </c>
      <c r="P12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10075.110392783536</v>
      </c>
      <c r="Q129" s="30">
        <v>335837.01</v>
      </c>
      <c r="R129" s="12">
        <f>Таблица2[[#This Row],[Сумма в руб]]-Таблица2[[#This Row],[Оплата от клиента]]</f>
        <v>3.0927834450267255E-3</v>
      </c>
      <c r="S129" s="32">
        <v>44418</v>
      </c>
      <c r="T129" s="32" t="s">
        <v>130</v>
      </c>
      <c r="U129" s="24" t="s">
        <v>31</v>
      </c>
      <c r="V129" s="2"/>
      <c r="W129" s="28">
        <v>74.41</v>
      </c>
      <c r="X129" s="9">
        <v>4373.2299999999996</v>
      </c>
      <c r="Y129" s="16"/>
      <c r="Z129" s="10">
        <v>44419</v>
      </c>
      <c r="AA129" s="26">
        <f>Таблица2[[#This Row],[Сумма перевода Долл/Евро]]*Таблица2[[#This Row],[Курс ДОЛЛ перевод]]+Таблица2[[#This Row],[Сумма за перевод руб]]</f>
        <v>335487.15469278349</v>
      </c>
      <c r="AB12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4.7017658916811342</v>
      </c>
      <c r="AC129" s="9"/>
      <c r="AD129" s="41"/>
    </row>
    <row r="130" spans="1:30" x14ac:dyDescent="0.25">
      <c r="A130" s="6">
        <v>44418</v>
      </c>
      <c r="B130" s="29" t="s">
        <v>72</v>
      </c>
      <c r="C130" s="29" t="s">
        <v>73</v>
      </c>
      <c r="D130" s="1" t="s">
        <v>199</v>
      </c>
      <c r="E130" s="1"/>
      <c r="F130" s="3"/>
      <c r="G130" s="5">
        <v>5889</v>
      </c>
      <c r="H130" s="2"/>
      <c r="I130" s="2">
        <v>74.61</v>
      </c>
      <c r="J130" s="2">
        <v>0.97</v>
      </c>
      <c r="K130" s="2"/>
      <c r="L130" s="2"/>
      <c r="M130" s="26">
        <f>Таблица2[[#This Row],[Сумма Долл]]*Таблица2[[#This Row],[Курс ДОЛЛ]]</f>
        <v>439378.29</v>
      </c>
      <c r="N13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452967.3092783505</v>
      </c>
      <c r="O13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5886.6330385852089</v>
      </c>
      <c r="P13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13589.019278350519</v>
      </c>
      <c r="Q130" s="30">
        <v>452967.31</v>
      </c>
      <c r="R130" s="12">
        <f>Таблица2[[#This Row],[Сумма в руб]]-Таблица2[[#This Row],[Оплата от клиента]]</f>
        <v>-7.2164949961006641E-4</v>
      </c>
      <c r="S130" s="32">
        <v>44419</v>
      </c>
      <c r="T130" s="32" t="s">
        <v>130</v>
      </c>
      <c r="U130" s="24" t="s">
        <v>31</v>
      </c>
      <c r="V130" s="2"/>
      <c r="W130" s="28">
        <v>74.64</v>
      </c>
      <c r="X130" s="9">
        <v>5889</v>
      </c>
      <c r="Y130" s="16"/>
      <c r="Z130" s="10">
        <v>44419</v>
      </c>
      <c r="AA130" s="26">
        <f>Таблица2[[#This Row],[Сумма перевода Долл/Евро]]*Таблица2[[#This Row],[Курс ДОЛЛ перевод]]+Таблица2[[#This Row],[Сумма за перевод руб]]</f>
        <v>453143.97927835054</v>
      </c>
      <c r="AB13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-2.3669614147911489</v>
      </c>
      <c r="AC130" s="9"/>
      <c r="AD130" s="41"/>
    </row>
    <row r="131" spans="1:30" x14ac:dyDescent="0.25">
      <c r="A131" s="6">
        <v>44418</v>
      </c>
      <c r="B131" s="29" t="s">
        <v>147</v>
      </c>
      <c r="C131" s="29" t="s">
        <v>148</v>
      </c>
      <c r="D131" s="1" t="s">
        <v>192</v>
      </c>
      <c r="E131" s="1"/>
      <c r="F131" s="3"/>
      <c r="G131" s="5">
        <v>3413</v>
      </c>
      <c r="H131" s="2"/>
      <c r="I131" s="2">
        <v>74.61</v>
      </c>
      <c r="J131" s="2">
        <v>0.97</v>
      </c>
      <c r="K131" s="2"/>
      <c r="L131" s="2"/>
      <c r="M131" s="26">
        <f>Таблица2[[#This Row],[Сумма Долл]]*Таблица2[[#This Row],[Курс ДОЛЛ]]</f>
        <v>254643.93</v>
      </c>
      <c r="N13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262519.51546391752</v>
      </c>
      <c r="O13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3413</v>
      </c>
      <c r="P13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7875.5854639175232</v>
      </c>
      <c r="Q131" s="30">
        <v>262519.52</v>
      </c>
      <c r="R131" s="12">
        <f>Таблица2[[#This Row],[Сумма в руб]]-Таблица2[[#This Row],[Оплата от клиента]]</f>
        <v>-4.5360825024545193E-3</v>
      </c>
      <c r="S131" s="32">
        <v>44419</v>
      </c>
      <c r="T131" s="32" t="s">
        <v>130</v>
      </c>
      <c r="U131" s="24" t="s">
        <v>31</v>
      </c>
      <c r="V131" s="2"/>
      <c r="W131" s="28"/>
      <c r="X131" s="9">
        <v>3413</v>
      </c>
      <c r="Y131" s="16"/>
      <c r="Z131" s="10">
        <v>44419</v>
      </c>
      <c r="AA131" s="26">
        <f>Таблица2[[#This Row],[Сумма перевода Долл/Евро]]*Таблица2[[#This Row],[Курс ДОЛЛ перевод]]+Таблица2[[#This Row],[Сумма за перевод руб]]</f>
        <v>7875.5854639175232</v>
      </c>
      <c r="AB13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131" s="9"/>
      <c r="AD131" s="41"/>
    </row>
    <row r="132" spans="1:30" x14ac:dyDescent="0.25">
      <c r="A132" s="6">
        <v>44418</v>
      </c>
      <c r="B132" s="38" t="s">
        <v>104</v>
      </c>
      <c r="C132" s="38" t="s">
        <v>105</v>
      </c>
      <c r="D132" s="1" t="s">
        <v>169</v>
      </c>
      <c r="E132" s="1"/>
      <c r="F132" s="3">
        <v>34010</v>
      </c>
      <c r="G132" s="5">
        <f>Таблица2[[#This Row],[Сумма ЮА]]/Таблица2[[#This Row],[Курс ЮА]]</f>
        <v>5314.0625</v>
      </c>
      <c r="H132" s="2">
        <v>6.4</v>
      </c>
      <c r="I132" s="2">
        <v>74.61</v>
      </c>
      <c r="J132" s="2">
        <v>0.96499999999999997</v>
      </c>
      <c r="K132" s="2"/>
      <c r="L132" s="2"/>
      <c r="M132" s="26">
        <f>Таблица2[[#This Row],[Сумма Долл]]*Таблица2[[#This Row],[Курс ДОЛЛ]]</f>
        <v>396482.203125</v>
      </c>
      <c r="N13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410862.38665803109</v>
      </c>
      <c r="O13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5314.0625</v>
      </c>
      <c r="P1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14380.183533031086</v>
      </c>
      <c r="Q132" s="30">
        <v>410862.39</v>
      </c>
      <c r="R132" s="12">
        <f>Таблица2[[#This Row],[Сумма в руб]]-Таблица2[[#This Row],[Оплата от клиента]]</f>
        <v>-3.3419689279980958E-3</v>
      </c>
      <c r="S132" s="32">
        <v>44418</v>
      </c>
      <c r="T132" s="32" t="s">
        <v>107</v>
      </c>
      <c r="U132" s="24" t="s">
        <v>31</v>
      </c>
      <c r="V132" s="2">
        <v>6.42</v>
      </c>
      <c r="W132" s="28">
        <v>74.61</v>
      </c>
      <c r="X132" s="9">
        <v>5314.06</v>
      </c>
      <c r="Y132" s="16">
        <v>34010</v>
      </c>
      <c r="Z132" s="10">
        <v>44419</v>
      </c>
      <c r="AA132" s="26">
        <f>Таблица2[[#This Row],[Сумма перевода Долл/Евро]]*Таблица2[[#This Row],[Курс ДОЛЛ перевод]]+Таблица2[[#This Row],[Сумма за перевод руб]]</f>
        <v>410862.20013303112</v>
      </c>
      <c r="AB13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16.554711838006369</v>
      </c>
      <c r="AC132" s="9" t="s">
        <v>425</v>
      </c>
      <c r="AD132" s="41"/>
    </row>
    <row r="133" spans="1:30" x14ac:dyDescent="0.25">
      <c r="A133" s="6">
        <v>44418</v>
      </c>
      <c r="B133" s="2" t="s">
        <v>72</v>
      </c>
      <c r="C133" s="2" t="s">
        <v>73</v>
      </c>
      <c r="D133" s="1"/>
      <c r="E133" s="1"/>
      <c r="F133" s="3"/>
      <c r="G133" s="5">
        <v>15000</v>
      </c>
      <c r="H133" s="2"/>
      <c r="I133" s="2">
        <v>74.61</v>
      </c>
      <c r="J133" s="2">
        <v>0.97</v>
      </c>
      <c r="K133" s="2"/>
      <c r="L133" s="2"/>
      <c r="M133" s="26">
        <f>Таблица2[[#This Row],[Сумма Долл]]*Таблица2[[#This Row],[Курс ДОЛЛ]]</f>
        <v>1119150</v>
      </c>
      <c r="N13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1153762.8865979381</v>
      </c>
      <c r="O13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15000</v>
      </c>
      <c r="P1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34612.886597938137</v>
      </c>
      <c r="Q133" s="30"/>
      <c r="R133" s="12">
        <f>Таблица2[[#This Row],[Сумма в руб]]-Таблица2[[#This Row],[Оплата от клиента]]</f>
        <v>1153762.8865979381</v>
      </c>
      <c r="S133" s="32"/>
      <c r="T133" s="32" t="s">
        <v>130</v>
      </c>
      <c r="U133" s="24"/>
      <c r="V133" s="2"/>
      <c r="W133" s="28"/>
      <c r="X133" s="9"/>
      <c r="Y133" s="16"/>
      <c r="Z133" s="10"/>
      <c r="AA133" s="26">
        <f>Таблица2[[#This Row],[Сумма перевода Долл/Евро]]*Таблица2[[#This Row],[Курс ДОЛЛ перевод]]+Таблица2[[#This Row],[Сумма за перевод руб]]</f>
        <v>34612.886597938137</v>
      </c>
      <c r="AB13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15000</v>
      </c>
      <c r="AC133" s="9"/>
      <c r="AD133" s="41"/>
    </row>
    <row r="134" spans="1:30" x14ac:dyDescent="0.25">
      <c r="A134" s="6">
        <v>44418</v>
      </c>
      <c r="B134" s="38" t="s">
        <v>47</v>
      </c>
      <c r="C134" s="38" t="s">
        <v>48</v>
      </c>
      <c r="D134" s="1"/>
      <c r="E134" s="1"/>
      <c r="F134" s="3"/>
      <c r="G134" s="5">
        <v>9540</v>
      </c>
      <c r="H134" s="2"/>
      <c r="I134" s="2">
        <v>74.61</v>
      </c>
      <c r="J134" s="2">
        <v>0.97</v>
      </c>
      <c r="K134" s="2"/>
      <c r="L134" s="2"/>
      <c r="M134" s="26">
        <f>Таблица2[[#This Row],[Сумма Долл]]*Таблица2[[#This Row],[Курс ДОЛЛ]]</f>
        <v>711779.4</v>
      </c>
      <c r="N13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733793.19587628869</v>
      </c>
      <c r="O13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9551.5217391304359</v>
      </c>
      <c r="P1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22013.79587628867</v>
      </c>
      <c r="Q134" s="30">
        <v>733793.2</v>
      </c>
      <c r="R134" s="12">
        <f>Таблица2[[#This Row],[Сумма в руб]]-Таблица2[[#This Row],[Оплата от клиента]]</f>
        <v>-4.123711260035634E-3</v>
      </c>
      <c r="S134" s="32">
        <v>44419</v>
      </c>
      <c r="T134" s="32" t="s">
        <v>107</v>
      </c>
      <c r="U134" s="24" t="s">
        <v>31</v>
      </c>
      <c r="V134" s="2">
        <v>6.42</v>
      </c>
      <c r="W134" s="28">
        <v>74.52</v>
      </c>
      <c r="X134" s="9">
        <v>9551.5</v>
      </c>
      <c r="Y134" s="16">
        <v>64775</v>
      </c>
      <c r="Z134" s="2"/>
      <c r="AA134" s="26">
        <f>Таблица2[[#This Row],[Сумма перевода Долл/Евро]]*Таблица2[[#This Row],[Курс ДОЛЛ перевод]]+Таблица2[[#This Row],[Сумма за перевод руб]]</f>
        <v>733791.57587628858</v>
      </c>
      <c r="AB13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-538.04212379791352</v>
      </c>
      <c r="AC134" s="9" t="s">
        <v>549</v>
      </c>
      <c r="AD134" s="41"/>
    </row>
    <row r="135" spans="1:30" x14ac:dyDescent="0.25">
      <c r="A135" s="6">
        <v>44419</v>
      </c>
      <c r="B135" s="29" t="s">
        <v>200</v>
      </c>
      <c r="C135" s="29" t="s">
        <v>201</v>
      </c>
      <c r="D135" s="1"/>
      <c r="E135" s="1"/>
      <c r="F135" s="3"/>
      <c r="G135" s="5">
        <v>2892</v>
      </c>
      <c r="H135" s="2"/>
      <c r="I135" s="2">
        <v>74.72</v>
      </c>
      <c r="J135" s="2"/>
      <c r="K135" s="2">
        <v>80</v>
      </c>
      <c r="L135" s="2"/>
      <c r="M135" s="26">
        <f>Таблица2[[#This Row],[Сумма Долл]]*Таблица2[[#This Row],[Курс ДОЛЛ]]</f>
        <v>216090.23999999999</v>
      </c>
      <c r="N13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222067.84</v>
      </c>
      <c r="O13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2892</v>
      </c>
      <c r="P13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5977.6</v>
      </c>
      <c r="Q135" s="30">
        <v>222067.84</v>
      </c>
      <c r="R135" s="12">
        <f>Таблица2[[#This Row],[Сумма в руб]]-Таблица2[[#This Row],[Оплата от клиента]]</f>
        <v>0</v>
      </c>
      <c r="S135" s="32">
        <v>44419</v>
      </c>
      <c r="T135" s="32" t="s">
        <v>130</v>
      </c>
      <c r="U135" s="24" t="s">
        <v>31</v>
      </c>
      <c r="V135" s="2"/>
      <c r="W135" s="28"/>
      <c r="X135" s="9">
        <v>2892</v>
      </c>
      <c r="Y135" s="16"/>
      <c r="Z135" s="10">
        <v>44419</v>
      </c>
      <c r="AA135" s="26">
        <f>Таблица2[[#This Row],[Сумма перевода Долл/Евро]]*Таблица2[[#This Row],[Курс ДОЛЛ перевод]]+Таблица2[[#This Row],[Сумма за перевод руб]]</f>
        <v>5977.6</v>
      </c>
      <c r="AB13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135" s="9"/>
      <c r="AD135" s="41"/>
    </row>
    <row r="136" spans="1:30" x14ac:dyDescent="0.25">
      <c r="A136" s="6">
        <v>44419</v>
      </c>
      <c r="B136" s="29" t="s">
        <v>202</v>
      </c>
      <c r="C136" s="29" t="s">
        <v>203</v>
      </c>
      <c r="D136" s="1"/>
      <c r="E136" s="1"/>
      <c r="F136" s="3"/>
      <c r="G136" s="5">
        <v>4000</v>
      </c>
      <c r="H136" s="2"/>
      <c r="I136" s="2">
        <v>75.069999999999993</v>
      </c>
      <c r="J136" s="2">
        <v>0.97</v>
      </c>
      <c r="K136" s="2"/>
      <c r="L136" s="2"/>
      <c r="M136" s="26">
        <f>Таблица2[[#This Row],[Сумма Долл]]*Таблица2[[#This Row],[Курс ДОЛЛ]]</f>
        <v>300280</v>
      </c>
      <c r="N13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309567.01030927838</v>
      </c>
      <c r="O13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4037.1067491261092</v>
      </c>
      <c r="P1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9287.0103092783829</v>
      </c>
      <c r="Q136" s="30">
        <v>309567.01</v>
      </c>
      <c r="R136" s="12">
        <f>Таблица2[[#This Row],[Сумма в руб]]-Таблица2[[#This Row],[Оплата от клиента]]</f>
        <v>3.0927837360650301E-4</v>
      </c>
      <c r="S136" s="32">
        <v>44420</v>
      </c>
      <c r="T136" s="32" t="s">
        <v>130</v>
      </c>
      <c r="U136" s="24" t="s">
        <v>31</v>
      </c>
      <c r="V136" s="2"/>
      <c r="W136" s="28">
        <v>74.38</v>
      </c>
      <c r="X136" s="9">
        <v>4000</v>
      </c>
      <c r="Y136" s="16"/>
      <c r="Z136" s="10">
        <v>44420</v>
      </c>
      <c r="AA136" s="26">
        <f>Таблица2[[#This Row],[Сумма перевода Долл/Евро]]*Таблица2[[#This Row],[Курс ДОЛЛ перевод]]+Таблица2[[#This Row],[Сумма за перевод руб]]</f>
        <v>306807.01030927838</v>
      </c>
      <c r="AB13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37.106749126109207</v>
      </c>
      <c r="AC136" s="9"/>
      <c r="AD136" s="41"/>
    </row>
    <row r="137" spans="1:30" x14ac:dyDescent="0.25">
      <c r="A137" s="6">
        <v>44419</v>
      </c>
      <c r="B137" s="29" t="s">
        <v>202</v>
      </c>
      <c r="C137" s="29" t="s">
        <v>203</v>
      </c>
      <c r="D137" s="1"/>
      <c r="E137" s="1"/>
      <c r="F137" s="3"/>
      <c r="G137" s="5">
        <v>280</v>
      </c>
      <c r="H137" s="2"/>
      <c r="I137" s="2">
        <v>75.069999999999993</v>
      </c>
      <c r="J137" s="2"/>
      <c r="K137" s="2"/>
      <c r="L137" s="2">
        <v>5000</v>
      </c>
      <c r="M137" s="26">
        <f>Таблица2[[#This Row],[Сумма Долл]]*Таблица2[[#This Row],[Курс ДОЛЛ]]</f>
        <v>21019.599999999999</v>
      </c>
      <c r="N13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26019.599999999999</v>
      </c>
      <c r="O13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282.59747243882765</v>
      </c>
      <c r="P1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5000</v>
      </c>
      <c r="Q137" s="30">
        <v>29019.599999999999</v>
      </c>
      <c r="R137" s="12">
        <f>Таблица2[[#This Row],[Сумма в руб]]-Таблица2[[#This Row],[Оплата от клиента]]</f>
        <v>-3000</v>
      </c>
      <c r="S137" s="32">
        <v>44420</v>
      </c>
      <c r="T137" s="32" t="s">
        <v>130</v>
      </c>
      <c r="U137" s="24" t="s">
        <v>31</v>
      </c>
      <c r="V137" s="2"/>
      <c r="W137" s="28">
        <v>74.38</v>
      </c>
      <c r="X137" s="9">
        <v>280</v>
      </c>
      <c r="Y137" s="16"/>
      <c r="Z137" s="10">
        <v>44420</v>
      </c>
      <c r="AA137" s="26">
        <f>Таблица2[[#This Row],[Сумма перевода Долл/Евро]]*Таблица2[[#This Row],[Курс ДОЛЛ перевод]]+Таблица2[[#This Row],[Сумма за перевод руб]]</f>
        <v>25826.399999999998</v>
      </c>
      <c r="AB13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2.5974724388276513</v>
      </c>
      <c r="AC137" s="9"/>
      <c r="AD137" s="41"/>
    </row>
    <row r="138" spans="1:30" x14ac:dyDescent="0.25">
      <c r="A138" s="6">
        <v>44420</v>
      </c>
      <c r="B138" s="29" t="s">
        <v>100</v>
      </c>
      <c r="C138" s="29" t="s">
        <v>101</v>
      </c>
      <c r="D138" s="1"/>
      <c r="E138" s="1"/>
      <c r="F138" s="3"/>
      <c r="G138" s="5">
        <v>54368</v>
      </c>
      <c r="H138" s="2"/>
      <c r="I138" s="2">
        <v>74.38</v>
      </c>
      <c r="J138" s="2">
        <v>0.98</v>
      </c>
      <c r="K138" s="2"/>
      <c r="L138" s="2"/>
      <c r="M138" s="26">
        <f>Таблица2[[#This Row],[Сумма Долл]]*Таблица2[[#This Row],[Курс ДОЛЛ]]</f>
        <v>4043891.84</v>
      </c>
      <c r="N13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4126420.2448979593</v>
      </c>
      <c r="O13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54368</v>
      </c>
      <c r="P13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82528.404897959437</v>
      </c>
      <c r="Q138" s="30">
        <v>4126420.24</v>
      </c>
      <c r="R138" s="12">
        <f>Таблица2[[#This Row],[Сумма в руб]]-Таблица2[[#This Row],[Оплата от клиента]]</f>
        <v>4.8979590646922588E-3</v>
      </c>
      <c r="S138" s="32">
        <v>44420</v>
      </c>
      <c r="T138" s="32" t="s">
        <v>130</v>
      </c>
      <c r="U138" s="24" t="s">
        <v>31</v>
      </c>
      <c r="V138" s="2"/>
      <c r="W138" s="28"/>
      <c r="X138" s="9">
        <v>54368</v>
      </c>
      <c r="Y138" s="16"/>
      <c r="Z138" s="10">
        <v>44420</v>
      </c>
      <c r="AA138" s="26">
        <f>Таблица2[[#This Row],[Сумма перевода Долл/Евро]]*Таблица2[[#This Row],[Курс ДОЛЛ перевод]]+Таблица2[[#This Row],[Сумма за перевод руб]]</f>
        <v>82528.404897959437</v>
      </c>
      <c r="AB13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138" s="9"/>
      <c r="AD138" s="41"/>
    </row>
    <row r="139" spans="1:30" x14ac:dyDescent="0.25">
      <c r="A139" s="6">
        <v>44420</v>
      </c>
      <c r="B139" s="29" t="s">
        <v>173</v>
      </c>
      <c r="C139" s="29" t="s">
        <v>29</v>
      </c>
      <c r="D139" s="1"/>
      <c r="E139" s="1"/>
      <c r="F139" s="3"/>
      <c r="G139" s="5">
        <v>7900</v>
      </c>
      <c r="H139" s="2"/>
      <c r="I139" s="2">
        <v>74.58</v>
      </c>
      <c r="J139" s="2">
        <v>0.99</v>
      </c>
      <c r="K139" s="2"/>
      <c r="L139" s="2"/>
      <c r="M139" s="26">
        <f>Таблица2[[#This Row],[Сумма Долл]]*Таблица2[[#This Row],[Курс ДОЛЛ]]</f>
        <v>589182</v>
      </c>
      <c r="N13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595133.33333333337</v>
      </c>
      <c r="O13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7900</v>
      </c>
      <c r="P13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5951.3333333333721</v>
      </c>
      <c r="Q139" s="30">
        <v>595133.32999999996</v>
      </c>
      <c r="R139" s="12">
        <f>Таблица2[[#This Row],[Сумма в руб]]-Таблица2[[#This Row],[Оплата от клиента]]</f>
        <v>3.3333334140479565E-3</v>
      </c>
      <c r="S139" s="32">
        <v>44420</v>
      </c>
      <c r="T139" s="32" t="s">
        <v>130</v>
      </c>
      <c r="U139" s="24" t="s">
        <v>31</v>
      </c>
      <c r="V139" s="2"/>
      <c r="W139" s="28"/>
      <c r="X139" s="9">
        <v>7900</v>
      </c>
      <c r="Y139" s="16"/>
      <c r="Z139" s="10">
        <v>44420</v>
      </c>
      <c r="AA139" s="26">
        <f>Таблица2[[#This Row],[Сумма перевода Долл/Евро]]*Таблица2[[#This Row],[Курс ДОЛЛ перевод]]+Таблица2[[#This Row],[Сумма за перевод руб]]</f>
        <v>5951.3333333333721</v>
      </c>
      <c r="AB13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139" s="9"/>
      <c r="AD139" s="41"/>
    </row>
    <row r="140" spans="1:30" x14ac:dyDescent="0.25">
      <c r="A140" s="6">
        <v>44420</v>
      </c>
      <c r="B140" s="38" t="s">
        <v>158</v>
      </c>
      <c r="C140" s="38" t="s">
        <v>322</v>
      </c>
      <c r="D140" s="1"/>
      <c r="E140" s="1"/>
      <c r="F140" s="3">
        <v>13557.6</v>
      </c>
      <c r="G140" s="5">
        <f>Таблица2[[#This Row],[Сумма ЮА]]/Таблица2[[#This Row],[Курс ЮА]]</f>
        <v>2118.375</v>
      </c>
      <c r="H140" s="2">
        <v>6.4</v>
      </c>
      <c r="I140" s="2">
        <v>74.58</v>
      </c>
      <c r="J140" s="2"/>
      <c r="K140" s="2">
        <v>80</v>
      </c>
      <c r="L140" s="2"/>
      <c r="M140" s="26">
        <f>Таблица2[[#This Row],[Сумма Долл]]*Таблица2[[#This Row],[Курс ДОЛЛ]]</f>
        <v>157988.4075</v>
      </c>
      <c r="N14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163954.8075</v>
      </c>
      <c r="O14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2124.0710876579728</v>
      </c>
      <c r="P1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5950.4</v>
      </c>
      <c r="Q140" s="30">
        <v>163954.81</v>
      </c>
      <c r="R140" s="12">
        <f>Таблица2[[#This Row],[Сумма в руб]]-Таблица2[[#This Row],[Оплата от клиента]]</f>
        <v>-2.5000000023283064E-3</v>
      </c>
      <c r="S140" s="32">
        <v>44420</v>
      </c>
      <c r="T140" s="32" t="s">
        <v>161</v>
      </c>
      <c r="U140" s="24" t="s">
        <v>31</v>
      </c>
      <c r="V140" s="2"/>
      <c r="W140" s="28">
        <v>74.38</v>
      </c>
      <c r="X140" s="9">
        <v>2124</v>
      </c>
      <c r="Y140" s="16"/>
      <c r="Z140" s="10">
        <v>44420</v>
      </c>
      <c r="AA140" s="26">
        <f>Таблица2[[#This Row],[Сумма перевода Долл/Евро]]*Таблица2[[#This Row],[Курс ДОЛЛ перевод]]+Таблица2[[#This Row],[Сумма за перевод руб]]</f>
        <v>163933.51999999999</v>
      </c>
      <c r="AB14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7.1087657972839224E-2</v>
      </c>
      <c r="AC140" s="9" t="s">
        <v>425</v>
      </c>
      <c r="AD140" s="41"/>
    </row>
    <row r="141" spans="1:30" x14ac:dyDescent="0.25">
      <c r="A141" s="6">
        <v>44421</v>
      </c>
      <c r="B141" s="29" t="s">
        <v>165</v>
      </c>
      <c r="C141" s="29" t="s">
        <v>204</v>
      </c>
      <c r="D141" s="1"/>
      <c r="E141" s="1"/>
      <c r="F141" s="3"/>
      <c r="G141" s="5">
        <v>1916</v>
      </c>
      <c r="H141" s="2"/>
      <c r="I141" s="2">
        <v>74.510000000000005</v>
      </c>
      <c r="J141" s="2"/>
      <c r="K141" s="2">
        <v>80</v>
      </c>
      <c r="L141" s="2"/>
      <c r="M141" s="26">
        <f>Таблица2[[#This Row],[Сумма Долл]]*Таблица2[[#This Row],[Курс ДОЛЛ]]</f>
        <v>142761.16</v>
      </c>
      <c r="N14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148721.96000000002</v>
      </c>
      <c r="O14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1916</v>
      </c>
      <c r="P1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5960.8</v>
      </c>
      <c r="Q141" s="30">
        <v>148721.96</v>
      </c>
      <c r="R141" s="12">
        <f>Таблица2[[#This Row],[Сумма в руб]]-Таблица2[[#This Row],[Оплата от клиента]]</f>
        <v>0</v>
      </c>
      <c r="S141" s="32">
        <v>44421</v>
      </c>
      <c r="T141" s="32" t="s">
        <v>130</v>
      </c>
      <c r="U141" s="24" t="s">
        <v>31</v>
      </c>
      <c r="V141" s="2"/>
      <c r="W141" s="28"/>
      <c r="X141" s="9">
        <v>1916</v>
      </c>
      <c r="Y141" s="16"/>
      <c r="Z141" s="10">
        <v>44421</v>
      </c>
      <c r="AA141" s="26">
        <f>Таблица2[[#This Row],[Сумма перевода Долл/Евро]]*Таблица2[[#This Row],[Курс ДОЛЛ перевод]]+Таблица2[[#This Row],[Сумма за перевод руб]]</f>
        <v>5960.8</v>
      </c>
      <c r="AB14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141" s="9"/>
      <c r="AD141" s="41"/>
    </row>
    <row r="142" spans="1:30" x14ac:dyDescent="0.25">
      <c r="A142" s="6">
        <v>44421</v>
      </c>
      <c r="B142" s="29" t="s">
        <v>35</v>
      </c>
      <c r="C142" s="29" t="s">
        <v>36</v>
      </c>
      <c r="D142" s="1" t="s">
        <v>426</v>
      </c>
      <c r="E142" s="1"/>
      <c r="F142" s="3"/>
      <c r="G142" s="5">
        <v>1636</v>
      </c>
      <c r="H142" s="2"/>
      <c r="I142" s="2">
        <v>74.510000000000005</v>
      </c>
      <c r="J142" s="2"/>
      <c r="K142" s="2">
        <v>80</v>
      </c>
      <c r="L142" s="2"/>
      <c r="M142" s="26">
        <f>Таблица2[[#This Row],[Сумма Долл]]*Таблица2[[#This Row],[Курс ДОЛЛ]]</f>
        <v>121898.36000000002</v>
      </c>
      <c r="N14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127859.16</v>
      </c>
      <c r="O14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1660.2882048488152</v>
      </c>
      <c r="P14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5873.6</v>
      </c>
      <c r="Q142" s="30">
        <v>127859.16</v>
      </c>
      <c r="R142" s="12">
        <f>Таблица2[[#This Row],[Сумма в руб]]-Таблица2[[#This Row],[Оплата от клиента]]</f>
        <v>0</v>
      </c>
      <c r="S142" s="32">
        <v>44424</v>
      </c>
      <c r="T142" s="32" t="s">
        <v>130</v>
      </c>
      <c r="U142" s="24" t="s">
        <v>31</v>
      </c>
      <c r="V142" s="2"/>
      <c r="W142" s="28">
        <v>73.42</v>
      </c>
      <c r="X142" s="9">
        <v>1636</v>
      </c>
      <c r="Y142" s="16"/>
      <c r="Z142" s="10">
        <v>44424</v>
      </c>
      <c r="AA142" s="26">
        <f>Таблица2[[#This Row],[Сумма перевода Долл/Евро]]*Таблица2[[#This Row],[Курс ДОЛЛ перевод]]+Таблица2[[#This Row],[Сумма за перевод руб]]</f>
        <v>125988.72000000002</v>
      </c>
      <c r="AB14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24.288204848815212</v>
      </c>
      <c r="AC142" s="9" t="s">
        <v>389</v>
      </c>
      <c r="AD142" s="41"/>
    </row>
    <row r="143" spans="1:30" ht="30" x14ac:dyDescent="0.25">
      <c r="A143" s="6">
        <v>44421</v>
      </c>
      <c r="B143" s="2" t="s">
        <v>205</v>
      </c>
      <c r="C143" s="1" t="s">
        <v>206</v>
      </c>
      <c r="D143" s="1"/>
      <c r="E143" s="1"/>
      <c r="F143" s="3"/>
      <c r="G143" s="5">
        <v>10200</v>
      </c>
      <c r="H143" s="2"/>
      <c r="I143" s="2">
        <v>74.510000000000005</v>
      </c>
      <c r="J143" s="2">
        <v>0.97</v>
      </c>
      <c r="K143" s="2"/>
      <c r="L143" s="2"/>
      <c r="M143" s="26">
        <f>Таблица2[[#This Row],[Сумма Долл]]*Таблица2[[#This Row],[Курс ДОЛЛ]]</f>
        <v>760002</v>
      </c>
      <c r="N14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783507.21649484534</v>
      </c>
      <c r="O14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10200</v>
      </c>
      <c r="P14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23505.216494845343</v>
      </c>
      <c r="Q143" s="30"/>
      <c r="R143" s="12">
        <f>Таблица2[[#This Row],[Сумма в руб]]-Таблица2[[#This Row],[Оплата от клиента]]</f>
        <v>783507.21649484534</v>
      </c>
      <c r="S143" s="32"/>
      <c r="T143" s="32" t="s">
        <v>130</v>
      </c>
      <c r="U143" s="24"/>
      <c r="V143" s="2"/>
      <c r="W143" s="28"/>
      <c r="X143" s="9"/>
      <c r="Y143" s="16"/>
      <c r="Z143" s="2"/>
      <c r="AA143" s="26">
        <f>Таблица2[[#This Row],[Сумма перевода Долл/Евро]]*Таблица2[[#This Row],[Курс ДОЛЛ перевод]]+Таблица2[[#This Row],[Сумма за перевод руб]]</f>
        <v>23505.216494845343</v>
      </c>
      <c r="AB14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10200</v>
      </c>
      <c r="AC143" s="9"/>
      <c r="AD143" s="41"/>
    </row>
    <row r="144" spans="1:30" x14ac:dyDescent="0.25">
      <c r="A144" s="6">
        <v>44421</v>
      </c>
      <c r="B144" s="29" t="s">
        <v>38</v>
      </c>
      <c r="C144" s="29" t="s">
        <v>39</v>
      </c>
      <c r="D144" s="1" t="s">
        <v>151</v>
      </c>
      <c r="E144" s="1"/>
      <c r="F144" s="3"/>
      <c r="G144" s="5">
        <v>2335.12</v>
      </c>
      <c r="H144" s="2"/>
      <c r="I144" s="2">
        <v>74.510000000000005</v>
      </c>
      <c r="J144" s="2">
        <v>0.96499999999999997</v>
      </c>
      <c r="K144" s="2"/>
      <c r="L144" s="2"/>
      <c r="M144" s="26">
        <f>Таблица2[[#This Row],[Сумма Долл]]*Таблица2[[#This Row],[Курс ДОЛЛ]]</f>
        <v>173989.79120000001</v>
      </c>
      <c r="N14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180300.30176165805</v>
      </c>
      <c r="O14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2322.6510639433991</v>
      </c>
      <c r="P14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6310.5105616580404</v>
      </c>
      <c r="Q144" s="30">
        <v>180300.3</v>
      </c>
      <c r="R144" s="12">
        <f>Таблица2[[#This Row],[Сумма в руб]]-Таблица2[[#This Row],[Оплата от клиента]]</f>
        <v>1.7616580589674413E-3</v>
      </c>
      <c r="S144" s="32">
        <v>44427</v>
      </c>
      <c r="T144" s="32" t="s">
        <v>130</v>
      </c>
      <c r="U144" s="24" t="s">
        <v>31</v>
      </c>
      <c r="V144" s="2"/>
      <c r="W144" s="28">
        <v>74.91</v>
      </c>
      <c r="X144" s="9">
        <v>2335.12</v>
      </c>
      <c r="Y144" s="16"/>
      <c r="Z144" s="10">
        <v>44427</v>
      </c>
      <c r="AA144" s="26">
        <f>Таблица2[[#This Row],[Сумма перевода Долл/Евро]]*Таблица2[[#This Row],[Курс ДОЛЛ перевод]]+Таблица2[[#This Row],[Сумма за перевод руб]]</f>
        <v>181234.34976165803</v>
      </c>
      <c r="AB14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-12.468936056600796</v>
      </c>
      <c r="AC144" s="9" t="s">
        <v>556</v>
      </c>
      <c r="AD144" s="41"/>
    </row>
    <row r="145" spans="1:30" x14ac:dyDescent="0.25">
      <c r="A145" s="6">
        <v>44424</v>
      </c>
      <c r="B145" s="38" t="s">
        <v>117</v>
      </c>
      <c r="C145" s="38" t="s">
        <v>184</v>
      </c>
      <c r="D145" s="1" t="s">
        <v>207</v>
      </c>
      <c r="E145" s="1"/>
      <c r="F145" s="3">
        <f>90680/2</f>
        <v>45340</v>
      </c>
      <c r="G145" s="5">
        <f>Таблица2[[#This Row],[Сумма ЮА]]/Таблица2[[#This Row],[Курс ЮА]]</f>
        <v>7062.3052959501556</v>
      </c>
      <c r="H145" s="2">
        <v>6.42</v>
      </c>
      <c r="I145" s="2">
        <v>74.58</v>
      </c>
      <c r="J145" s="2">
        <v>0.94</v>
      </c>
      <c r="K145" s="2"/>
      <c r="L145" s="2"/>
      <c r="M145" s="26">
        <f>Таблица2[[#This Row],[Сумма Долл]]*Таблица2[[#This Row],[Курс ДОЛЛ]]</f>
        <v>526706.72897196258</v>
      </c>
      <c r="N14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560326.30741698155</v>
      </c>
      <c r="O14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7193.4816849489562</v>
      </c>
      <c r="P14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33619.578445018968</v>
      </c>
      <c r="Q145" s="30">
        <v>548652.84</v>
      </c>
      <c r="R145" s="12">
        <f>Таблица2[[#This Row],[Сумма в руб]]-Таблица2[[#This Row],[Оплата от клиента]]</f>
        <v>11673.467416981584</v>
      </c>
      <c r="S145" s="32">
        <v>44424</v>
      </c>
      <c r="T145" s="32" t="s">
        <v>107</v>
      </c>
      <c r="U145" s="24" t="s">
        <v>31</v>
      </c>
      <c r="V145" s="2">
        <v>6.4</v>
      </c>
      <c r="W145" s="28">
        <v>73.22</v>
      </c>
      <c r="X145" s="9">
        <v>7062.31</v>
      </c>
      <c r="Y145" s="16">
        <v>45340</v>
      </c>
      <c r="Z145" s="10">
        <v>44421</v>
      </c>
      <c r="AA145" s="26">
        <f>Таблица2[[#This Row],[Сумма перевода Долл/Евро]]*Таблица2[[#This Row],[Курс ДОЛЛ перевод]]+Таблица2[[#This Row],[Сумма за перевод руб]]</f>
        <v>550721.91664501897</v>
      </c>
      <c r="AB14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109.10668494895617</v>
      </c>
      <c r="AC145" s="9" t="s">
        <v>466</v>
      </c>
      <c r="AD145" s="41"/>
    </row>
    <row r="146" spans="1:30" x14ac:dyDescent="0.25">
      <c r="A146" s="6">
        <v>44424</v>
      </c>
      <c r="B146" s="38" t="s">
        <v>72</v>
      </c>
      <c r="C146" s="38" t="s">
        <v>73</v>
      </c>
      <c r="D146" s="1"/>
      <c r="E146" s="1"/>
      <c r="F146" s="3"/>
      <c r="G146" s="5">
        <v>50000</v>
      </c>
      <c r="H146" s="2"/>
      <c r="I146" s="2">
        <v>74.58</v>
      </c>
      <c r="J146" s="2">
        <v>0.95</v>
      </c>
      <c r="K146" s="2"/>
      <c r="L146" s="2"/>
      <c r="M146" s="26">
        <f>Таблица2[[#This Row],[Сумма Долл]]*Таблица2[[#This Row],[Курс ДОЛЛ]]</f>
        <v>3729000</v>
      </c>
      <c r="N14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3925263.1578947371</v>
      </c>
      <c r="O14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50296.735905044508</v>
      </c>
      <c r="P14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196263.15789473709</v>
      </c>
      <c r="Q146" s="30">
        <v>3925263.16</v>
      </c>
      <c r="R146" s="12">
        <f>Таблица2[[#This Row],[Сумма в руб]]-Таблица2[[#This Row],[Оплата от клиента]]</f>
        <v>-2.1052630618214607E-3</v>
      </c>
      <c r="S146" s="32">
        <v>44424</v>
      </c>
      <c r="T146" s="32" t="s">
        <v>107</v>
      </c>
      <c r="U146" s="24" t="s">
        <v>31</v>
      </c>
      <c r="V146" s="2"/>
      <c r="W146" s="28">
        <v>74.14</v>
      </c>
      <c r="X146" s="9">
        <v>50296.74</v>
      </c>
      <c r="Y146" s="16"/>
      <c r="Z146" s="10">
        <v>44424</v>
      </c>
      <c r="AA146" s="26">
        <f>Таблица2[[#This Row],[Сумма перевода Долл/Евро]]*Таблица2[[#This Row],[Курс ДОЛЛ перевод]]+Таблица2[[#This Row],[Сумма за перевод руб]]</f>
        <v>3925263.4614947368</v>
      </c>
      <c r="AB14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-4.09495548956329E-3</v>
      </c>
      <c r="AC146" s="9"/>
      <c r="AD146" s="41"/>
    </row>
    <row r="147" spans="1:30" x14ac:dyDescent="0.25">
      <c r="A147" s="6">
        <v>44424</v>
      </c>
      <c r="B147" s="29" t="s">
        <v>32</v>
      </c>
      <c r="C147" s="29" t="s">
        <v>33</v>
      </c>
      <c r="D147" s="1" t="s">
        <v>151</v>
      </c>
      <c r="E147" s="1"/>
      <c r="F147" s="3"/>
      <c r="G147" s="5">
        <v>9413.6</v>
      </c>
      <c r="H147" s="2"/>
      <c r="I147" s="2">
        <v>74.34</v>
      </c>
      <c r="J147" s="2">
        <v>0.99</v>
      </c>
      <c r="K147" s="2"/>
      <c r="L147" s="2"/>
      <c r="M147" s="26">
        <f>Таблица2[[#This Row],[Сумма Долл]]*Таблица2[[#This Row],[Курс ДОЛЛ]]</f>
        <v>699807.02400000009</v>
      </c>
      <c r="N14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706875.78181818197</v>
      </c>
      <c r="O14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9407.2728054846102</v>
      </c>
      <c r="P14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7068.7578181818826</v>
      </c>
      <c r="Q147" s="30">
        <v>706875.78</v>
      </c>
      <c r="R147" s="12">
        <f>Таблица2[[#This Row],[Сумма в руб]]-Таблица2[[#This Row],[Оплата от клиента]]</f>
        <v>1.8181819468736649E-3</v>
      </c>
      <c r="S147" s="32">
        <v>44426</v>
      </c>
      <c r="T147" s="32" t="s">
        <v>130</v>
      </c>
      <c r="U147" s="24" t="s">
        <v>31</v>
      </c>
      <c r="V147" s="2"/>
      <c r="W147" s="28">
        <v>74.39</v>
      </c>
      <c r="X147" s="9">
        <v>9413.6</v>
      </c>
      <c r="Y147" s="16"/>
      <c r="Z147" s="10">
        <v>44426</v>
      </c>
      <c r="AA147" s="26">
        <f>Таблица2[[#This Row],[Сумма перевода Долл/Евро]]*Таблица2[[#This Row],[Курс ДОЛЛ перевод]]+Таблица2[[#This Row],[Сумма за перевод руб]]</f>
        <v>707346.46181818191</v>
      </c>
      <c r="AB14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-6.327194515390147</v>
      </c>
      <c r="AC147" s="9"/>
      <c r="AD147" s="41"/>
    </row>
    <row r="148" spans="1:30" x14ac:dyDescent="0.25">
      <c r="A148" s="6">
        <v>44424</v>
      </c>
      <c r="B148" s="29" t="s">
        <v>49</v>
      </c>
      <c r="C148" s="29" t="s">
        <v>50</v>
      </c>
      <c r="D148" s="1" t="s">
        <v>208</v>
      </c>
      <c r="E148" s="1"/>
      <c r="F148" s="3"/>
      <c r="G148" s="5">
        <v>17218</v>
      </c>
      <c r="H148" s="2"/>
      <c r="I148" s="2">
        <v>74.34</v>
      </c>
      <c r="J148" s="2">
        <v>0.98</v>
      </c>
      <c r="K148" s="2"/>
      <c r="L148" s="2"/>
      <c r="M148" s="26">
        <f>Таблица2[[#This Row],[Сумма Долл]]*Таблица2[[#This Row],[Курс ДОЛЛ]]</f>
        <v>1279986.1200000001</v>
      </c>
      <c r="N14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1306108.2857142859</v>
      </c>
      <c r="O14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17236.548882305415</v>
      </c>
      <c r="P14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26122.165714285802</v>
      </c>
      <c r="Q148" s="30">
        <v>1306108.29</v>
      </c>
      <c r="R148" s="12">
        <f>Таблица2[[#This Row],[Сумма в руб]]-Таблица2[[#This Row],[Оплата от клиента]]</f>
        <v>-4.2857141233980656E-3</v>
      </c>
      <c r="S148" s="32">
        <v>44424</v>
      </c>
      <c r="T148" s="32" t="s">
        <v>130</v>
      </c>
      <c r="U148" s="24" t="s">
        <v>31</v>
      </c>
      <c r="V148" s="2"/>
      <c r="W148" s="28">
        <v>74.260000000000005</v>
      </c>
      <c r="X148" s="9">
        <v>17218</v>
      </c>
      <c r="Y148" s="16"/>
      <c r="Z148" s="10">
        <v>44426</v>
      </c>
      <c r="AA148" s="26">
        <f>Таблица2[[#This Row],[Сумма перевода Долл/Евро]]*Таблица2[[#This Row],[Курс ДОЛЛ перевод]]+Таблица2[[#This Row],[Сумма за перевод руб]]</f>
        <v>1304730.845714286</v>
      </c>
      <c r="AB14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18.548882305414736</v>
      </c>
      <c r="AC148" s="9" t="s">
        <v>559</v>
      </c>
      <c r="AD148" s="41"/>
    </row>
    <row r="149" spans="1:30" x14ac:dyDescent="0.25">
      <c r="A149" s="6">
        <v>44425</v>
      </c>
      <c r="B149" s="29" t="s">
        <v>209</v>
      </c>
      <c r="C149" s="29" t="s">
        <v>210</v>
      </c>
      <c r="D149" s="1"/>
      <c r="E149" s="1"/>
      <c r="F149" s="3"/>
      <c r="G149" s="5">
        <v>62000</v>
      </c>
      <c r="H149" s="2"/>
      <c r="I149" s="2">
        <v>74.33</v>
      </c>
      <c r="J149" s="2">
        <v>0.98499999999999999</v>
      </c>
      <c r="K149" s="2"/>
      <c r="L149" s="2"/>
      <c r="M149" s="26">
        <f>Таблица2[[#This Row],[Сумма Долл]]*Таблица2[[#This Row],[Курс ДОЛЛ]]</f>
        <v>4608460</v>
      </c>
      <c r="N14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4678639.5939086294</v>
      </c>
      <c r="O14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62453.720016262363</v>
      </c>
      <c r="P14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70179.59390862938</v>
      </c>
      <c r="Q149" s="30">
        <v>4678639.59</v>
      </c>
      <c r="R149" s="12">
        <f>Таблица2[[#This Row],[Сумма в руб]]-Таблица2[[#This Row],[Оплата от клиента]]</f>
        <v>3.9086295291781425E-3</v>
      </c>
      <c r="S149" s="32">
        <v>44425</v>
      </c>
      <c r="T149" s="32" t="s">
        <v>130</v>
      </c>
      <c r="U149" s="24" t="s">
        <v>31</v>
      </c>
      <c r="V149" s="2"/>
      <c r="W149" s="28">
        <v>73.790000000000006</v>
      </c>
      <c r="X149" s="9">
        <v>62000</v>
      </c>
      <c r="Y149" s="16"/>
      <c r="Z149" s="10">
        <v>44425</v>
      </c>
      <c r="AA149" s="26">
        <f>Таблица2[[#This Row],[Сумма перевода Долл/Евро]]*Таблица2[[#This Row],[Курс ДОЛЛ перевод]]+Таблица2[[#This Row],[Сумма за перевод руб]]</f>
        <v>4645159.5939086294</v>
      </c>
      <c r="AB14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453.72001626236306</v>
      </c>
      <c r="AC149" s="9"/>
      <c r="AD149" s="41"/>
    </row>
    <row r="150" spans="1:30" x14ac:dyDescent="0.25">
      <c r="A150" s="6">
        <v>44425</v>
      </c>
      <c r="B150" s="38" t="s">
        <v>211</v>
      </c>
      <c r="C150" s="38" t="s">
        <v>212</v>
      </c>
      <c r="D150" s="1" t="s">
        <v>213</v>
      </c>
      <c r="E150" s="1"/>
      <c r="F150" s="3">
        <v>7747</v>
      </c>
      <c r="G150" s="5">
        <f>55*22.01</f>
        <v>1210.5500000000002</v>
      </c>
      <c r="H150" s="2"/>
      <c r="I150" s="2">
        <v>74.53</v>
      </c>
      <c r="J150" s="2"/>
      <c r="K150" s="2">
        <v>80</v>
      </c>
      <c r="L150" s="2"/>
      <c r="M150" s="26">
        <f>Таблица2[[#This Row],[Сумма Долл]]*Таблица2[[#This Row],[Курс ДОЛЛ]]</f>
        <v>90222.291500000021</v>
      </c>
      <c r="N15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96184.691500000015</v>
      </c>
      <c r="O15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1212.8282228794196</v>
      </c>
      <c r="P15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5951.2</v>
      </c>
      <c r="Q150" s="30">
        <v>96184.69</v>
      </c>
      <c r="R150" s="12">
        <f>Таблица2[[#This Row],[Сумма в руб]]-Таблица2[[#This Row],[Оплата от клиента]]</f>
        <v>1.500000013038516E-3</v>
      </c>
      <c r="S150" s="32">
        <v>44425</v>
      </c>
      <c r="T150" s="32" t="s">
        <v>107</v>
      </c>
      <c r="U150" s="24" t="s">
        <v>31</v>
      </c>
      <c r="V150" s="2">
        <v>6.42</v>
      </c>
      <c r="W150" s="28">
        <v>74.39</v>
      </c>
      <c r="X150" s="9">
        <v>1212</v>
      </c>
      <c r="Y150" s="16">
        <v>7747</v>
      </c>
      <c r="Z150" s="10">
        <v>44426</v>
      </c>
      <c r="AA150" s="26">
        <f>Таблица2[[#This Row],[Сумма перевода Долл/Евро]]*Таблица2[[#This Row],[Курс ДОЛЛ перевод]]+Таблица2[[#This Row],[Сумма за перевод руб]]</f>
        <v>96111.88</v>
      </c>
      <c r="AB15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6.1304035647779074</v>
      </c>
      <c r="AC150" s="9" t="s">
        <v>541</v>
      </c>
      <c r="AD150" s="41"/>
    </row>
    <row r="151" spans="1:30" x14ac:dyDescent="0.25">
      <c r="A151" s="6">
        <v>44425</v>
      </c>
      <c r="B151" s="29" t="s">
        <v>209</v>
      </c>
      <c r="C151" s="29" t="s">
        <v>210</v>
      </c>
      <c r="D151" s="1"/>
      <c r="E151" s="1"/>
      <c r="F151" s="3"/>
      <c r="G151" s="5">
        <v>27636</v>
      </c>
      <c r="H151" s="2"/>
      <c r="I151" s="2">
        <v>74.33</v>
      </c>
      <c r="J151" s="2">
        <v>0.98499999999999999</v>
      </c>
      <c r="K151" s="2"/>
      <c r="L151" s="2"/>
      <c r="M151" s="26">
        <f>Таблица2[[#This Row],[Сумма Долл]]*Таблица2[[#This Row],[Курс ДОЛЛ]]</f>
        <v>2054183.88</v>
      </c>
      <c r="N15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2085465.8680203045</v>
      </c>
      <c r="O15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27781.767378955908</v>
      </c>
      <c r="P15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31281.98802030459</v>
      </c>
      <c r="Q151" s="30">
        <v>2085465.87</v>
      </c>
      <c r="R151" s="12">
        <f>Таблица2[[#This Row],[Сумма в руб]]-Таблица2[[#This Row],[Оплата от клиента]]</f>
        <v>-1.9796956330537796E-3</v>
      </c>
      <c r="S151" s="32">
        <v>44425</v>
      </c>
      <c r="T151" s="32" t="s">
        <v>130</v>
      </c>
      <c r="U151" s="24" t="s">
        <v>31</v>
      </c>
      <c r="V151" s="2"/>
      <c r="W151" s="28">
        <v>73.94</v>
      </c>
      <c r="X151" s="9">
        <v>27636</v>
      </c>
      <c r="Y151" s="16"/>
      <c r="Z151" s="10">
        <v>44426</v>
      </c>
      <c r="AA151" s="26">
        <f>Таблица2[[#This Row],[Сумма перевода Долл/Евро]]*Таблица2[[#This Row],[Курс ДОЛЛ перевод]]+Таблица2[[#This Row],[Сумма за перевод руб]]</f>
        <v>2074687.8280203044</v>
      </c>
      <c r="AB15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145.7673789559085</v>
      </c>
      <c r="AC151" s="9"/>
      <c r="AD151" s="41"/>
    </row>
    <row r="152" spans="1:30" ht="45" x14ac:dyDescent="0.25">
      <c r="A152" s="6">
        <v>44425</v>
      </c>
      <c r="B152" s="29" t="s">
        <v>186</v>
      </c>
      <c r="C152" s="29" t="s">
        <v>187</v>
      </c>
      <c r="D152" s="1"/>
      <c r="E152" s="44" t="s">
        <v>346</v>
      </c>
      <c r="F152" s="3"/>
      <c r="G152" s="5">
        <v>1002</v>
      </c>
      <c r="H152" s="2"/>
      <c r="I152" s="2">
        <v>74.59</v>
      </c>
      <c r="J152" s="2"/>
      <c r="K152" s="2">
        <v>80</v>
      </c>
      <c r="L152" s="2"/>
      <c r="M152" s="26">
        <f>Таблица2[[#This Row],[Сумма Долл]]*Таблица2[[#This Row],[Курс ДОЛЛ]]</f>
        <v>74739.180000000008</v>
      </c>
      <c r="N15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80706.38</v>
      </c>
      <c r="O15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1006.4527336385672</v>
      </c>
      <c r="P15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5940.8</v>
      </c>
      <c r="Q152" s="30">
        <v>80706.38</v>
      </c>
      <c r="R152" s="12">
        <f>Таблица2[[#This Row],[Сумма в руб]]-Таблица2[[#This Row],[Оплата от клиента]]</f>
        <v>0</v>
      </c>
      <c r="S152" s="32">
        <v>44426</v>
      </c>
      <c r="T152" s="32" t="s">
        <v>130</v>
      </c>
      <c r="U152" s="24" t="s">
        <v>31</v>
      </c>
      <c r="V152" s="2"/>
      <c r="W152" s="28">
        <v>74.260000000000005</v>
      </c>
      <c r="X152" s="9">
        <v>1002</v>
      </c>
      <c r="Y152" s="16"/>
      <c r="Z152" s="10">
        <v>44426</v>
      </c>
      <c r="AA152" s="26">
        <f>Таблица2[[#This Row],[Сумма перевода Долл/Евро]]*Таблица2[[#This Row],[Курс ДОЛЛ перевод]]+Таблица2[[#This Row],[Сумма за перевод руб]]</f>
        <v>80349.320000000007</v>
      </c>
      <c r="AB15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4.4527336385672243</v>
      </c>
      <c r="AC152" s="9" t="s">
        <v>460</v>
      </c>
      <c r="AD152" s="41"/>
    </row>
    <row r="153" spans="1:30" x14ac:dyDescent="0.25">
      <c r="A153" s="6">
        <v>44426</v>
      </c>
      <c r="B153" s="29" t="s">
        <v>214</v>
      </c>
      <c r="C153" s="29" t="s">
        <v>215</v>
      </c>
      <c r="D153" s="1"/>
      <c r="E153" s="1"/>
      <c r="F153" s="3"/>
      <c r="G153" s="5">
        <v>1475</v>
      </c>
      <c r="H153" s="2"/>
      <c r="I153" s="2">
        <v>74.59</v>
      </c>
      <c r="J153" s="2"/>
      <c r="K153" s="2">
        <v>80</v>
      </c>
      <c r="L153" s="2"/>
      <c r="M153" s="26">
        <f>Таблица2[[#This Row],[Сумма Долл]]*Таблица2[[#This Row],[Курс ДОЛЛ]]</f>
        <v>110020.25</v>
      </c>
      <c r="N15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115987.45000000001</v>
      </c>
      <c r="O15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1481.5546727713438</v>
      </c>
      <c r="P15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5940.8</v>
      </c>
      <c r="Q153" s="30">
        <v>115987.45</v>
      </c>
      <c r="R153" s="12">
        <f>Таблица2[[#This Row],[Сумма в руб]]-Таблица2[[#This Row],[Оплата от клиента]]</f>
        <v>0</v>
      </c>
      <c r="S153" s="32">
        <v>44426</v>
      </c>
      <c r="T153" s="32" t="s">
        <v>130</v>
      </c>
      <c r="U153" s="24" t="s">
        <v>31</v>
      </c>
      <c r="V153" s="2"/>
      <c r="W153" s="28">
        <v>74.260000000000005</v>
      </c>
      <c r="X153" s="9">
        <v>1475</v>
      </c>
      <c r="Y153" s="16"/>
      <c r="Z153" s="10">
        <v>44426</v>
      </c>
      <c r="AA153" s="26">
        <f>Таблица2[[#This Row],[Сумма перевода Долл/Евро]]*Таблица2[[#This Row],[Курс ДОЛЛ перевод]]+Таблица2[[#This Row],[Сумма за перевод руб]]</f>
        <v>115474.30000000002</v>
      </c>
      <c r="AB15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6.5546727713438031</v>
      </c>
      <c r="AC153" s="9" t="s">
        <v>344</v>
      </c>
      <c r="AD153" s="41"/>
    </row>
    <row r="154" spans="1:30" x14ac:dyDescent="0.25">
      <c r="A154" s="6">
        <v>44426</v>
      </c>
      <c r="B154" s="38" t="s">
        <v>72</v>
      </c>
      <c r="C154" s="38" t="s">
        <v>73</v>
      </c>
      <c r="D154" s="1"/>
      <c r="E154" s="1"/>
      <c r="F154" s="3"/>
      <c r="G154" s="5">
        <v>50000</v>
      </c>
      <c r="H154" s="2"/>
      <c r="I154" s="2">
        <v>74.59</v>
      </c>
      <c r="J154" s="2">
        <v>0.94</v>
      </c>
      <c r="K154" s="2"/>
      <c r="L154" s="2"/>
      <c r="M154" s="26">
        <f>Таблица2[[#This Row],[Сумма Долл]]*Таблица2[[#This Row],[Курс ДОЛЛ]]</f>
        <v>3729500</v>
      </c>
      <c r="N15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3967553.1914893622</v>
      </c>
      <c r="O15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50398.648648648646</v>
      </c>
      <c r="P15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238053.19148936216</v>
      </c>
      <c r="Q154" s="30">
        <v>3967553.19</v>
      </c>
      <c r="R154" s="12">
        <f>Таблица2[[#This Row],[Сумма в руб]]-Таблица2[[#This Row],[Оплата от клиента]]</f>
        <v>1.4893622137606144E-3</v>
      </c>
      <c r="S154" s="32">
        <v>44426</v>
      </c>
      <c r="T154" s="32" t="s">
        <v>107</v>
      </c>
      <c r="U154" s="24" t="s">
        <v>31</v>
      </c>
      <c r="V154" s="2"/>
      <c r="W154" s="28">
        <v>74</v>
      </c>
      <c r="X154" s="9">
        <v>50226.71</v>
      </c>
      <c r="Y154" s="16"/>
      <c r="Z154" s="10">
        <v>44426</v>
      </c>
      <c r="AA154" s="26">
        <f>Таблица2[[#This Row],[Сумма перевода Долл/Евро]]*Таблица2[[#This Row],[Курс ДОЛЛ перевод]]+Таблица2[[#This Row],[Сумма за перевод руб]]</f>
        <v>3954829.7314893622</v>
      </c>
      <c r="AB15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171.93864864864736</v>
      </c>
      <c r="AC154" s="9" t="s">
        <v>551</v>
      </c>
      <c r="AD154" s="41"/>
    </row>
    <row r="155" spans="1:30" x14ac:dyDescent="0.25">
      <c r="A155" s="6">
        <v>44426</v>
      </c>
      <c r="B155" s="38" t="s">
        <v>72</v>
      </c>
      <c r="C155" s="38" t="s">
        <v>73</v>
      </c>
      <c r="D155" s="1"/>
      <c r="E155" s="1"/>
      <c r="F155" s="3"/>
      <c r="G155" s="5"/>
      <c r="H155" s="2"/>
      <c r="I155" s="2"/>
      <c r="J155" s="2"/>
      <c r="K155" s="2"/>
      <c r="L155" s="2"/>
      <c r="M155" s="26">
        <f>Таблица2[[#This Row],[Сумма Долл]]*Таблица2[[#This Row],[Курс ДОЛЛ]]</f>
        <v>0</v>
      </c>
      <c r="N155" s="24" t="s">
        <v>216</v>
      </c>
      <c r="O155" s="48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15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155" s="30">
        <v>19757.810000000001</v>
      </c>
      <c r="R155" s="12" t="e">
        <f>Таблица2[[#This Row],[Сумма в руб]]-Таблица2[[#This Row],[Оплата от клиента]]</f>
        <v>#VALUE!</v>
      </c>
      <c r="S155" s="32">
        <v>44426</v>
      </c>
      <c r="T155" s="32" t="s">
        <v>141</v>
      </c>
      <c r="U155" s="24" t="s">
        <v>31</v>
      </c>
      <c r="V155" s="2"/>
      <c r="W155" s="28"/>
      <c r="X155" s="9"/>
      <c r="Y155" s="16"/>
      <c r="Z155" s="2"/>
      <c r="AA155" s="26">
        <f>Таблица2[[#This Row],[Сумма перевода Долл/Евро]]*Таблица2[[#This Row],[Курс ДОЛЛ перевод]]+Таблица2[[#This Row],[Сумма за перевод руб]]</f>
        <v>0</v>
      </c>
      <c r="AB15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155" s="9" t="s">
        <v>217</v>
      </c>
      <c r="AD155" s="41"/>
    </row>
    <row r="156" spans="1:30" x14ac:dyDescent="0.25">
      <c r="A156" s="6">
        <v>44426</v>
      </c>
      <c r="B156" s="29" t="s">
        <v>139</v>
      </c>
      <c r="C156" s="29" t="s">
        <v>140</v>
      </c>
      <c r="D156" s="1"/>
      <c r="E156" s="1"/>
      <c r="F156" s="3"/>
      <c r="G156" s="5">
        <v>1500</v>
      </c>
      <c r="H156" s="2"/>
      <c r="I156" s="2">
        <v>74.59</v>
      </c>
      <c r="J156" s="2"/>
      <c r="K156" s="2">
        <v>80</v>
      </c>
      <c r="L156" s="2"/>
      <c r="M156" s="26">
        <f>Таблица2[[#This Row],[Сумма Долл]]*Таблица2[[#This Row],[Курс ДОЛЛ]]</f>
        <v>111885</v>
      </c>
      <c r="N15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117852.20000000001</v>
      </c>
      <c r="O15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1506.6657689200106</v>
      </c>
      <c r="P15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5940.8</v>
      </c>
      <c r="Q156" s="30">
        <v>117852.2</v>
      </c>
      <c r="R156" s="12">
        <f>Таблица2[[#This Row],[Сумма в руб]]-Таблица2[[#This Row],[Оплата от клиента]]</f>
        <v>0</v>
      </c>
      <c r="S156" s="32">
        <v>44426</v>
      </c>
      <c r="T156" s="32" t="s">
        <v>130</v>
      </c>
      <c r="U156" s="24" t="s">
        <v>31</v>
      </c>
      <c r="V156" s="2"/>
      <c r="W156" s="28">
        <v>74.260000000000005</v>
      </c>
      <c r="X156" s="9">
        <v>1500</v>
      </c>
      <c r="Y156" s="16"/>
      <c r="Z156" s="10">
        <v>44426</v>
      </c>
      <c r="AA156" s="26">
        <f>Таблица2[[#This Row],[Сумма перевода Долл/Евро]]*Таблица2[[#This Row],[Курс ДОЛЛ перевод]]+Таблица2[[#This Row],[Сумма за перевод руб]]</f>
        <v>117330.80000000002</v>
      </c>
      <c r="AB15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6.6657689200105779</v>
      </c>
      <c r="AC156" s="9"/>
      <c r="AD156" s="41"/>
    </row>
    <row r="157" spans="1:30" x14ac:dyDescent="0.25">
      <c r="A157" s="6">
        <v>44426</v>
      </c>
      <c r="B157" s="2" t="s">
        <v>109</v>
      </c>
      <c r="C157" s="2" t="s">
        <v>110</v>
      </c>
      <c r="D157" s="1" t="s">
        <v>218</v>
      </c>
      <c r="E157" s="1"/>
      <c r="F157" s="3"/>
      <c r="G157" s="5">
        <v>2300.0500000000002</v>
      </c>
      <c r="H157" s="2"/>
      <c r="I157" s="2">
        <v>74.59</v>
      </c>
      <c r="J157" s="2">
        <v>0.94</v>
      </c>
      <c r="K157" s="2"/>
      <c r="L157" s="2"/>
      <c r="M157" s="26">
        <f>Таблица2[[#This Row],[Сумма Долл]]*Таблица2[[#This Row],[Курс ДОЛЛ]]</f>
        <v>171560.72950000002</v>
      </c>
      <c r="N15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182511.41436170216</v>
      </c>
      <c r="O15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2300.0500000000002</v>
      </c>
      <c r="P15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10950.684861702146</v>
      </c>
      <c r="Q157" s="30"/>
      <c r="R157" s="12">
        <f>Таблица2[[#This Row],[Сумма в руб]]-Таблица2[[#This Row],[Оплата от клиента]]</f>
        <v>182511.41436170216</v>
      </c>
      <c r="S157" s="32"/>
      <c r="T157" s="32" t="s">
        <v>107</v>
      </c>
      <c r="U157" s="24"/>
      <c r="V157" s="2"/>
      <c r="W157" s="28"/>
      <c r="X157" s="9"/>
      <c r="Y157" s="16"/>
      <c r="Z157" s="2"/>
      <c r="AA157" s="26">
        <f>Таблица2[[#This Row],[Сумма перевода Долл/Евро]]*Таблица2[[#This Row],[Курс ДОЛЛ перевод]]+Таблица2[[#This Row],[Сумма за перевод руб]]</f>
        <v>10950.684861702146</v>
      </c>
      <c r="AB15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2300.0500000000002</v>
      </c>
      <c r="AC157" s="9"/>
      <c r="AD157" s="41"/>
    </row>
    <row r="158" spans="1:30" x14ac:dyDescent="0.25">
      <c r="A158" s="6">
        <v>44426</v>
      </c>
      <c r="B158" s="29" t="s">
        <v>59</v>
      </c>
      <c r="C158" s="29" t="s">
        <v>219</v>
      </c>
      <c r="D158" s="1"/>
      <c r="E158" s="1"/>
      <c r="F158" s="3"/>
      <c r="G158" s="5">
        <v>3971.8</v>
      </c>
      <c r="H158" s="2"/>
      <c r="I158" s="2">
        <v>74.59</v>
      </c>
      <c r="J158" s="2"/>
      <c r="K158" s="2">
        <v>80</v>
      </c>
      <c r="L158" s="2"/>
      <c r="M158" s="26">
        <f>Таблица2[[#This Row],[Сумма Долл]]*Таблица2[[#This Row],[Курс ДОЛЛ]]</f>
        <v>296256.56200000003</v>
      </c>
      <c r="N15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302223.76200000005</v>
      </c>
      <c r="O15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3959.0613657623953</v>
      </c>
      <c r="P15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5986.4</v>
      </c>
      <c r="Q158" s="30">
        <v>302223.76</v>
      </c>
      <c r="R158" s="12">
        <f>Таблица2[[#This Row],[Сумма в руб]]-Таблица2[[#This Row],[Оплата от клиента]]</f>
        <v>2.0000000367872417E-3</v>
      </c>
      <c r="S158" s="32">
        <v>44428</v>
      </c>
      <c r="T158" s="32" t="s">
        <v>130</v>
      </c>
      <c r="U158" s="24" t="s">
        <v>31</v>
      </c>
      <c r="V158" s="2"/>
      <c r="W158" s="28">
        <v>74.83</v>
      </c>
      <c r="X158" s="9">
        <v>3971.8</v>
      </c>
      <c r="Y158" s="16"/>
      <c r="Z158" s="10">
        <v>44431</v>
      </c>
      <c r="AA158" s="26">
        <f>Таблица2[[#This Row],[Сумма перевода Долл/Евро]]*Таблица2[[#This Row],[Курс ДОЛЛ перевод]]+Таблица2[[#This Row],[Сумма за перевод руб]]</f>
        <v>303196.19400000002</v>
      </c>
      <c r="AB15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-12.738634237604856</v>
      </c>
      <c r="AC158" s="9"/>
      <c r="AD158" s="41"/>
    </row>
    <row r="159" spans="1:30" ht="45" x14ac:dyDescent="0.25">
      <c r="A159" s="6">
        <v>44427</v>
      </c>
      <c r="B159" s="29" t="s">
        <v>186</v>
      </c>
      <c r="C159" s="29" t="s">
        <v>187</v>
      </c>
      <c r="D159" s="1"/>
      <c r="E159" s="44" t="s">
        <v>347</v>
      </c>
      <c r="F159" s="3"/>
      <c r="G159" s="5">
        <v>2281.1999999999998</v>
      </c>
      <c r="H159" s="2"/>
      <c r="I159" s="2">
        <v>75.099999999999994</v>
      </c>
      <c r="J159" s="2"/>
      <c r="K159" s="2">
        <v>80</v>
      </c>
      <c r="L159" s="2"/>
      <c r="M159" s="26">
        <f>Таблица2[[#This Row],[Сумма Долл]]*Таблица2[[#This Row],[Курс ДОЛЛ]]</f>
        <v>171318.11999999997</v>
      </c>
      <c r="N15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177326.11999999997</v>
      </c>
      <c r="O15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2289.4309768809298</v>
      </c>
      <c r="P15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5986.4</v>
      </c>
      <c r="Q159" s="30">
        <v>177326.12</v>
      </c>
      <c r="R159" s="12">
        <f>Таблица2[[#This Row],[Сумма в руб]]-Таблица2[[#This Row],[Оплата от клиента]]</f>
        <v>0</v>
      </c>
      <c r="S159" s="32">
        <v>44431</v>
      </c>
      <c r="T159" s="32" t="s">
        <v>130</v>
      </c>
      <c r="U159" s="24" t="s">
        <v>31</v>
      </c>
      <c r="V159" s="2"/>
      <c r="W159" s="28">
        <v>74.83</v>
      </c>
      <c r="X159" s="9">
        <v>2281.1999999999998</v>
      </c>
      <c r="Y159" s="16"/>
      <c r="Z159" s="10">
        <v>44431</v>
      </c>
      <c r="AA159" s="26">
        <f>Таблица2[[#This Row],[Сумма перевода Долл/Евро]]*Таблица2[[#This Row],[Курс ДОЛЛ перевод]]+Таблица2[[#This Row],[Сумма за перевод руб]]</f>
        <v>176688.59599999999</v>
      </c>
      <c r="AB15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8.2309768809300294</v>
      </c>
      <c r="AC159" s="9" t="s">
        <v>460</v>
      </c>
      <c r="AD159" s="41"/>
    </row>
    <row r="160" spans="1:30" x14ac:dyDescent="0.25">
      <c r="A160" s="6">
        <v>44428</v>
      </c>
      <c r="B160" s="29" t="s">
        <v>59</v>
      </c>
      <c r="C160" s="29" t="s">
        <v>219</v>
      </c>
      <c r="D160" s="1"/>
      <c r="E160" s="1"/>
      <c r="F160" s="3"/>
      <c r="G160" s="5">
        <v>1656</v>
      </c>
      <c r="H160" s="2"/>
      <c r="I160" s="2">
        <v>75.209999999999994</v>
      </c>
      <c r="J160" s="2"/>
      <c r="K160" s="2">
        <v>80</v>
      </c>
      <c r="L160" s="2"/>
      <c r="M160" s="26">
        <f>Таблица2[[#This Row],[Сумма Долл]]*Таблица2[[#This Row],[Курс ДОЛЛ]]</f>
        <v>124547.76</v>
      </c>
      <c r="N16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130564.55999999998</v>
      </c>
      <c r="O16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1662.4100373731981</v>
      </c>
      <c r="P16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5993.6</v>
      </c>
      <c r="Q160" s="30">
        <v>130564.56</v>
      </c>
      <c r="R160" s="12">
        <f>Таблица2[[#This Row],[Сумма в руб]]-Таблица2[[#This Row],[Оплата от клиента]]</f>
        <v>0</v>
      </c>
      <c r="S160" s="32">
        <v>44431</v>
      </c>
      <c r="T160" s="32" t="s">
        <v>130</v>
      </c>
      <c r="U160" s="24" t="s">
        <v>31</v>
      </c>
      <c r="V160" s="2"/>
      <c r="W160" s="28">
        <v>74.92</v>
      </c>
      <c r="X160" s="9">
        <v>1656</v>
      </c>
      <c r="Y160" s="16"/>
      <c r="Z160" s="10">
        <v>44432</v>
      </c>
      <c r="AA160" s="26">
        <f>Таблица2[[#This Row],[Сумма перевода Долл/Евро]]*Таблица2[[#This Row],[Курс ДОЛЛ перевод]]+Таблица2[[#This Row],[Сумма за перевод руб]]</f>
        <v>130061.12000000001</v>
      </c>
      <c r="AB16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6.4100373731980653</v>
      </c>
      <c r="AC160" s="9" t="s">
        <v>578</v>
      </c>
      <c r="AD160" s="41"/>
    </row>
    <row r="161" spans="1:30" x14ac:dyDescent="0.25">
      <c r="A161" s="6">
        <v>44428</v>
      </c>
      <c r="B161" s="29" t="s">
        <v>220</v>
      </c>
      <c r="C161" s="29" t="s">
        <v>221</v>
      </c>
      <c r="D161" s="1"/>
      <c r="E161" s="1"/>
      <c r="F161" s="3"/>
      <c r="G161" s="5">
        <f>26374.65 - 4087.28</f>
        <v>22287.370000000003</v>
      </c>
      <c r="H161" s="2"/>
      <c r="I161" s="2">
        <v>75.209999999999994</v>
      </c>
      <c r="J161" s="2">
        <v>0.97</v>
      </c>
      <c r="K161" s="2"/>
      <c r="L161" s="2"/>
      <c r="M161" s="26">
        <f>Таблица2[[#This Row],[Сумма Долл]]*Таблица2[[#This Row],[Курс ДОЛЛ]]</f>
        <v>1676233.0977</v>
      </c>
      <c r="N16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1728075.3584536084</v>
      </c>
      <c r="O16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22373.639851841966</v>
      </c>
      <c r="P16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51842.260753608309</v>
      </c>
      <c r="Q161" s="30">
        <v>1721412.12</v>
      </c>
      <c r="R161" s="12">
        <f>Таблица2[[#This Row],[Сумма в руб]]-Таблица2[[#This Row],[Оплата от клиента]]</f>
        <v>6663.2384536082391</v>
      </c>
      <c r="S161" s="32">
        <v>44432</v>
      </c>
      <c r="T161" s="32" t="s">
        <v>130</v>
      </c>
      <c r="U161" s="24" t="s">
        <v>31</v>
      </c>
      <c r="V161" s="2"/>
      <c r="W161" s="28">
        <v>74.92</v>
      </c>
      <c r="X161" s="9">
        <v>22287.37</v>
      </c>
      <c r="Y161" s="16"/>
      <c r="Z161" s="10">
        <v>44432</v>
      </c>
      <c r="AA161" s="26">
        <f>Таблица2[[#This Row],[Сумма перевода Долл/Евро]]*Таблица2[[#This Row],[Курс ДОЛЛ перевод]]+Таблица2[[#This Row],[Сумма за перевод руб]]</f>
        <v>1721612.0211536083</v>
      </c>
      <c r="AB16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86.269851841967466</v>
      </c>
      <c r="AC161" s="9"/>
      <c r="AD161" s="41"/>
    </row>
    <row r="162" spans="1:30" x14ac:dyDescent="0.25">
      <c r="A162" s="6">
        <v>44431</v>
      </c>
      <c r="B162" s="38" t="s">
        <v>112</v>
      </c>
      <c r="C162" s="38" t="s">
        <v>113</v>
      </c>
      <c r="D162" s="1" t="s">
        <v>222</v>
      </c>
      <c r="E162" s="1"/>
      <c r="F162" s="3"/>
      <c r="G162" s="5">
        <v>1900</v>
      </c>
      <c r="H162" s="2"/>
      <c r="I162" s="2">
        <v>74.97</v>
      </c>
      <c r="J162" s="2">
        <v>0.94</v>
      </c>
      <c r="K162" s="2"/>
      <c r="L162" s="2"/>
      <c r="M162" s="26">
        <f>Таблица2[[#This Row],[Сумма Долл]]*Таблица2[[#This Row],[Курс ДОЛЛ]]</f>
        <v>142443</v>
      </c>
      <c r="N16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151535.10638297873</v>
      </c>
      <c r="O16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1911.72996913166</v>
      </c>
      <c r="P16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9092.1063829787308</v>
      </c>
      <c r="Q162" s="30">
        <v>151535.10999999999</v>
      </c>
      <c r="R162" s="12">
        <f>Таблица2[[#This Row],[Сумма в руб]]-Таблица2[[#This Row],[Оплата от клиента]]</f>
        <v>-3.6170212551951408E-3</v>
      </c>
      <c r="S162" s="32">
        <v>44433</v>
      </c>
      <c r="T162" s="32" t="s">
        <v>107</v>
      </c>
      <c r="U162" s="24" t="s">
        <v>31</v>
      </c>
      <c r="V162" s="2">
        <v>6.2480000000000002</v>
      </c>
      <c r="W162" s="28">
        <v>74.510000000000005</v>
      </c>
      <c r="X162" s="9">
        <v>1911</v>
      </c>
      <c r="Y162" s="16">
        <v>11871</v>
      </c>
      <c r="Z162" s="10">
        <v>44433</v>
      </c>
      <c r="AA162" s="26">
        <f>Таблица2[[#This Row],[Сумма перевода Долл/Евро]]*Таблица2[[#This Row],[Курс ДОЛЛ перевод]]+Таблица2[[#This Row],[Сумма за перевод руб]]</f>
        <v>151480.71638297875</v>
      </c>
      <c r="AB16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11.761979374937937</v>
      </c>
      <c r="AC162" s="9"/>
      <c r="AD162" s="41"/>
    </row>
    <row r="163" spans="1:30" x14ac:dyDescent="0.25">
      <c r="A163" s="6">
        <v>44431</v>
      </c>
      <c r="B163" s="38" t="s">
        <v>95</v>
      </c>
      <c r="C163" s="38" t="s">
        <v>96</v>
      </c>
      <c r="D163" s="1"/>
      <c r="E163" s="1"/>
      <c r="F163" s="3"/>
      <c r="G163" s="5">
        <f>40*1.2*22.01</f>
        <v>1056.48</v>
      </c>
      <c r="H163" s="2"/>
      <c r="I163" s="2">
        <v>74.97</v>
      </c>
      <c r="J163" s="2">
        <v>0.94</v>
      </c>
      <c r="K163" s="2"/>
      <c r="L163" s="2"/>
      <c r="M163" s="26">
        <f>Таблица2[[#This Row],[Сумма Долл]]*Таблица2[[#This Row],[Курс ДОЛЛ]]</f>
        <v>79204.305600000007</v>
      </c>
      <c r="N16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84259.899574468101</v>
      </c>
      <c r="O16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1058.4565762394764</v>
      </c>
      <c r="P16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5055.5939744680945</v>
      </c>
      <c r="Q163" s="30">
        <v>84259.9</v>
      </c>
      <c r="R163" s="12">
        <f>Таблица2[[#This Row],[Сумма в руб]]-Таблица2[[#This Row],[Оплата от клиента]]</f>
        <v>-4.2553189268801361E-4</v>
      </c>
      <c r="S163" s="32">
        <v>44431</v>
      </c>
      <c r="T163" s="32" t="s">
        <v>107</v>
      </c>
      <c r="U163" s="24" t="s">
        <v>31</v>
      </c>
      <c r="V163" s="2">
        <v>6.2480000000000002</v>
      </c>
      <c r="W163" s="28">
        <v>74.83</v>
      </c>
      <c r="X163" s="9">
        <v>1058</v>
      </c>
      <c r="Y163" s="16">
        <v>6715</v>
      </c>
      <c r="Z163" s="10">
        <v>44431</v>
      </c>
      <c r="AA163" s="26">
        <f>Таблица2[[#This Row],[Сумма перевода Долл/Евро]]*Таблица2[[#This Row],[Курс ДОЛЛ перевод]]+Таблица2[[#This Row],[Сумма за перевод руб]]</f>
        <v>84225.733974468094</v>
      </c>
      <c r="AB16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-16.287341814300817</v>
      </c>
      <c r="AC163" s="9"/>
      <c r="AD163" s="41"/>
    </row>
    <row r="164" spans="1:30" x14ac:dyDescent="0.25">
      <c r="A164" s="6">
        <v>44431</v>
      </c>
      <c r="B164" s="38" t="s">
        <v>68</v>
      </c>
      <c r="C164" s="38" t="s">
        <v>454</v>
      </c>
      <c r="D164" s="1"/>
      <c r="E164" s="1"/>
      <c r="F164" s="3">
        <v>51200</v>
      </c>
      <c r="G164" s="5">
        <f>Таблица2[[#This Row],[Сумма ЮА]]/Таблица2[[#This Row],[Курс ЮА]]</f>
        <v>8000</v>
      </c>
      <c r="H164" s="2">
        <v>6.4</v>
      </c>
      <c r="I164" s="2">
        <v>74.97</v>
      </c>
      <c r="J164" s="2">
        <v>0.94</v>
      </c>
      <c r="K164" s="2"/>
      <c r="L164" s="2"/>
      <c r="M164" s="26">
        <f>Таблица2[[#This Row],[Сумма Долл]]*Таблица2[[#This Row],[Курс ДОЛЛ]]</f>
        <v>599760</v>
      </c>
      <c r="N16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638042.55319148942</v>
      </c>
      <c r="O16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8005.3390282968494</v>
      </c>
      <c r="P16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38282.553191489424</v>
      </c>
      <c r="Q164" s="30">
        <v>638042.55000000005</v>
      </c>
      <c r="R164" s="12">
        <f>Таблица2[[#This Row],[Сумма в руб]]-Таблица2[[#This Row],[Оплата от клиента]]</f>
        <v>3.1914893770590425E-3</v>
      </c>
      <c r="S164" s="32">
        <v>44432</v>
      </c>
      <c r="T164" s="32" t="s">
        <v>107</v>
      </c>
      <c r="U164" s="24" t="s">
        <v>31</v>
      </c>
      <c r="V164" s="2">
        <v>6.2480000000000002</v>
      </c>
      <c r="W164" s="28">
        <v>74.92</v>
      </c>
      <c r="X164" s="9">
        <v>8005</v>
      </c>
      <c r="Y164" s="16">
        <v>51200</v>
      </c>
      <c r="Z164" s="10">
        <v>44432</v>
      </c>
      <c r="AA164" s="26">
        <f>Таблица2[[#This Row],[Сумма перевода Долл/Евро]]*Таблица2[[#This Row],[Курс ДОЛЛ перевод]]+Таблица2[[#This Row],[Сумма за перевод руб]]</f>
        <v>638017.1531914894</v>
      </c>
      <c r="AB16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-189.28325083247091</v>
      </c>
      <c r="AC164" s="9"/>
      <c r="AD164" s="41"/>
    </row>
    <row r="165" spans="1:30" x14ac:dyDescent="0.25">
      <c r="A165" s="6">
        <v>44432</v>
      </c>
      <c r="B165" s="38" t="s">
        <v>112</v>
      </c>
      <c r="C165" s="38" t="s">
        <v>113</v>
      </c>
      <c r="D165" s="1"/>
      <c r="E165" s="1"/>
      <c r="F165" s="3">
        <f>Таблица2[[#This Row],[Сумма Долл]]*Таблица2[[#This Row],[Курс ЮА]]</f>
        <v>18240</v>
      </c>
      <c r="G165" s="5">
        <v>2850</v>
      </c>
      <c r="H165" s="2">
        <v>6.4</v>
      </c>
      <c r="I165" s="2">
        <v>75.12</v>
      </c>
      <c r="J165" s="2">
        <v>0.94</v>
      </c>
      <c r="K165" s="2"/>
      <c r="L165" s="2"/>
      <c r="M165" s="26">
        <f>Таблица2[[#This Row],[Сумма Долл]]*Таблица2[[#This Row],[Курс ДОЛЛ]]</f>
        <v>214092</v>
      </c>
      <c r="N16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227757.44680851066</v>
      </c>
      <c r="O16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2873.3324385988458</v>
      </c>
      <c r="P16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13665.446808510664</v>
      </c>
      <c r="Q165" s="30">
        <v>227757.45</v>
      </c>
      <c r="R165" s="12">
        <f>Таблица2[[#This Row],[Сумма в руб]]-Таблица2[[#This Row],[Оплата от клиента]]</f>
        <v>-3.191489347955212E-3</v>
      </c>
      <c r="S165" s="32">
        <v>44433</v>
      </c>
      <c r="T165" s="32" t="s">
        <v>107</v>
      </c>
      <c r="U165" s="24" t="s">
        <v>31</v>
      </c>
      <c r="V165" s="2">
        <v>6.2480000000000002</v>
      </c>
      <c r="W165" s="28">
        <v>74.510000000000005</v>
      </c>
      <c r="X165" s="9">
        <v>2873</v>
      </c>
      <c r="Y165" s="16">
        <v>17807</v>
      </c>
      <c r="Z165" s="10">
        <v>44433</v>
      </c>
      <c r="AA165" s="26">
        <f>Таблица2[[#This Row],[Сумма перевода Долл/Евро]]*Таблица2[[#This Row],[Курс ДОЛЛ перевод]]+Таблица2[[#This Row],[Сумма за перевод руб]]</f>
        <v>227732.67680851067</v>
      </c>
      <c r="AB16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23.300428355567874</v>
      </c>
      <c r="AC165" s="9"/>
      <c r="AD165" s="41"/>
    </row>
    <row r="166" spans="1:30" x14ac:dyDescent="0.25">
      <c r="A166" s="6">
        <v>44432</v>
      </c>
      <c r="B166" s="29" t="s">
        <v>173</v>
      </c>
      <c r="C166" s="29" t="s">
        <v>29</v>
      </c>
      <c r="D166" s="1"/>
      <c r="E166" s="1"/>
      <c r="F166" s="3"/>
      <c r="G166" s="5">
        <v>6752</v>
      </c>
      <c r="H166" s="2"/>
      <c r="I166" s="2">
        <v>75.12</v>
      </c>
      <c r="J166" s="2"/>
      <c r="K166" s="2">
        <v>80</v>
      </c>
      <c r="L166" s="2"/>
      <c r="M166" s="26">
        <f>Таблица2[[#This Row],[Сумма Долл]]*Таблица2[[#This Row],[Курс ДОЛЛ]]</f>
        <v>507210.24000000005</v>
      </c>
      <c r="N16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513219.84000000003</v>
      </c>
      <c r="O16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6807.2774124278621</v>
      </c>
      <c r="P16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5960.8</v>
      </c>
      <c r="Q166" s="30">
        <v>513219.84000000003</v>
      </c>
      <c r="R166" s="12">
        <f>Таблица2[[#This Row],[Сумма в руб]]-Таблица2[[#This Row],[Оплата от клиента]]</f>
        <v>0</v>
      </c>
      <c r="S166" s="32">
        <v>44433</v>
      </c>
      <c r="T166" s="32" t="s">
        <v>130</v>
      </c>
      <c r="U166" s="24" t="s">
        <v>31</v>
      </c>
      <c r="V166" s="2"/>
      <c r="W166" s="28">
        <v>74.510000000000005</v>
      </c>
      <c r="X166" s="9">
        <v>6752</v>
      </c>
      <c r="Y166" s="16"/>
      <c r="Z166" s="10">
        <v>44433</v>
      </c>
      <c r="AA166" s="26">
        <f>Таблица2[[#This Row],[Сумма перевода Долл/Евро]]*Таблица2[[#This Row],[Курс ДОЛЛ перевод]]+Таблица2[[#This Row],[Сумма за перевод руб]]</f>
        <v>509052.32</v>
      </c>
      <c r="AB16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55.277412427862146</v>
      </c>
      <c r="AC166" s="9" t="s">
        <v>437</v>
      </c>
      <c r="AD166" s="41"/>
    </row>
    <row r="167" spans="1:30" x14ac:dyDescent="0.25">
      <c r="A167" s="6">
        <v>44433</v>
      </c>
      <c r="B167" s="29" t="s">
        <v>197</v>
      </c>
      <c r="C167" s="29" t="s">
        <v>198</v>
      </c>
      <c r="D167" s="1"/>
      <c r="E167" s="1"/>
      <c r="F167" s="3"/>
      <c r="G167" s="5">
        <v>3465.38</v>
      </c>
      <c r="H167" s="2"/>
      <c r="I167" s="2">
        <v>75.11</v>
      </c>
      <c r="J167" s="2">
        <v>0.97</v>
      </c>
      <c r="K167" s="2"/>
      <c r="L167" s="2"/>
      <c r="M167" s="26">
        <f>Таблица2[[#This Row],[Сумма Долл]]*Таблица2[[#This Row],[Курс ДОЛЛ]]</f>
        <v>260284.6918</v>
      </c>
      <c r="N16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268334.73381443298</v>
      </c>
      <c r="O16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3493.2853549859078</v>
      </c>
      <c r="P16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8050.0420144329837</v>
      </c>
      <c r="Q167" s="30">
        <v>268334.73</v>
      </c>
      <c r="R167" s="12">
        <f>Таблица2[[#This Row],[Сумма в руб]]-Таблица2[[#This Row],[Оплата от клиента]]</f>
        <v>3.8144330028444529E-3</v>
      </c>
      <c r="S167" s="32">
        <v>44433</v>
      </c>
      <c r="T167" s="32" t="s">
        <v>130</v>
      </c>
      <c r="U167" s="24" t="s">
        <v>31</v>
      </c>
      <c r="V167" s="2"/>
      <c r="W167" s="28">
        <v>74.510000000000005</v>
      </c>
      <c r="X167" s="9">
        <v>3465.38</v>
      </c>
      <c r="Y167" s="16"/>
      <c r="Z167" s="10">
        <v>44433</v>
      </c>
      <c r="AA167" s="26">
        <f>Таблица2[[#This Row],[Сумма перевода Долл/Евро]]*Таблица2[[#This Row],[Курс ДОЛЛ перевод]]+Таблица2[[#This Row],[Сумма за перевод руб]]</f>
        <v>266255.50581443298</v>
      </c>
      <c r="AB16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27.905354985907707</v>
      </c>
      <c r="AC167" s="9"/>
      <c r="AD167" s="41"/>
    </row>
    <row r="168" spans="1:30" x14ac:dyDescent="0.25">
      <c r="A168" s="6">
        <v>44433</v>
      </c>
      <c r="B168" s="2" t="s">
        <v>78</v>
      </c>
      <c r="C168" s="2" t="s">
        <v>79</v>
      </c>
      <c r="D168" s="1"/>
      <c r="E168" s="1"/>
      <c r="F168" s="8" t="s">
        <v>80</v>
      </c>
      <c r="G168" s="7">
        <f>10000 + 50</f>
        <v>10050</v>
      </c>
      <c r="H168" s="2"/>
      <c r="I168" s="2">
        <v>75.11</v>
      </c>
      <c r="J168" s="2">
        <v>0.98499999999999999</v>
      </c>
      <c r="K168" s="2"/>
      <c r="L168" s="2"/>
      <c r="M168" s="26">
        <f>Таблица2[[#This Row],[Сумма Долл]]*Таблица2[[#This Row],[Курс ДОЛЛ]]</f>
        <v>754855.5</v>
      </c>
      <c r="N16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766350.7614213198</v>
      </c>
      <c r="O16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10050</v>
      </c>
      <c r="P16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11495.261421319796</v>
      </c>
      <c r="Q168" s="30"/>
      <c r="R168" s="12">
        <f>Таблица2[[#This Row],[Сумма в руб]]-Таблица2[[#This Row],[Оплата от клиента]]</f>
        <v>766350.7614213198</v>
      </c>
      <c r="S168" s="32"/>
      <c r="T168" s="32" t="s">
        <v>130</v>
      </c>
      <c r="U168" s="24"/>
      <c r="V168" s="2"/>
      <c r="W168" s="28"/>
      <c r="X168" s="9"/>
      <c r="Y168" s="16"/>
      <c r="Z168" s="2"/>
      <c r="AA168" s="26">
        <f>Таблица2[[#This Row],[Сумма перевода Долл/Евро]]*Таблица2[[#This Row],[Курс ДОЛЛ перевод]]+Таблица2[[#This Row],[Сумма за перевод руб]]</f>
        <v>11495.261421319796</v>
      </c>
      <c r="AB16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10050</v>
      </c>
      <c r="AC168" s="9"/>
      <c r="AD168" s="41"/>
    </row>
    <row r="169" spans="1:30" x14ac:dyDescent="0.25">
      <c r="A169" s="6">
        <v>44433</v>
      </c>
      <c r="B169" s="29" t="s">
        <v>139</v>
      </c>
      <c r="C169" s="29" t="s">
        <v>140</v>
      </c>
      <c r="D169" s="1"/>
      <c r="E169" s="1"/>
      <c r="F169" s="3"/>
      <c r="G169" s="5">
        <v>1650</v>
      </c>
      <c r="H169" s="2"/>
      <c r="I169" s="2">
        <v>74.709999999999994</v>
      </c>
      <c r="J169" s="2"/>
      <c r="K169" s="2">
        <v>80</v>
      </c>
      <c r="L169" s="2"/>
      <c r="M169" s="26">
        <f>Таблица2[[#This Row],[Сумма Долл]]*Таблица2[[#This Row],[Курс ДОЛЛ]]</f>
        <v>123271.49999999999</v>
      </c>
      <c r="N16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129248.29999999999</v>
      </c>
      <c r="O16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1642.5249833444368</v>
      </c>
      <c r="P16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6004</v>
      </c>
      <c r="Q169" s="30">
        <v>129248.3</v>
      </c>
      <c r="R169" s="12">
        <f>Таблица2[[#This Row],[Сумма в руб]]-Таблица2[[#This Row],[Оплата от клиента]]</f>
        <v>0</v>
      </c>
      <c r="S169" s="32">
        <v>44434</v>
      </c>
      <c r="T169" s="32" t="s">
        <v>130</v>
      </c>
      <c r="U169" s="24" t="s">
        <v>31</v>
      </c>
      <c r="V169" s="2"/>
      <c r="W169" s="28">
        <v>75.05</v>
      </c>
      <c r="X169" s="9">
        <v>1650</v>
      </c>
      <c r="Y169" s="16"/>
      <c r="Z169" s="10">
        <v>44435</v>
      </c>
      <c r="AA169" s="26">
        <f>Таблица2[[#This Row],[Сумма перевода Долл/Евро]]*Таблица2[[#This Row],[Курс ДОЛЛ перевод]]+Таблица2[[#This Row],[Сумма за перевод руб]]</f>
        <v>129836.5</v>
      </c>
      <c r="AB16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-7.4750166555631949</v>
      </c>
      <c r="AC169" s="9"/>
      <c r="AD169" s="41"/>
    </row>
    <row r="170" spans="1:30" x14ac:dyDescent="0.25">
      <c r="A170" s="6">
        <v>44434</v>
      </c>
      <c r="B170" s="38" t="s">
        <v>200</v>
      </c>
      <c r="C170" s="38" t="s">
        <v>201</v>
      </c>
      <c r="D170" s="1"/>
      <c r="E170" s="1"/>
      <c r="F170" s="3"/>
      <c r="G170" s="5"/>
      <c r="H170" s="2"/>
      <c r="I170" s="2"/>
      <c r="J170" s="2">
        <v>0.95</v>
      </c>
      <c r="K170" s="2"/>
      <c r="L170" s="2"/>
      <c r="M170" s="26">
        <f>Таблица2[[#This Row],[Сумма Долл]]*Таблица2[[#This Row],[Курс ДОЛЛ]]</f>
        <v>0</v>
      </c>
      <c r="N170" s="24">
        <v>2000000</v>
      </c>
      <c r="O17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17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2000000</v>
      </c>
      <c r="Q170" s="30">
        <v>2000000</v>
      </c>
      <c r="R170" s="12">
        <f>Таблица2[[#This Row],[Сумма в руб]]-Таблица2[[#This Row],[Оплата от клиента]]</f>
        <v>0</v>
      </c>
      <c r="S170" s="32">
        <v>44434</v>
      </c>
      <c r="T170" s="32" t="s">
        <v>107</v>
      </c>
      <c r="U170" s="24" t="s">
        <v>31</v>
      </c>
      <c r="V170" s="2">
        <v>6.44</v>
      </c>
      <c r="W170" s="28">
        <v>74.709999999999994</v>
      </c>
      <c r="X170" s="9">
        <v>25431.599999999999</v>
      </c>
      <c r="Y170" s="16">
        <v>163793</v>
      </c>
      <c r="Z170" s="10">
        <v>44434</v>
      </c>
      <c r="AA170" s="26">
        <f>Таблица2[[#This Row],[Сумма перевода Долл/Евро]]*Таблица2[[#This Row],[Курс ДОЛЛ перевод]]+Таблица2[[#This Row],[Сумма за перевод руб]]</f>
        <v>3899994.8359999997</v>
      </c>
      <c r="AB17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-25433.695652173912</v>
      </c>
      <c r="AC170" s="9" t="s">
        <v>437</v>
      </c>
      <c r="AD170" s="41"/>
    </row>
    <row r="171" spans="1:30" ht="75" x14ac:dyDescent="0.25">
      <c r="A171" s="6">
        <v>44434</v>
      </c>
      <c r="B171" s="2" t="s">
        <v>55</v>
      </c>
      <c r="C171" s="2" t="s">
        <v>56</v>
      </c>
      <c r="D171" s="1" t="s">
        <v>223</v>
      </c>
      <c r="E171" s="1"/>
      <c r="F171" s="3"/>
      <c r="G171" s="5">
        <f>135+70/2</f>
        <v>170</v>
      </c>
      <c r="H171" s="2"/>
      <c r="I171" s="2">
        <v>75.3</v>
      </c>
      <c r="J171" s="2"/>
      <c r="K171" s="2">
        <v>40</v>
      </c>
      <c r="L171" s="2"/>
      <c r="M171" s="26">
        <f>Таблица2[[#This Row],[Сумма Долл]]*Таблица2[[#This Row],[Курс ДОЛЛ]]</f>
        <v>12801</v>
      </c>
      <c r="N17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15813</v>
      </c>
      <c r="O17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170</v>
      </c>
      <c r="P17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3012</v>
      </c>
      <c r="Q171" s="30"/>
      <c r="R171" s="12">
        <f>Таблица2[[#This Row],[Сумма в руб]]-Таблица2[[#This Row],[Оплата от клиента]]</f>
        <v>15813</v>
      </c>
      <c r="S171" s="32"/>
      <c r="T171" s="32" t="s">
        <v>130</v>
      </c>
      <c r="U171" s="24"/>
      <c r="V171" s="2"/>
      <c r="W171" s="28"/>
      <c r="X171" s="9"/>
      <c r="Y171" s="16"/>
      <c r="Z171" s="2"/>
      <c r="AA171" s="26">
        <f>Таблица2[[#This Row],[Сумма перевода Долл/Евро]]*Таблица2[[#This Row],[Курс ДОЛЛ перевод]]+Таблица2[[#This Row],[Сумма за перевод руб]]</f>
        <v>3012</v>
      </c>
      <c r="AB17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170</v>
      </c>
      <c r="AC171" s="9"/>
      <c r="AD171" s="41"/>
    </row>
    <row r="172" spans="1:30" ht="90" x14ac:dyDescent="0.25">
      <c r="A172" s="6">
        <v>44434</v>
      </c>
      <c r="B172" s="2" t="s">
        <v>55</v>
      </c>
      <c r="C172" s="2" t="s">
        <v>56</v>
      </c>
      <c r="D172" s="1" t="s">
        <v>224</v>
      </c>
      <c r="E172" s="1"/>
      <c r="F172" s="3"/>
      <c r="G172" s="5">
        <f>115.5+70/2</f>
        <v>150.5</v>
      </c>
      <c r="H172" s="2"/>
      <c r="I172" s="2">
        <v>75.3</v>
      </c>
      <c r="J172" s="2"/>
      <c r="K172" s="2">
        <v>40</v>
      </c>
      <c r="L172" s="2"/>
      <c r="M172" s="26">
        <f>Таблица2[[#This Row],[Сумма Долл]]*Таблица2[[#This Row],[Курс ДОЛЛ]]</f>
        <v>11332.65</v>
      </c>
      <c r="N17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14344.65</v>
      </c>
      <c r="O17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150.5</v>
      </c>
      <c r="P17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3012</v>
      </c>
      <c r="Q172" s="30"/>
      <c r="R172" s="12">
        <f>Таблица2[[#This Row],[Сумма в руб]]-Таблица2[[#This Row],[Оплата от клиента]]</f>
        <v>14344.65</v>
      </c>
      <c r="S172" s="32"/>
      <c r="T172" s="32" t="s">
        <v>130</v>
      </c>
      <c r="U172" s="24"/>
      <c r="V172" s="2"/>
      <c r="W172" s="28"/>
      <c r="X172" s="9"/>
      <c r="Y172" s="16"/>
      <c r="Z172" s="2"/>
      <c r="AA172" s="26">
        <f>Таблица2[[#This Row],[Сумма перевода Долл/Евро]]*Таблица2[[#This Row],[Курс ДОЛЛ перевод]]+Таблица2[[#This Row],[Сумма за перевод руб]]</f>
        <v>3012</v>
      </c>
      <c r="AB17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150.5</v>
      </c>
      <c r="AC172" s="9"/>
      <c r="AD172" s="41"/>
    </row>
    <row r="173" spans="1:30" x14ac:dyDescent="0.25">
      <c r="A173" s="6">
        <v>44435</v>
      </c>
      <c r="B173" s="38" t="s">
        <v>173</v>
      </c>
      <c r="C173" s="38" t="s">
        <v>29</v>
      </c>
      <c r="D173" s="1"/>
      <c r="E173" s="1"/>
      <c r="F173" s="3">
        <v>18900</v>
      </c>
      <c r="G173" s="5">
        <f>Таблица2[[#This Row],[Сумма ЮА]]/Таблица2[[#This Row],[Курс ЮА]]</f>
        <v>2943.9252336448599</v>
      </c>
      <c r="H173" s="2">
        <v>6.42</v>
      </c>
      <c r="I173" s="2">
        <v>75.150000000000006</v>
      </c>
      <c r="J173" s="2">
        <v>0.94</v>
      </c>
      <c r="K173" s="2"/>
      <c r="L173" s="2"/>
      <c r="M173" s="26">
        <f>Таблица2[[#This Row],[Сумма Долл]]*Таблица2[[#This Row],[Курс ДОЛЛ]]</f>
        <v>221235.98130841122</v>
      </c>
      <c r="N17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235357.42692384173</v>
      </c>
      <c r="O17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2947.8478522106761</v>
      </c>
      <c r="P17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14121.445615430508</v>
      </c>
      <c r="Q173" s="30">
        <v>235357.43</v>
      </c>
      <c r="R173" s="12">
        <f>Таблица2[[#This Row],[Сумма в руб]]-Таблица2[[#This Row],[Оплата от клиента]]</f>
        <v>-3.0761582602281123E-3</v>
      </c>
      <c r="S173" s="32">
        <v>44435</v>
      </c>
      <c r="T173" s="32" t="s">
        <v>107</v>
      </c>
      <c r="U173" s="24" t="s">
        <v>31</v>
      </c>
      <c r="V173" s="2">
        <v>6.2480000000000002</v>
      </c>
      <c r="W173" s="28">
        <v>75.05</v>
      </c>
      <c r="X173" s="9">
        <v>2947</v>
      </c>
      <c r="Y173" s="16">
        <v>18900</v>
      </c>
      <c r="Z173" s="10">
        <v>44435</v>
      </c>
      <c r="AA173" s="26">
        <f>Таблица2[[#This Row],[Сумма перевода Долл/Евро]]*Таблица2[[#This Row],[Курс ДОЛЛ перевод]]+Таблица2[[#This Row],[Сумма за перевод руб]]</f>
        <v>235293.79561543051</v>
      </c>
      <c r="AB17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-77.120137546045953</v>
      </c>
      <c r="AC173" s="9" t="s">
        <v>389</v>
      </c>
      <c r="AD173" s="41"/>
    </row>
    <row r="174" spans="1:30" x14ac:dyDescent="0.25">
      <c r="A174" s="6">
        <v>44435</v>
      </c>
      <c r="B174" s="2" t="s">
        <v>115</v>
      </c>
      <c r="C174" s="2" t="s">
        <v>116</v>
      </c>
      <c r="D174" s="1"/>
      <c r="E174" s="1"/>
      <c r="F174" s="3"/>
      <c r="G174" s="5">
        <v>6640</v>
      </c>
      <c r="H174" s="2"/>
      <c r="I174" s="2">
        <v>75.25</v>
      </c>
      <c r="J174" s="2">
        <v>0.97</v>
      </c>
      <c r="K174" s="2"/>
      <c r="L174" s="2"/>
      <c r="M174" s="26">
        <f>Таблица2[[#This Row],[Сумма Долл]]*Таблица2[[#This Row],[Курс ДОЛЛ]]</f>
        <v>499660</v>
      </c>
      <c r="N17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515113.40206185571</v>
      </c>
      <c r="O17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6640</v>
      </c>
      <c r="P17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15453.402061855712</v>
      </c>
      <c r="Q174" s="30"/>
      <c r="R174" s="12">
        <f>Таблица2[[#This Row],[Сумма в руб]]-Таблица2[[#This Row],[Оплата от клиента]]</f>
        <v>515113.40206185571</v>
      </c>
      <c r="S174" s="32"/>
      <c r="T174" s="32" t="s">
        <v>130</v>
      </c>
      <c r="U174" s="24"/>
      <c r="V174" s="2"/>
      <c r="W174" s="28"/>
      <c r="X174" s="9"/>
      <c r="Y174" s="16"/>
      <c r="Z174" s="2"/>
      <c r="AA174" s="26">
        <f>Таблица2[[#This Row],[Сумма перевода Долл/Евро]]*Таблица2[[#This Row],[Курс ДОЛЛ перевод]]+Таблица2[[#This Row],[Сумма за перевод руб]]</f>
        <v>15453.402061855712</v>
      </c>
      <c r="AB17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6640</v>
      </c>
      <c r="AC174" s="9"/>
      <c r="AD174" s="41"/>
    </row>
    <row r="175" spans="1:30" x14ac:dyDescent="0.25">
      <c r="A175" s="6">
        <v>44435</v>
      </c>
      <c r="B175" s="29" t="s">
        <v>225</v>
      </c>
      <c r="C175" s="29" t="s">
        <v>226</v>
      </c>
      <c r="D175" s="1"/>
      <c r="E175" s="1"/>
      <c r="F175" s="3"/>
      <c r="G175" s="5">
        <v>25570.34</v>
      </c>
      <c r="H175" s="2"/>
      <c r="I175" s="2">
        <v>75.25</v>
      </c>
      <c r="J175" s="2">
        <v>0.94</v>
      </c>
      <c r="K175" s="2"/>
      <c r="L175" s="2"/>
      <c r="M175" s="26">
        <f>Таблица2[[#This Row],[Сумма Долл]]*Таблица2[[#This Row],[Курс ДОЛЛ]]</f>
        <v>1924168.085</v>
      </c>
      <c r="N17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2046987.3244680851</v>
      </c>
      <c r="O17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25638.48214523651</v>
      </c>
      <c r="P17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122819.23946808511</v>
      </c>
      <c r="Q175" s="30">
        <v>2046987.32</v>
      </c>
      <c r="R175" s="12">
        <f>Таблица2[[#This Row],[Сумма в руб]]-Таблица2[[#This Row],[Оплата от клиента]]</f>
        <v>4.4680850114673376E-3</v>
      </c>
      <c r="S175" s="32">
        <v>44435</v>
      </c>
      <c r="T175" s="32" t="s">
        <v>130</v>
      </c>
      <c r="U175" s="24" t="s">
        <v>31</v>
      </c>
      <c r="V175" s="2"/>
      <c r="W175" s="28">
        <v>75.05</v>
      </c>
      <c r="X175" s="9">
        <v>25638</v>
      </c>
      <c r="Y175" s="16"/>
      <c r="Z175" s="10">
        <v>44435</v>
      </c>
      <c r="AA175" s="26">
        <f>Таблица2[[#This Row],[Сумма перевода Долл/Евро]]*Таблица2[[#This Row],[Курс ДОЛЛ перевод]]+Таблица2[[#This Row],[Сумма за перевод руб]]</f>
        <v>2046951.139468085</v>
      </c>
      <c r="AB17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0.48214523651040508</v>
      </c>
      <c r="AC175" s="9"/>
      <c r="AD175" s="41"/>
    </row>
    <row r="176" spans="1:30" x14ac:dyDescent="0.25">
      <c r="A176" s="6">
        <v>44435</v>
      </c>
      <c r="B176" s="29" t="s">
        <v>227</v>
      </c>
      <c r="C176" s="29" t="s">
        <v>228</v>
      </c>
      <c r="D176" s="1"/>
      <c r="E176" s="1"/>
      <c r="F176" s="3"/>
      <c r="G176" s="5">
        <v>15193.94</v>
      </c>
      <c r="H176" s="2"/>
      <c r="I176" s="2">
        <v>75.25</v>
      </c>
      <c r="J176" s="2">
        <v>0.94</v>
      </c>
      <c r="K176" s="2"/>
      <c r="L176" s="2"/>
      <c r="M176" s="26">
        <f>Таблица2[[#This Row],[Сумма Долл]]*Таблица2[[#This Row],[Курс ДОЛЛ]]</f>
        <v>1143343.9850000001</v>
      </c>
      <c r="N17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1216323.3882978726</v>
      </c>
      <c r="O17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15433.90908477322</v>
      </c>
      <c r="P17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72979.403297872515</v>
      </c>
      <c r="Q176" s="30">
        <v>1216323.3899999999</v>
      </c>
      <c r="R176" s="12">
        <f>Таблица2[[#This Row],[Сумма в руб]]-Таблица2[[#This Row],[Оплата от клиента]]</f>
        <v>-1.7021272797137499E-3</v>
      </c>
      <c r="S176" s="32">
        <v>44439</v>
      </c>
      <c r="T176" s="32" t="s">
        <v>130</v>
      </c>
      <c r="U176" s="24" t="s">
        <v>31</v>
      </c>
      <c r="V176" s="2"/>
      <c r="W176" s="28">
        <v>74.08</v>
      </c>
      <c r="X176" s="9">
        <v>15193.94</v>
      </c>
      <c r="Y176" s="16"/>
      <c r="Z176" s="10">
        <v>44439</v>
      </c>
      <c r="AA176" s="26">
        <f>Таблица2[[#This Row],[Сумма перевода Долл/Евро]]*Таблица2[[#This Row],[Курс ДОЛЛ перевод]]+Таблица2[[#This Row],[Сумма за перевод руб]]</f>
        <v>1198546.4784978726</v>
      </c>
      <c r="AB17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239.96908477321995</v>
      </c>
      <c r="AC176" s="9"/>
      <c r="AD176" s="41"/>
    </row>
    <row r="177" spans="1:30" x14ac:dyDescent="0.25">
      <c r="A177" s="6">
        <v>44435</v>
      </c>
      <c r="B177" s="29" t="s">
        <v>229</v>
      </c>
      <c r="C177" s="29" t="s">
        <v>230</v>
      </c>
      <c r="D177" s="1"/>
      <c r="E177" s="1"/>
      <c r="F177" s="3"/>
      <c r="G177" s="5">
        <v>11619.74</v>
      </c>
      <c r="H177" s="2"/>
      <c r="I177" s="2">
        <v>75.25</v>
      </c>
      <c r="J177" s="2">
        <v>0.94</v>
      </c>
      <c r="K177" s="2"/>
      <c r="L177" s="2"/>
      <c r="M177" s="26">
        <f>Таблица2[[#This Row],[Сумма Долл]]*Таблица2[[#This Row],[Курс ДОЛЛ]]</f>
        <v>874385.43499999994</v>
      </c>
      <c r="N17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930197.27127659577</v>
      </c>
      <c r="O17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11702.160532655245</v>
      </c>
      <c r="P17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55811.83627659583</v>
      </c>
      <c r="Q177" s="30">
        <v>930197.27</v>
      </c>
      <c r="R177" s="12">
        <f>Таблица2[[#This Row],[Сумма в руб]]-Таблица2[[#This Row],[Оплата от клиента]]</f>
        <v>1.276595750823617E-3</v>
      </c>
      <c r="S177" s="32">
        <v>44438</v>
      </c>
      <c r="T177" s="32" t="s">
        <v>130</v>
      </c>
      <c r="U177" s="24" t="s">
        <v>31</v>
      </c>
      <c r="V177" s="2"/>
      <c r="W177" s="28">
        <v>74.72</v>
      </c>
      <c r="X177" s="9">
        <v>11702</v>
      </c>
      <c r="Y177" s="16"/>
      <c r="Z177" s="10">
        <v>44438</v>
      </c>
      <c r="AA177" s="26">
        <f>Таблица2[[#This Row],[Сумма перевода Долл/Евро]]*Таблица2[[#This Row],[Курс ДОЛЛ перевод]]+Таблица2[[#This Row],[Сумма за перевод руб]]</f>
        <v>930185.27627659577</v>
      </c>
      <c r="AB17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0.16053265524533344</v>
      </c>
      <c r="AC177" s="9"/>
      <c r="AD177" s="41"/>
    </row>
    <row r="178" spans="1:30" x14ac:dyDescent="0.25">
      <c r="A178" s="6">
        <v>44435</v>
      </c>
      <c r="B178" s="29" t="s">
        <v>231</v>
      </c>
      <c r="C178" s="29" t="s">
        <v>232</v>
      </c>
      <c r="D178" s="1"/>
      <c r="E178" s="1"/>
      <c r="F178" s="3"/>
      <c r="G178" s="5">
        <v>13336.52</v>
      </c>
      <c r="H178" s="2"/>
      <c r="I178" s="2">
        <v>75.25</v>
      </c>
      <c r="J178" s="2">
        <v>0.94</v>
      </c>
      <c r="K178" s="2"/>
      <c r="L178" s="2"/>
      <c r="M178" s="26">
        <f>Таблица2[[#This Row],[Сумма Долл]]*Таблица2[[#This Row],[Курс ДОЛЛ]]</f>
        <v>1003573.13</v>
      </c>
      <c r="N17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1067630.9893617022</v>
      </c>
      <c r="O17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13547.153482721382</v>
      </c>
      <c r="P17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64057.859361702227</v>
      </c>
      <c r="Q178" s="30">
        <v>1067630.99</v>
      </c>
      <c r="R178" s="12">
        <f>Таблица2[[#This Row],[Сумма в руб]]-Таблица2[[#This Row],[Оплата от клиента]]</f>
        <v>-6.3829775899648666E-4</v>
      </c>
      <c r="S178" s="32">
        <v>44439</v>
      </c>
      <c r="T178" s="32" t="s">
        <v>130</v>
      </c>
      <c r="U178" s="24" t="s">
        <v>31</v>
      </c>
      <c r="V178" s="2"/>
      <c r="W178" s="28">
        <v>74.08</v>
      </c>
      <c r="X178" s="9">
        <v>13336.52</v>
      </c>
      <c r="Y178" s="16"/>
      <c r="Z178" s="10">
        <v>44439</v>
      </c>
      <c r="AA178" s="26">
        <f>Таблица2[[#This Row],[Сумма перевода Долл/Евро]]*Таблица2[[#This Row],[Курс ДОЛЛ перевод]]+Таблица2[[#This Row],[Сумма за перевод руб]]</f>
        <v>1052027.2609617021</v>
      </c>
      <c r="AB17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210.63348272138137</v>
      </c>
      <c r="AC178" s="9"/>
      <c r="AD178" s="41"/>
    </row>
    <row r="179" spans="1:30" x14ac:dyDescent="0.25">
      <c r="A179" s="6">
        <v>44435</v>
      </c>
      <c r="B179" s="29" t="s">
        <v>233</v>
      </c>
      <c r="C179" s="29" t="s">
        <v>234</v>
      </c>
      <c r="D179" s="1"/>
      <c r="E179" s="1"/>
      <c r="F179" s="3"/>
      <c r="G179" s="5">
        <v>5119.3100000000004</v>
      </c>
      <c r="H179" s="2"/>
      <c r="I179" s="2">
        <v>75.25</v>
      </c>
      <c r="J179" s="2">
        <v>0.94</v>
      </c>
      <c r="K179" s="2"/>
      <c r="L179" s="2"/>
      <c r="M179" s="26">
        <f>Таблица2[[#This Row],[Сумма Долл]]*Таблица2[[#This Row],[Курс ДОЛЛ]]</f>
        <v>385228.07750000001</v>
      </c>
      <c r="N17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409817.10372340429</v>
      </c>
      <c r="O17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5200.1630332073437</v>
      </c>
      <c r="P17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24589.026223404275</v>
      </c>
      <c r="Q179" s="30">
        <v>409817.1</v>
      </c>
      <c r="R179" s="12">
        <f>Таблица2[[#This Row],[Сумма в руб]]-Таблица2[[#This Row],[Оплата от клиента]]</f>
        <v>3.7234043120406568E-3</v>
      </c>
      <c r="S179" s="32">
        <v>44439</v>
      </c>
      <c r="T179" s="32" t="s">
        <v>130</v>
      </c>
      <c r="U179" s="24" t="s">
        <v>31</v>
      </c>
      <c r="V179" s="2"/>
      <c r="W179" s="28">
        <v>74.08</v>
      </c>
      <c r="X179" s="9">
        <v>5119.3100000000004</v>
      </c>
      <c r="Y179" s="16"/>
      <c r="Z179" s="10">
        <v>44439</v>
      </c>
      <c r="AA179" s="26">
        <f>Таблица2[[#This Row],[Сумма перевода Долл/Евро]]*Таблица2[[#This Row],[Курс ДОЛЛ перевод]]+Таблица2[[#This Row],[Сумма за перевод руб]]</f>
        <v>403827.51102340431</v>
      </c>
      <c r="AB17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80.853033207343287</v>
      </c>
      <c r="AC179" s="9"/>
      <c r="AD179" s="41"/>
    </row>
    <row r="180" spans="1:30" x14ac:dyDescent="0.25">
      <c r="A180" s="6">
        <v>44435</v>
      </c>
      <c r="B180" s="29" t="s">
        <v>235</v>
      </c>
      <c r="C180" s="29" t="s">
        <v>236</v>
      </c>
      <c r="D180" s="1"/>
      <c r="E180" s="1"/>
      <c r="F180" s="3"/>
      <c r="G180" s="5">
        <v>9040.3799999999992</v>
      </c>
      <c r="H180" s="2"/>
      <c r="I180" s="2">
        <v>75.25</v>
      </c>
      <c r="J180" s="2">
        <v>0.94</v>
      </c>
      <c r="K180" s="2"/>
      <c r="L180" s="2"/>
      <c r="M180" s="26">
        <f>Таблица2[[#This Row],[Сумма Долл]]*Таблица2[[#This Row],[Курс ДОЛЛ]]</f>
        <v>680288.59499999997</v>
      </c>
      <c r="N18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723711.27127659577</v>
      </c>
      <c r="O18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9104.5047510706627</v>
      </c>
      <c r="P18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43422.676276595797</v>
      </c>
      <c r="Q180" s="30">
        <v>723711.27</v>
      </c>
      <c r="R180" s="12">
        <f>Таблица2[[#This Row],[Сумма в руб]]-Таблица2[[#This Row],[Оплата от клиента]]</f>
        <v>1.276595750823617E-3</v>
      </c>
      <c r="S180" s="32">
        <v>44438</v>
      </c>
      <c r="T180" s="32" t="s">
        <v>130</v>
      </c>
      <c r="U180" s="24" t="s">
        <v>31</v>
      </c>
      <c r="V180" s="2"/>
      <c r="W180" s="28">
        <v>74.72</v>
      </c>
      <c r="X180" s="9">
        <v>9104.5</v>
      </c>
      <c r="Y180" s="16"/>
      <c r="Z180" s="10">
        <v>44438</v>
      </c>
      <c r="AA180" s="26">
        <f>Таблица2[[#This Row],[Сумма перевода Долл/Евро]]*Таблица2[[#This Row],[Курс ДОЛЛ перевод]]+Таблица2[[#This Row],[Сумма за перевод руб]]</f>
        <v>723710.91627659579</v>
      </c>
      <c r="AB18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4.751070662678103E-3</v>
      </c>
      <c r="AC180" s="9"/>
      <c r="AD180" s="41"/>
    </row>
    <row r="181" spans="1:30" x14ac:dyDescent="0.25">
      <c r="A181" s="6">
        <v>44435</v>
      </c>
      <c r="B181" s="29" t="s">
        <v>237</v>
      </c>
      <c r="C181" s="29" t="s">
        <v>238</v>
      </c>
      <c r="D181" s="1"/>
      <c r="E181" s="1"/>
      <c r="F181" s="3"/>
      <c r="G181" s="5">
        <v>6385.76</v>
      </c>
      <c r="H181" s="2"/>
      <c r="I181" s="2">
        <v>75.25</v>
      </c>
      <c r="J181" s="2">
        <v>0.94</v>
      </c>
      <c r="K181" s="2"/>
      <c r="L181" s="2"/>
      <c r="M181" s="26">
        <f>Таблица2[[#This Row],[Сумма Долл]]*Таблица2[[#This Row],[Курс ДОЛЛ]]</f>
        <v>480528.44</v>
      </c>
      <c r="N18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511200.4680851064</v>
      </c>
      <c r="O18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6486.6150107991361</v>
      </c>
      <c r="P18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30672.028085106402</v>
      </c>
      <c r="Q181" s="30">
        <v>511200.47</v>
      </c>
      <c r="R181" s="12">
        <f>Таблица2[[#This Row],[Сумма в руб]]-Таблица2[[#This Row],[Оплата от клиента]]</f>
        <v>-1.9148935680277646E-3</v>
      </c>
      <c r="S181" s="32">
        <v>44439</v>
      </c>
      <c r="T181" s="32" t="s">
        <v>130</v>
      </c>
      <c r="U181" s="24" t="s">
        <v>31</v>
      </c>
      <c r="V181" s="2"/>
      <c r="W181" s="28">
        <v>74.08</v>
      </c>
      <c r="X181" s="9">
        <v>6385.76</v>
      </c>
      <c r="Y181" s="16"/>
      <c r="Z181" s="10">
        <v>44439</v>
      </c>
      <c r="AA181" s="26">
        <f>Таблица2[[#This Row],[Сумма перевода Долл/Евро]]*Таблица2[[#This Row],[Курс ДОЛЛ перевод]]+Таблица2[[#This Row],[Сумма за перевод руб]]</f>
        <v>503729.12888510642</v>
      </c>
      <c r="AB18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100.85501079913593</v>
      </c>
      <c r="AC181" s="9"/>
      <c r="AD181" s="41"/>
    </row>
    <row r="182" spans="1:30" x14ac:dyDescent="0.25">
      <c r="A182" s="6">
        <v>44438</v>
      </c>
      <c r="B182" s="29" t="s">
        <v>239</v>
      </c>
      <c r="C182" s="29" t="s">
        <v>240</v>
      </c>
      <c r="D182" s="1"/>
      <c r="E182" s="1"/>
      <c r="F182" s="3">
        <v>4000</v>
      </c>
      <c r="G182" s="5"/>
      <c r="H182" s="2"/>
      <c r="I182" s="2"/>
      <c r="J182" s="2">
        <v>0.94</v>
      </c>
      <c r="K182" s="2"/>
      <c r="L182" s="2"/>
      <c r="M182" s="26">
        <f>Таблица2[[#This Row],[Сумма Долл]]*Таблица2[[#This Row],[Курс ДОЛЛ]]</f>
        <v>0</v>
      </c>
      <c r="N182" s="24">
        <v>48800</v>
      </c>
      <c r="O18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18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48800</v>
      </c>
      <c r="Q182" s="30">
        <v>48800</v>
      </c>
      <c r="R182" s="12">
        <f>Таблица2[[#This Row],[Сумма в руб]]-Таблица2[[#This Row],[Оплата от клиента]]</f>
        <v>0</v>
      </c>
      <c r="S182" s="32">
        <v>44438</v>
      </c>
      <c r="T182" s="32" t="s">
        <v>107</v>
      </c>
      <c r="U182" s="24" t="s">
        <v>31</v>
      </c>
      <c r="V182" s="2">
        <v>6.42</v>
      </c>
      <c r="W182" s="28">
        <v>74.040000000000006</v>
      </c>
      <c r="X182" s="9">
        <v>617</v>
      </c>
      <c r="Y182" s="16">
        <v>4000</v>
      </c>
      <c r="Z182" s="10">
        <v>44438</v>
      </c>
      <c r="AA182" s="26">
        <f>Таблица2[[#This Row],[Сумма перевода Долл/Евро]]*Таблица2[[#This Row],[Курс ДОЛЛ перевод]]+Таблица2[[#This Row],[Сумма за перевод руб]]</f>
        <v>94482.68</v>
      </c>
      <c r="AB18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-623.05295950155767</v>
      </c>
      <c r="AC182" s="9" t="s">
        <v>425</v>
      </c>
      <c r="AD182" s="41"/>
    </row>
    <row r="183" spans="1:30" ht="30" x14ac:dyDescent="0.25">
      <c r="A183" s="6">
        <v>44439</v>
      </c>
      <c r="B183" s="29" t="s">
        <v>89</v>
      </c>
      <c r="C183" s="4" t="s">
        <v>99</v>
      </c>
      <c r="D183" s="1"/>
      <c r="E183" s="1"/>
      <c r="F183" s="3"/>
      <c r="G183" s="5">
        <v>26600</v>
      </c>
      <c r="H183" s="2"/>
      <c r="I183" s="2">
        <v>74.239999999999995</v>
      </c>
      <c r="J183" s="38">
        <v>0.95</v>
      </c>
      <c r="K183" s="2"/>
      <c r="L183" s="2"/>
      <c r="M183" s="26">
        <f>Таблица2[[#This Row],[Сумма Долл]]*Таблица2[[#This Row],[Курс ДОЛЛ]]</f>
        <v>1974783.9999999998</v>
      </c>
      <c r="N18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2078719.9999999998</v>
      </c>
      <c r="O18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27074.088291746637</v>
      </c>
      <c r="P18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103936</v>
      </c>
      <c r="Q183" s="30">
        <v>2078720</v>
      </c>
      <c r="R183" s="12">
        <f>Таблица2[[#This Row],[Сумма в руб]]-Таблица2[[#This Row],[Оплата от клиента]]</f>
        <v>0</v>
      </c>
      <c r="S183" s="32">
        <v>44463</v>
      </c>
      <c r="T183" s="32" t="s">
        <v>130</v>
      </c>
      <c r="U183" s="24" t="s">
        <v>31</v>
      </c>
      <c r="V183" s="2"/>
      <c r="W183" s="28">
        <v>72.94</v>
      </c>
      <c r="X183" s="9">
        <v>26600</v>
      </c>
      <c r="Y183" s="16"/>
      <c r="Z183" s="10">
        <v>44463</v>
      </c>
      <c r="AA183" s="26">
        <f>Таблица2[[#This Row],[Сумма перевода Долл/Евро]]*Таблица2[[#This Row],[Курс ДОЛЛ перевод]]+Таблица2[[#This Row],[Сумма за перевод руб]]</f>
        <v>2044140</v>
      </c>
      <c r="AB18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474.08829174663697</v>
      </c>
      <c r="AC183" s="9"/>
      <c r="AD183" s="41"/>
    </row>
    <row r="184" spans="1:30" ht="30" x14ac:dyDescent="0.25">
      <c r="A184" s="6">
        <v>44439</v>
      </c>
      <c r="B184" s="38" t="s">
        <v>45</v>
      </c>
      <c r="C184" s="38" t="s">
        <v>241</v>
      </c>
      <c r="D184" s="1"/>
      <c r="E184" s="1"/>
      <c r="F184" s="3">
        <f>Таблица2[[#This Row],[Сумма Долл]]*Таблица2[[#This Row],[Курс ЮА]]</f>
        <v>47870.601599999995</v>
      </c>
      <c r="G184" s="5">
        <v>7456.48</v>
      </c>
      <c r="H184" s="2">
        <v>6.42</v>
      </c>
      <c r="I184" s="2">
        <v>74.239999999999995</v>
      </c>
      <c r="J184" s="38">
        <v>0.94</v>
      </c>
      <c r="K184" s="2"/>
      <c r="L184" s="2"/>
      <c r="M184" s="26">
        <f>Таблица2[[#This Row],[Сумма Долл]]*Таблица2[[#This Row],[Курс ДОЛЛ]]</f>
        <v>553569.07519999996</v>
      </c>
      <c r="N18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588903.27148936165</v>
      </c>
      <c r="O18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7478.6419238043773</v>
      </c>
      <c r="P18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35334.196289361687</v>
      </c>
      <c r="Q184" s="30">
        <v>573646.71</v>
      </c>
      <c r="R184" s="12">
        <f>Таблица2[[#This Row],[Сумма в руб]]-Таблица2[[#This Row],[Оплата от клиента]]</f>
        <v>15256.561489361688</v>
      </c>
      <c r="S184" s="32">
        <v>44440</v>
      </c>
      <c r="T184" s="32" t="s">
        <v>107</v>
      </c>
      <c r="U184" s="24" t="s">
        <v>31</v>
      </c>
      <c r="V184" s="2">
        <v>6.4499000000000004</v>
      </c>
      <c r="W184" s="28">
        <v>74.02</v>
      </c>
      <c r="X184" s="9">
        <v>7478.5</v>
      </c>
      <c r="Y184" s="16">
        <v>48317</v>
      </c>
      <c r="Z184" s="10">
        <v>44440</v>
      </c>
      <c r="AA184" s="26">
        <f>Таблица2[[#This Row],[Сумма перевода Долл/Евро]]*Таблица2[[#This Row],[Курс ДОЛЛ перевод]]+Таблица2[[#This Row],[Сумма за перевод руб]]</f>
        <v>588892.76628936164</v>
      </c>
      <c r="AB18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-12.481969589318396</v>
      </c>
      <c r="AC184" s="41" t="s">
        <v>477</v>
      </c>
      <c r="AD184" s="49" t="s">
        <v>476</v>
      </c>
    </row>
    <row r="185" spans="1:30" ht="30" x14ac:dyDescent="0.25">
      <c r="A185" s="6">
        <v>44441</v>
      </c>
      <c r="B185" s="29" t="s">
        <v>242</v>
      </c>
      <c r="C185" s="29" t="s">
        <v>243</v>
      </c>
      <c r="D185" s="1" t="s">
        <v>244</v>
      </c>
      <c r="E185" s="1"/>
      <c r="F185" s="3"/>
      <c r="G185" s="5"/>
      <c r="H185" s="2"/>
      <c r="I185" s="2">
        <v>73.569999999999993</v>
      </c>
      <c r="J185" s="2">
        <v>0.98</v>
      </c>
      <c r="K185" s="2"/>
      <c r="L185" s="2"/>
      <c r="M185" s="26">
        <f>Таблица2[[#This Row],[Сумма Долл]]*Таблица2[[#This Row],[Курс ДОЛЛ]]</f>
        <v>0</v>
      </c>
      <c r="N185" s="24">
        <v>1980002.54</v>
      </c>
      <c r="O18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18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1980002.54</v>
      </c>
      <c r="Q185" s="30">
        <v>1980002.54</v>
      </c>
      <c r="R185" s="12">
        <f>Таблица2[[#This Row],[Сумма в руб]]-Таблица2[[#This Row],[Оплата от клиента]]</f>
        <v>0</v>
      </c>
      <c r="S185" s="32">
        <v>44441</v>
      </c>
      <c r="T185" s="32" t="s">
        <v>130</v>
      </c>
      <c r="U185" s="24" t="s">
        <v>31</v>
      </c>
      <c r="V185" s="2"/>
      <c r="W185" s="28">
        <v>73.569999999999993</v>
      </c>
      <c r="X185" s="9">
        <v>26374.9</v>
      </c>
      <c r="Y185" s="16"/>
      <c r="Z185" s="10">
        <v>44410</v>
      </c>
      <c r="AA185" s="26">
        <f>Таблица2[[#This Row],[Сумма перевода Долл/Евро]]*Таблица2[[#This Row],[Курс ДОЛЛ перевод]]+Таблица2[[#This Row],[Сумма за перевод руб]]</f>
        <v>3920403.9330000002</v>
      </c>
      <c r="AB18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-26374.9</v>
      </c>
      <c r="AC185" s="9"/>
      <c r="AD185" s="41"/>
    </row>
    <row r="186" spans="1:30" ht="30" x14ac:dyDescent="0.25">
      <c r="A186" s="6">
        <v>44441</v>
      </c>
      <c r="B186" s="38" t="s">
        <v>45</v>
      </c>
      <c r="C186" s="38" t="s">
        <v>241</v>
      </c>
      <c r="D186" s="1" t="s">
        <v>217</v>
      </c>
      <c r="E186" s="1"/>
      <c r="F186" s="3"/>
      <c r="G186" s="5"/>
      <c r="H186" s="2"/>
      <c r="I186" s="2"/>
      <c r="J186" s="2"/>
      <c r="K186" s="2"/>
      <c r="L186" s="2"/>
      <c r="M186" s="26">
        <f>Таблица2[[#This Row],[Сумма Долл]]*Таблица2[[#This Row],[Курс ДОЛЛ]]</f>
        <v>0</v>
      </c>
      <c r="N186" s="24">
        <v>15256.56</v>
      </c>
      <c r="O186" s="48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18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186" s="30">
        <v>15256.56</v>
      </c>
      <c r="R186" s="12">
        <f>Таблица2[[#This Row],[Сумма в руб]]-Таблица2[[#This Row],[Оплата от клиента]]</f>
        <v>0</v>
      </c>
      <c r="S186" s="32">
        <v>44441</v>
      </c>
      <c r="T186" s="31" t="s">
        <v>217</v>
      </c>
      <c r="U186" s="24" t="s">
        <v>31</v>
      </c>
      <c r="V186" s="2"/>
      <c r="W186" s="28"/>
      <c r="X186" s="9"/>
      <c r="Y186" s="16"/>
      <c r="Z186" s="10">
        <v>44440</v>
      </c>
      <c r="AA186" s="26">
        <f>Таблица2[[#This Row],[Сумма перевода Долл/Евро]]*Таблица2[[#This Row],[Курс ДОЛЛ перевод]]+Таблица2[[#This Row],[Сумма за перевод руб]]</f>
        <v>0</v>
      </c>
      <c r="AB18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186" s="9"/>
      <c r="AD186" s="41"/>
    </row>
    <row r="187" spans="1:30" ht="30" x14ac:dyDescent="0.25">
      <c r="A187" s="6">
        <v>44441</v>
      </c>
      <c r="B187" s="29" t="s">
        <v>32</v>
      </c>
      <c r="C187" s="29" t="s">
        <v>33</v>
      </c>
      <c r="D187" s="1" t="s">
        <v>34</v>
      </c>
      <c r="E187" s="1"/>
      <c r="F187" s="3"/>
      <c r="G187" s="5">
        <v>26649</v>
      </c>
      <c r="H187" s="2"/>
      <c r="I187" s="2">
        <v>73.77</v>
      </c>
      <c r="J187" s="38">
        <v>0.99</v>
      </c>
      <c r="K187" s="2"/>
      <c r="L187" s="2"/>
      <c r="M187" s="26">
        <f>Таблица2[[#This Row],[Сумма Долл]]*Таблица2[[#This Row],[Курс ДОЛЛ]]</f>
        <v>1965896.73</v>
      </c>
      <c r="N18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1985754.2727272727</v>
      </c>
      <c r="O187" s="48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#VALUE!</v>
      </c>
      <c r="P18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19857.542727272725</v>
      </c>
      <c r="Q187" s="30">
        <f>992877.2+992877.07</f>
        <v>1985754.27</v>
      </c>
      <c r="R187" s="12">
        <f>Таблица2[[#This Row],[Сумма в руб]]-Таблица2[[#This Row],[Оплата от клиента]]</f>
        <v>2.7272726874798536E-3</v>
      </c>
      <c r="S187" s="32">
        <v>44442</v>
      </c>
      <c r="T187" s="32" t="s">
        <v>130</v>
      </c>
      <c r="U187" s="24" t="s">
        <v>31</v>
      </c>
      <c r="V187" s="2"/>
      <c r="W187" s="40" t="s">
        <v>276</v>
      </c>
      <c r="X187" s="41" t="s">
        <v>275</v>
      </c>
      <c r="Y187" s="16"/>
      <c r="Z187" s="39" t="s">
        <v>274</v>
      </c>
      <c r="AA187" s="26" t="e">
        <f>Таблица2[[#This Row],[Сумма перевода Долл/Евро]]*Таблица2[[#This Row],[Курс ДОЛЛ перевод]]+Таблица2[[#This Row],[Сумма за перевод руб]]</f>
        <v>#VALUE!</v>
      </c>
      <c r="AB18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#VALUE!</v>
      </c>
      <c r="AC187" s="41" t="s">
        <v>376</v>
      </c>
      <c r="AD187" s="41"/>
    </row>
    <row r="188" spans="1:30" ht="30" x14ac:dyDescent="0.25">
      <c r="A188" s="6">
        <v>44442</v>
      </c>
      <c r="B188" s="38" t="s">
        <v>70</v>
      </c>
      <c r="C188" s="38" t="s">
        <v>71</v>
      </c>
      <c r="D188" s="1" t="s">
        <v>245</v>
      </c>
      <c r="E188" s="1"/>
      <c r="F188" s="3">
        <v>2425</v>
      </c>
      <c r="G188" s="5">
        <f>Таблица2[[#This Row],[Сумма ЮА]]/Таблица2[[#This Row],[Курс ЮА]]</f>
        <v>378.90625</v>
      </c>
      <c r="H188" s="2">
        <v>6.4</v>
      </c>
      <c r="I188" s="2">
        <v>73.98</v>
      </c>
      <c r="J188" s="2">
        <v>0.94</v>
      </c>
      <c r="K188" s="2"/>
      <c r="L188" s="2"/>
      <c r="M188" s="26">
        <f>Таблица2[[#This Row],[Сумма Долл]]*Таблица2[[#This Row],[Курс ДОЛЛ]]</f>
        <v>28031.484375</v>
      </c>
      <c r="N18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29820.728058510638</v>
      </c>
      <c r="O18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379.47048023554891</v>
      </c>
      <c r="P18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1789.2436835106382</v>
      </c>
      <c r="Q188" s="30">
        <v>29820.73</v>
      </c>
      <c r="R188" s="12">
        <f>Таблица2[[#This Row],[Сумма в руб]]-Таблица2[[#This Row],[Оплата от клиента]]</f>
        <v>-1.941489361342974E-3</v>
      </c>
      <c r="S188" s="32">
        <v>44445</v>
      </c>
      <c r="T188" s="32" t="s">
        <v>107</v>
      </c>
      <c r="U188" s="24" t="s">
        <v>31</v>
      </c>
      <c r="V188" s="2">
        <v>6.42</v>
      </c>
      <c r="W188" s="28">
        <v>73.87</v>
      </c>
      <c r="X188" s="9">
        <v>379</v>
      </c>
      <c r="Y188" s="16">
        <v>2425</v>
      </c>
      <c r="Z188" s="10">
        <v>44446</v>
      </c>
      <c r="AA188" s="26">
        <f>Таблица2[[#This Row],[Сумма перевода Долл/Евро]]*Таблица2[[#This Row],[Курс ДОЛЛ перевод]]+Таблица2[[#This Row],[Сумма за перевод руб]]</f>
        <v>29785.973683510641</v>
      </c>
      <c r="AB18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1.7446235377295807</v>
      </c>
      <c r="AC188" s="9" t="s">
        <v>357</v>
      </c>
      <c r="AD188" s="41"/>
    </row>
    <row r="189" spans="1:30" ht="75" x14ac:dyDescent="0.25">
      <c r="A189" s="6">
        <v>44442</v>
      </c>
      <c r="B189" s="29" t="s">
        <v>246</v>
      </c>
      <c r="C189" s="29" t="s">
        <v>247</v>
      </c>
      <c r="D189" s="1" t="s">
        <v>248</v>
      </c>
      <c r="E189" s="1"/>
      <c r="F189" s="3"/>
      <c r="G189" s="5">
        <v>20035</v>
      </c>
      <c r="H189" s="2"/>
      <c r="I189" s="2">
        <v>73.98</v>
      </c>
      <c r="J189" s="2">
        <v>0.97</v>
      </c>
      <c r="K189" s="2"/>
      <c r="L189" s="2"/>
      <c r="M189" s="26">
        <f>Таблица2[[#This Row],[Сумма Долл]]*Таблица2[[#This Row],[Курс ДОЛЛ]]</f>
        <v>1482189.3</v>
      </c>
      <c r="N18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1528030.2061855672</v>
      </c>
      <c r="O18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20024.173196433399</v>
      </c>
      <c r="P18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45840.906185567146</v>
      </c>
      <c r="Q189" s="30">
        <f>860000+668030.21</f>
        <v>1528030.21</v>
      </c>
      <c r="R189" s="12">
        <f>Таблица2[[#This Row],[Сумма в руб]]-Таблица2[[#This Row],[Оплата от клиента]]</f>
        <v>-3.8144327700138092E-3</v>
      </c>
      <c r="S189" s="32">
        <v>44446</v>
      </c>
      <c r="T189" s="32" t="s">
        <v>130</v>
      </c>
      <c r="U189" s="24" t="s">
        <v>31</v>
      </c>
      <c r="V189" s="2"/>
      <c r="W189" s="28">
        <v>74.02</v>
      </c>
      <c r="X189" s="9">
        <v>20035</v>
      </c>
      <c r="Y189" s="16"/>
      <c r="Z189" s="10">
        <v>44447</v>
      </c>
      <c r="AA189" s="26">
        <f>Таблица2[[#This Row],[Сумма перевода Долл/Евро]]*Таблица2[[#This Row],[Курс ДОЛЛ перевод]]+Таблица2[[#This Row],[Сумма за перевод руб]]</f>
        <v>1528831.6061855671</v>
      </c>
      <c r="AB18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-10.826803566600574</v>
      </c>
      <c r="AC189" s="9" t="s">
        <v>357</v>
      </c>
      <c r="AD189" s="41"/>
    </row>
    <row r="190" spans="1:30" x14ac:dyDescent="0.25">
      <c r="A190" s="6">
        <v>44445</v>
      </c>
      <c r="B190" s="29" t="s">
        <v>38</v>
      </c>
      <c r="C190" s="29" t="s">
        <v>39</v>
      </c>
      <c r="D190" s="1" t="s">
        <v>249</v>
      </c>
      <c r="E190" s="1"/>
      <c r="F190" s="3"/>
      <c r="G190" s="5">
        <v>182</v>
      </c>
      <c r="H190" s="2"/>
      <c r="I190" s="2">
        <v>73.98</v>
      </c>
      <c r="J190" s="2"/>
      <c r="K190" s="2">
        <v>80</v>
      </c>
      <c r="L190" s="2"/>
      <c r="M190" s="26">
        <f>Таблица2[[#This Row],[Сумма Долл]]*Таблица2[[#This Row],[Курс ДОЛЛ]]</f>
        <v>13464.36</v>
      </c>
      <c r="N19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19382.760000000002</v>
      </c>
      <c r="O19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182.04921579232018</v>
      </c>
      <c r="P19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5916.7999999999993</v>
      </c>
      <c r="Q190" s="30">
        <v>19382.759999999998</v>
      </c>
      <c r="R190" s="12">
        <f>Таблица2[[#This Row],[Сумма в руб]]-Таблица2[[#This Row],[Оплата от клиента]]</f>
        <v>0</v>
      </c>
      <c r="S190" s="32">
        <v>44446</v>
      </c>
      <c r="T190" s="32" t="s">
        <v>130</v>
      </c>
      <c r="U190" s="24" t="s">
        <v>31</v>
      </c>
      <c r="V190" s="2"/>
      <c r="W190" s="28">
        <v>73.959999999999994</v>
      </c>
      <c r="X190" s="9">
        <v>182</v>
      </c>
      <c r="Y190" s="16"/>
      <c r="Z190" s="10">
        <v>44448</v>
      </c>
      <c r="AA190" s="26">
        <f>Таблица2[[#This Row],[Сумма перевода Долл/Евро]]*Таблица2[[#This Row],[Курс ДОЛЛ перевод]]+Таблица2[[#This Row],[Сумма за перевод руб]]</f>
        <v>19377.519999999997</v>
      </c>
      <c r="AB19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4.9215792320183027E-2</v>
      </c>
      <c r="AC190" s="9" t="s">
        <v>374</v>
      </c>
      <c r="AD190" s="41"/>
    </row>
    <row r="191" spans="1:30" ht="30" x14ac:dyDescent="0.25">
      <c r="A191" s="6">
        <v>44445</v>
      </c>
      <c r="B191" s="29" t="s">
        <v>250</v>
      </c>
      <c r="C191" s="29" t="s">
        <v>251</v>
      </c>
      <c r="D191" s="1" t="s">
        <v>252</v>
      </c>
      <c r="E191" s="1"/>
      <c r="F191" s="3"/>
      <c r="G191" s="5">
        <v>18111.73</v>
      </c>
      <c r="H191" s="2"/>
      <c r="I191" s="2">
        <v>73.98</v>
      </c>
      <c r="J191" s="2">
        <v>0.97</v>
      </c>
      <c r="K191" s="2"/>
      <c r="L191" s="2"/>
      <c r="M191" s="26">
        <f>Таблица2[[#This Row],[Сумма Долл]]*Таблица2[[#This Row],[Курс ДОЛЛ]]</f>
        <v>1339905.7853999999</v>
      </c>
      <c r="N19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1381346.1705154639</v>
      </c>
      <c r="O19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18138.700222011641</v>
      </c>
      <c r="P19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41440.385115463985</v>
      </c>
      <c r="Q191" s="30">
        <v>1381346.1705154639</v>
      </c>
      <c r="R191" s="12">
        <f>Таблица2[[#This Row],[Сумма в руб]]-Таблица2[[#This Row],[Оплата от клиента]]</f>
        <v>0</v>
      </c>
      <c r="S191" s="32">
        <v>44446</v>
      </c>
      <c r="T191" s="32" t="s">
        <v>130</v>
      </c>
      <c r="U191" s="24" t="s">
        <v>31</v>
      </c>
      <c r="V191" s="2"/>
      <c r="W191" s="28">
        <v>73.87</v>
      </c>
      <c r="X191" s="9">
        <v>18111.73</v>
      </c>
      <c r="Y191" s="16"/>
      <c r="Z191" s="10">
        <v>44446</v>
      </c>
      <c r="AA191" s="26">
        <f>Таблица2[[#This Row],[Сумма перевода Долл/Евро]]*Таблица2[[#This Row],[Курс ДОЛЛ перевод]]+Таблица2[[#This Row],[Сумма за перевод руб]]</f>
        <v>1379353.8802154639</v>
      </c>
      <c r="AB19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26.970222011641454</v>
      </c>
      <c r="AC191" s="9" t="s">
        <v>321</v>
      </c>
      <c r="AD191" s="41"/>
    </row>
    <row r="192" spans="1:30" ht="30" x14ac:dyDescent="0.25">
      <c r="A192" s="6">
        <v>44445</v>
      </c>
      <c r="B192" s="29" t="s">
        <v>250</v>
      </c>
      <c r="C192" s="29" t="s">
        <v>251</v>
      </c>
      <c r="D192" s="1" t="s">
        <v>252</v>
      </c>
      <c r="E192" s="1"/>
      <c r="F192" s="3"/>
      <c r="G192" s="5">
        <v>12225.59</v>
      </c>
      <c r="H192" s="2"/>
      <c r="I192" s="2">
        <v>73.98</v>
      </c>
      <c r="J192" s="2">
        <v>0.97</v>
      </c>
      <c r="K192" s="2"/>
      <c r="L192" s="2"/>
      <c r="M192" s="26">
        <f>Таблица2[[#This Row],[Сумма Долл]]*Таблица2[[#This Row],[Курс ДОЛЛ]]</f>
        <v>904449.14820000005</v>
      </c>
      <c r="N19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932421.8022680413</v>
      </c>
      <c r="O19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12243.79515635576</v>
      </c>
      <c r="P19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27972.654068041244</v>
      </c>
      <c r="Q192" s="30">
        <v>932421.8022680413</v>
      </c>
      <c r="R192" s="12">
        <f>Таблица2[[#This Row],[Сумма в руб]]-Таблица2[[#This Row],[Оплата от клиента]]</f>
        <v>0</v>
      </c>
      <c r="S192" s="32">
        <v>44446</v>
      </c>
      <c r="T192" s="32" t="s">
        <v>130</v>
      </c>
      <c r="U192" s="24" t="s">
        <v>31</v>
      </c>
      <c r="V192" s="2"/>
      <c r="W192" s="28">
        <v>73.87</v>
      </c>
      <c r="X192" s="9">
        <v>12225.59</v>
      </c>
      <c r="Y192" s="16"/>
      <c r="Z192" s="10">
        <v>44446</v>
      </c>
      <c r="AA192" s="26">
        <f>Таблица2[[#This Row],[Сумма перевода Долл/Евро]]*Таблица2[[#This Row],[Курс ДОЛЛ перевод]]+Таблица2[[#This Row],[Сумма за перевод руб]]</f>
        <v>931076.9873680413</v>
      </c>
      <c r="AB19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18.205156355759755</v>
      </c>
      <c r="AC192" s="9" t="s">
        <v>321</v>
      </c>
      <c r="AD192" s="41"/>
    </row>
    <row r="193" spans="1:30" x14ac:dyDescent="0.25">
      <c r="A193" s="6">
        <v>44446</v>
      </c>
      <c r="B193" s="29" t="s">
        <v>35</v>
      </c>
      <c r="C193" s="29" t="s">
        <v>36</v>
      </c>
      <c r="D193" s="1" t="s">
        <v>253</v>
      </c>
      <c r="E193" s="1"/>
      <c r="F193" s="3"/>
      <c r="G193" s="5">
        <v>1821</v>
      </c>
      <c r="H193" s="2"/>
      <c r="I193" s="2">
        <v>73.88</v>
      </c>
      <c r="J193" s="2"/>
      <c r="K193" s="2">
        <v>80</v>
      </c>
      <c r="L193" s="2"/>
      <c r="M193" s="26">
        <f>Таблица2[[#This Row],[Сумма Долл]]*Таблица2[[#This Row],[Курс ДОЛЛ]]</f>
        <v>134535.47999999998</v>
      </c>
      <c r="N19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140445.88</v>
      </c>
      <c r="O19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1821.2465141464731</v>
      </c>
      <c r="P19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5909.6</v>
      </c>
      <c r="Q193" s="30">
        <v>140445.88</v>
      </c>
      <c r="R193" s="12">
        <f>Таблица2[[#This Row],[Сумма в руб]]-Таблица2[[#This Row],[Оплата от клиента]]</f>
        <v>0</v>
      </c>
      <c r="S193" s="32">
        <v>44446</v>
      </c>
      <c r="T193" s="32" t="s">
        <v>130</v>
      </c>
      <c r="U193" s="24" t="s">
        <v>31</v>
      </c>
      <c r="V193" s="2"/>
      <c r="W193" s="28">
        <v>73.87</v>
      </c>
      <c r="X193" s="9">
        <v>1821</v>
      </c>
      <c r="Y193" s="16"/>
      <c r="Z193" s="10">
        <v>44446</v>
      </c>
      <c r="AA193" s="26">
        <f>Таблица2[[#This Row],[Сумма перевода Долл/Евро]]*Таблица2[[#This Row],[Курс ДОЛЛ перевод]]+Таблица2[[#This Row],[Сумма за перевод руб]]</f>
        <v>140426.87000000002</v>
      </c>
      <c r="AB19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0.24651414647314596</v>
      </c>
      <c r="AC193" s="9"/>
      <c r="AD193" s="41"/>
    </row>
    <row r="194" spans="1:30" x14ac:dyDescent="0.25">
      <c r="A194" s="6">
        <v>44446</v>
      </c>
      <c r="B194" s="29" t="s">
        <v>35</v>
      </c>
      <c r="C194" s="29" t="s">
        <v>36</v>
      </c>
      <c r="D194" s="1" t="s">
        <v>254</v>
      </c>
      <c r="E194" s="1"/>
      <c r="F194" s="3"/>
      <c r="G194" s="5">
        <v>1515</v>
      </c>
      <c r="H194" s="2"/>
      <c r="I194" s="2">
        <v>73.88</v>
      </c>
      <c r="J194" s="2"/>
      <c r="K194" s="2">
        <v>80</v>
      </c>
      <c r="L194" s="2"/>
      <c r="M194" s="26">
        <f>Таблица2[[#This Row],[Сумма Долл]]*Таблица2[[#This Row],[Курс ДОЛЛ]]</f>
        <v>111928.2</v>
      </c>
      <c r="N19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117838.59999999999</v>
      </c>
      <c r="O19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1515.2050900230133</v>
      </c>
      <c r="P19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5909.6</v>
      </c>
      <c r="Q194" s="30">
        <v>117838.59999999999</v>
      </c>
      <c r="R194" s="12">
        <f>Таблица2[[#This Row],[Сумма в руб]]-Таблица2[[#This Row],[Оплата от клиента]]</f>
        <v>0</v>
      </c>
      <c r="S194" s="32">
        <v>44446</v>
      </c>
      <c r="T194" s="32" t="s">
        <v>130</v>
      </c>
      <c r="U194" s="24" t="s">
        <v>31</v>
      </c>
      <c r="V194" s="2"/>
      <c r="W194" s="28">
        <v>73.87</v>
      </c>
      <c r="X194" s="9">
        <v>1515</v>
      </c>
      <c r="Y194" s="16"/>
      <c r="Z194" s="10">
        <v>44446</v>
      </c>
      <c r="AA194" s="26">
        <f>Таблица2[[#This Row],[Сумма перевода Долл/Евро]]*Таблица2[[#This Row],[Курс ДОЛЛ перевод]]+Таблица2[[#This Row],[Сумма за перевод руб]]</f>
        <v>117822.65000000001</v>
      </c>
      <c r="AB19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0.20509002301332657</v>
      </c>
      <c r="AC194" s="9" t="s">
        <v>550</v>
      </c>
      <c r="AD194" s="41"/>
    </row>
    <row r="195" spans="1:30" ht="45" x14ac:dyDescent="0.25">
      <c r="A195" s="6">
        <v>44446</v>
      </c>
      <c r="B195" s="29" t="s">
        <v>200</v>
      </c>
      <c r="C195" s="29" t="s">
        <v>255</v>
      </c>
      <c r="D195" s="1" t="s">
        <v>256</v>
      </c>
      <c r="E195" s="1"/>
      <c r="F195" s="3"/>
      <c r="G195" s="5">
        <v>5000</v>
      </c>
      <c r="H195" s="2"/>
      <c r="I195" s="2">
        <v>73.88</v>
      </c>
      <c r="J195" s="2">
        <v>0.99</v>
      </c>
      <c r="K195" s="2"/>
      <c r="L195" s="2"/>
      <c r="M195" s="26">
        <f>Таблица2[[#This Row],[Сумма Долл]]*Таблица2[[#This Row],[Курс ДОЛЛ]]</f>
        <v>369400</v>
      </c>
      <c r="N19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373131.31313131313</v>
      </c>
      <c r="O19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5000.6768647624203</v>
      </c>
      <c r="P19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3731.3131313131307</v>
      </c>
      <c r="Q195" s="30">
        <v>373131.31313131301</v>
      </c>
      <c r="R195" s="12">
        <f>Таблица2[[#This Row],[Сумма в руб]]-Таблица2[[#This Row],[Оплата от клиента]]</f>
        <v>0</v>
      </c>
      <c r="S195" s="32">
        <v>44446</v>
      </c>
      <c r="T195" s="32" t="s">
        <v>130</v>
      </c>
      <c r="U195" s="24" t="s">
        <v>31</v>
      </c>
      <c r="V195" s="2"/>
      <c r="W195" s="28">
        <v>73.87</v>
      </c>
      <c r="X195" s="9">
        <v>5000</v>
      </c>
      <c r="Y195" s="16"/>
      <c r="Z195" s="10">
        <v>44446</v>
      </c>
      <c r="AA195" s="26">
        <f>Таблица2[[#This Row],[Сумма перевода Долл/Евро]]*Таблица2[[#This Row],[Курс ДОЛЛ перевод]]+Таблица2[[#This Row],[Сумма за перевод руб]]</f>
        <v>373081.31313131313</v>
      </c>
      <c r="AB19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0.67686476242033677</v>
      </c>
      <c r="AC195" s="9"/>
      <c r="AD195" s="41"/>
    </row>
    <row r="196" spans="1:30" ht="30" x14ac:dyDescent="0.25">
      <c r="A196" s="6">
        <v>44446</v>
      </c>
      <c r="B196" s="28" t="s">
        <v>147</v>
      </c>
      <c r="C196" s="40" t="s">
        <v>257</v>
      </c>
      <c r="D196" s="1" t="s">
        <v>258</v>
      </c>
      <c r="E196" s="1"/>
      <c r="F196" s="3"/>
      <c r="G196" s="5">
        <v>30937.5</v>
      </c>
      <c r="H196" s="2"/>
      <c r="I196" s="2">
        <v>87.7</v>
      </c>
      <c r="J196" s="2">
        <v>0.97</v>
      </c>
      <c r="K196" s="2"/>
      <c r="L196" s="2"/>
      <c r="M196" s="26">
        <f>Таблица2[[#This Row],[Сумма Долл]]*Таблица2[[#This Row],[Курс ДОЛЛ]]</f>
        <v>2713218.75</v>
      </c>
      <c r="N19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2797132.7319587627</v>
      </c>
      <c r="O19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30983.427543679343</v>
      </c>
      <c r="P19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83913.981958762743</v>
      </c>
      <c r="Q196" s="30">
        <v>2797132.73</v>
      </c>
      <c r="R196" s="12">
        <f>Таблица2[[#This Row],[Сумма в руб]]-Таблица2[[#This Row],[Оплата от клиента]]</f>
        <v>1.9587627612054348E-3</v>
      </c>
      <c r="S196" s="32">
        <v>44447</v>
      </c>
      <c r="T196" s="42" t="s">
        <v>277</v>
      </c>
      <c r="U196" s="24" t="s">
        <v>31</v>
      </c>
      <c r="V196" s="2"/>
      <c r="W196" s="28">
        <v>87.57</v>
      </c>
      <c r="X196" s="9">
        <v>30937.5</v>
      </c>
      <c r="Y196" s="16"/>
      <c r="Z196" s="10">
        <v>44447</v>
      </c>
      <c r="AA196" s="26">
        <f>Таблица2[[#This Row],[Сумма перевода Долл/Евро]]*Таблица2[[#This Row],[Курс ДОЛЛ перевод]]+Таблица2[[#This Row],[Сумма за перевод руб]]</f>
        <v>2793110.8569587627</v>
      </c>
      <c r="AB19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45.927543679343216</v>
      </c>
      <c r="AC196" s="9"/>
      <c r="AD196" s="41"/>
    </row>
    <row r="197" spans="1:30" x14ac:dyDescent="0.25">
      <c r="A197" s="6">
        <v>44453</v>
      </c>
      <c r="B197" s="29" t="s">
        <v>28</v>
      </c>
      <c r="C197" s="29" t="s">
        <v>29</v>
      </c>
      <c r="D197" s="1" t="s">
        <v>263</v>
      </c>
      <c r="E197" s="1"/>
      <c r="F197" s="3"/>
      <c r="G197" s="5">
        <v>4741</v>
      </c>
      <c r="H197" s="2"/>
      <c r="I197" s="2">
        <v>73.63</v>
      </c>
      <c r="J197" s="2"/>
      <c r="K197" s="38">
        <v>80</v>
      </c>
      <c r="L197" s="2"/>
      <c r="M197" s="26">
        <f>Таблица2[[#This Row],[Сумма Долл]]*Таблица2[[#This Row],[Курс ДОЛЛ]]</f>
        <v>349079.82999999996</v>
      </c>
      <c r="N19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354970.23</v>
      </c>
      <c r="O19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4746.1567641060501</v>
      </c>
      <c r="P19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5884</v>
      </c>
      <c r="Q197" s="30">
        <v>354970.23</v>
      </c>
      <c r="R197" s="12">
        <f>Таблица2[[#This Row],[Сумма в руб]]-Таблица2[[#This Row],[Оплата от клиента]]</f>
        <v>0</v>
      </c>
      <c r="S197" s="32">
        <v>44453</v>
      </c>
      <c r="T197" s="32" t="s">
        <v>130</v>
      </c>
      <c r="U197" s="24" t="s">
        <v>31</v>
      </c>
      <c r="V197" s="2"/>
      <c r="W197" s="28">
        <v>73.55</v>
      </c>
      <c r="X197" s="9">
        <v>4741</v>
      </c>
      <c r="Y197" s="16"/>
      <c r="Z197" s="10">
        <v>44453</v>
      </c>
      <c r="AA197" s="26">
        <f>Таблица2[[#This Row],[Сумма перевода Долл/Евро]]*Таблица2[[#This Row],[Курс ДОЛЛ перевод]]+Таблица2[[#This Row],[Сумма за перевод руб]]</f>
        <v>354584.55</v>
      </c>
      <c r="AB19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5.1567641060501046</v>
      </c>
      <c r="AC197" s="9"/>
      <c r="AD197" s="41"/>
    </row>
    <row r="198" spans="1:30" x14ac:dyDescent="0.25">
      <c r="A198" s="6">
        <v>44453</v>
      </c>
      <c r="B198" s="38" t="s">
        <v>264</v>
      </c>
      <c r="C198" s="38" t="s">
        <v>110</v>
      </c>
      <c r="D198" s="1"/>
      <c r="E198" s="1"/>
      <c r="F198" s="3"/>
      <c r="G198" s="5">
        <v>4132.1499999999996</v>
      </c>
      <c r="H198" s="2"/>
      <c r="I198" s="2">
        <v>73.63</v>
      </c>
      <c r="J198" s="38">
        <v>0.94</v>
      </c>
      <c r="K198" s="2"/>
      <c r="L198" s="2"/>
      <c r="M198" s="26">
        <f>Таблица2[[#This Row],[Сумма Долл]]*Таблица2[[#This Row],[Курс ДОЛЛ]]</f>
        <v>304250.20449999993</v>
      </c>
      <c r="N19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323670.43031914887</v>
      </c>
      <c r="O19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4104.8327644360488</v>
      </c>
      <c r="P19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19420.225819148938</v>
      </c>
      <c r="Q198" s="30">
        <v>323670.43</v>
      </c>
      <c r="R198" s="12">
        <f>Таблица2[[#This Row],[Сумма в руб]]-Таблица2[[#This Row],[Оплата от клиента]]</f>
        <v>3.1914887949824333E-4</v>
      </c>
      <c r="S198" s="32">
        <v>44455</v>
      </c>
      <c r="T198" s="32" t="s">
        <v>107</v>
      </c>
      <c r="U198" s="24" t="s">
        <v>31</v>
      </c>
      <c r="V198" s="2">
        <v>6.4499000000000004</v>
      </c>
      <c r="W198" s="28">
        <v>74.12</v>
      </c>
      <c r="X198" s="9">
        <v>4132.1499999999996</v>
      </c>
      <c r="Y198" s="16">
        <v>26445.759999999998</v>
      </c>
      <c r="Z198" s="10">
        <v>44459</v>
      </c>
      <c r="AA198" s="26">
        <f>Таблица2[[#This Row],[Сумма перевода Долл/Евро]]*Таблица2[[#This Row],[Курс ДОЛЛ перевод]]+Таблица2[[#This Row],[Сумма за перевод руб]]</f>
        <v>325695.18381914892</v>
      </c>
      <c r="AB19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4.6513662748375282</v>
      </c>
      <c r="AC198" s="9"/>
      <c r="AD198" s="41"/>
    </row>
    <row r="199" spans="1:30" x14ac:dyDescent="0.25">
      <c r="A199" s="6">
        <v>44453</v>
      </c>
      <c r="B199" s="29" t="s">
        <v>220</v>
      </c>
      <c r="C199" s="29" t="s">
        <v>221</v>
      </c>
      <c r="D199" s="1"/>
      <c r="E199" s="1"/>
      <c r="F199" s="3"/>
      <c r="G199" s="5">
        <v>22726.2</v>
      </c>
      <c r="H199" s="2"/>
      <c r="I199" s="2">
        <v>73.599999999999994</v>
      </c>
      <c r="J199" s="38">
        <v>0.97</v>
      </c>
      <c r="K199" s="2"/>
      <c r="L199" s="2"/>
      <c r="M199" s="26">
        <f>Таблица2[[#This Row],[Сумма Долл]]*Таблица2[[#This Row],[Курс ДОЛЛ]]</f>
        <v>1672648.3199999998</v>
      </c>
      <c r="N19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1724379.711340206</v>
      </c>
      <c r="O19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22655.401869158875</v>
      </c>
      <c r="P19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51731.391340206144</v>
      </c>
      <c r="Q199" s="30">
        <v>1727894.07</v>
      </c>
      <c r="R199" s="12">
        <f>Таблица2[[#This Row],[Сумма в руб]]-Таблица2[[#This Row],[Оплата от клиента]]</f>
        <v>-3514.3586597940885</v>
      </c>
      <c r="S199" s="32">
        <v>44455</v>
      </c>
      <c r="T199" s="32" t="s">
        <v>130</v>
      </c>
      <c r="U199" s="24" t="s">
        <v>31</v>
      </c>
      <c r="V199" s="2"/>
      <c r="W199" s="28">
        <v>73.83</v>
      </c>
      <c r="X199" s="9">
        <v>22726.2</v>
      </c>
      <c r="Y199" s="16"/>
      <c r="Z199" s="10">
        <v>44454</v>
      </c>
      <c r="AA199" s="26">
        <f>Таблица2[[#This Row],[Сумма перевода Долл/Евро]]*Таблица2[[#This Row],[Курс ДОЛЛ перевод]]+Таблица2[[#This Row],[Сумма за перевод руб]]</f>
        <v>1729606.737340206</v>
      </c>
      <c r="AB19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-70.798130841125385</v>
      </c>
      <c r="AC199" s="9"/>
      <c r="AD199" s="41"/>
    </row>
    <row r="200" spans="1:30" x14ac:dyDescent="0.25">
      <c r="A200" s="6">
        <v>44454</v>
      </c>
      <c r="B200" s="29" t="s">
        <v>57</v>
      </c>
      <c r="C200" s="29" t="s">
        <v>58</v>
      </c>
      <c r="D200" s="1" t="s">
        <v>265</v>
      </c>
      <c r="E200" s="1"/>
      <c r="F200" s="3"/>
      <c r="G200" s="5">
        <v>9127.2000000000007</v>
      </c>
      <c r="H200" s="2"/>
      <c r="I200" s="2">
        <v>73.599999999999994</v>
      </c>
      <c r="J200" s="38">
        <v>0.99</v>
      </c>
      <c r="K200" s="2"/>
      <c r="L200" s="2"/>
      <c r="M200" s="26">
        <f>Таблица2[[#This Row],[Сумма Долл]]*Таблица2[[#This Row],[Курс ДОЛЛ]]</f>
        <v>671761.92000000004</v>
      </c>
      <c r="N20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678547.39393939404</v>
      </c>
      <c r="O20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9063.1667566109008</v>
      </c>
      <c r="P20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6785.4739393939963</v>
      </c>
      <c r="Q200" s="30">
        <v>678547.39</v>
      </c>
      <c r="R200" s="12">
        <f>Таблица2[[#This Row],[Сумма в руб]]-Таблица2[[#This Row],[Оплата от клиента]]</f>
        <v>3.9393940242007375E-3</v>
      </c>
      <c r="S200" s="32">
        <v>44455</v>
      </c>
      <c r="T200" s="32" t="s">
        <v>130</v>
      </c>
      <c r="U200" s="24" t="s">
        <v>31</v>
      </c>
      <c r="V200" s="2"/>
      <c r="W200" s="28">
        <v>74.12</v>
      </c>
      <c r="X200" s="9">
        <v>9127.2000000000007</v>
      </c>
      <c r="Y200" s="16"/>
      <c r="Z200" s="10">
        <v>44459</v>
      </c>
      <c r="AA200" s="26">
        <f>Таблица2[[#This Row],[Сумма перевода Долл/Евро]]*Таблица2[[#This Row],[Курс ДОЛЛ перевод]]+Таблица2[[#This Row],[Сумма за перевод руб]]</f>
        <v>683293.53793939413</v>
      </c>
      <c r="AB20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-64.03324338909988</v>
      </c>
      <c r="AC200" s="41" t="s">
        <v>389</v>
      </c>
      <c r="AD200" s="41"/>
    </row>
    <row r="201" spans="1:30" x14ac:dyDescent="0.25">
      <c r="A201" s="6">
        <v>44455</v>
      </c>
      <c r="B201" s="29" t="s">
        <v>266</v>
      </c>
      <c r="C201" s="29" t="s">
        <v>267</v>
      </c>
      <c r="D201" s="1" t="s">
        <v>268</v>
      </c>
      <c r="E201" s="1"/>
      <c r="F201" s="3"/>
      <c r="G201" s="5">
        <v>6317.54</v>
      </c>
      <c r="H201" s="2"/>
      <c r="I201" s="2">
        <v>73.39</v>
      </c>
      <c r="J201" s="38">
        <v>0.94</v>
      </c>
      <c r="K201" s="2"/>
      <c r="L201" s="2"/>
      <c r="M201" s="26">
        <f>Таблица2[[#This Row],[Сумма Долл]]*Таблица2[[#This Row],[Курс ДОЛЛ]]</f>
        <v>463644.26059999998</v>
      </c>
      <c r="N20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493238.57510638301</v>
      </c>
      <c r="O20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6255.3192201834854</v>
      </c>
      <c r="P20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29594.314506383031</v>
      </c>
      <c r="Q201" s="30">
        <v>493238.58</v>
      </c>
      <c r="R201" s="12">
        <f>Таблица2[[#This Row],[Сумма в руб]]-Таблица2[[#This Row],[Оплата от клиента]]</f>
        <v>-4.8936170060187578E-3</v>
      </c>
      <c r="S201" s="32">
        <v>44455</v>
      </c>
      <c r="T201" s="32" t="s">
        <v>130</v>
      </c>
      <c r="U201" s="24" t="s">
        <v>31</v>
      </c>
      <c r="V201" s="2"/>
      <c r="W201" s="28">
        <v>74.12</v>
      </c>
      <c r="X201" s="9">
        <v>6317.54</v>
      </c>
      <c r="Y201" s="16"/>
      <c r="Z201" s="10">
        <v>44459</v>
      </c>
      <c r="AA201" s="26">
        <f>Таблица2[[#This Row],[Сумма перевода Долл/Евро]]*Таблица2[[#This Row],[Курс ДОЛЛ перевод]]+Таблица2[[#This Row],[Сумма за перевод руб]]</f>
        <v>497850.37930638308</v>
      </c>
      <c r="AB20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-62.22077981651455</v>
      </c>
      <c r="AC201" s="9" t="s">
        <v>466</v>
      </c>
      <c r="AD201" s="41"/>
    </row>
    <row r="202" spans="1:30" x14ac:dyDescent="0.25">
      <c r="A202" s="6">
        <v>44456</v>
      </c>
      <c r="B202" s="29" t="s">
        <v>35</v>
      </c>
      <c r="C202" s="29" t="s">
        <v>36</v>
      </c>
      <c r="D202" s="1" t="s">
        <v>269</v>
      </c>
      <c r="E202" s="1"/>
      <c r="F202" s="3"/>
      <c r="G202" s="5">
        <v>2422</v>
      </c>
      <c r="H202" s="2"/>
      <c r="I202" s="2">
        <v>73.569999999999993</v>
      </c>
      <c r="J202" s="2"/>
      <c r="K202" s="38">
        <v>80</v>
      </c>
      <c r="L202" s="2"/>
      <c r="M202" s="26">
        <f>Таблица2[[#This Row],[Сумма Долл]]*Таблица2[[#This Row],[Курс ДОЛЛ]]</f>
        <v>178186.53999999998</v>
      </c>
      <c r="N20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184072.13999999998</v>
      </c>
      <c r="O20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2410.2061409441358</v>
      </c>
      <c r="P20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5914.4000000000005</v>
      </c>
      <c r="Q202" s="30">
        <v>184072.14</v>
      </c>
      <c r="R202" s="12">
        <f>Таблица2[[#This Row],[Сумма в руб]]-Таблица2[[#This Row],[Оплата от клиента]]</f>
        <v>0</v>
      </c>
      <c r="S202" s="32">
        <v>44460</v>
      </c>
      <c r="T202" s="32" t="s">
        <v>130</v>
      </c>
      <c r="U202" s="24" t="s">
        <v>31</v>
      </c>
      <c r="V202" s="2"/>
      <c r="W202" s="28">
        <v>73.930000000000007</v>
      </c>
      <c r="X202" s="9">
        <v>2422</v>
      </c>
      <c r="Y202" s="16"/>
      <c r="Z202" s="10">
        <v>44460</v>
      </c>
      <c r="AA202" s="26">
        <f>Таблица2[[#This Row],[Сумма перевода Долл/Евро]]*Таблица2[[#This Row],[Курс ДОЛЛ перевод]]+Таблица2[[#This Row],[Сумма за перевод руб]]</f>
        <v>184972.86000000002</v>
      </c>
      <c r="AB20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-11.793859055864232</v>
      </c>
      <c r="AC202" s="9" t="s">
        <v>509</v>
      </c>
      <c r="AD202" s="41"/>
    </row>
    <row r="203" spans="1:30" x14ac:dyDescent="0.25">
      <c r="A203" s="6">
        <v>44456</v>
      </c>
      <c r="B203" s="29" t="s">
        <v>142</v>
      </c>
      <c r="C203" s="29" t="s">
        <v>143</v>
      </c>
      <c r="D203" s="1" t="s">
        <v>270</v>
      </c>
      <c r="E203" s="1"/>
      <c r="F203" s="3"/>
      <c r="G203" s="5">
        <v>8000</v>
      </c>
      <c r="H203" s="2"/>
      <c r="I203" s="2">
        <v>73.569999999999993</v>
      </c>
      <c r="J203" s="38">
        <v>0.98</v>
      </c>
      <c r="K203" s="2"/>
      <c r="L203" s="2"/>
      <c r="M203" s="26">
        <f>Таблица2[[#This Row],[Сумма Долл]]*Таблица2[[#This Row],[Курс ДОЛЛ]]</f>
        <v>588560</v>
      </c>
      <c r="N20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600571.42857142864</v>
      </c>
      <c r="O20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7961.0442310293511</v>
      </c>
      <c r="P20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12011.428571428638</v>
      </c>
      <c r="Q203" s="30">
        <v>600571.43000000005</v>
      </c>
      <c r="R203" s="12">
        <f>Таблица2[[#This Row],[Сумма в руб]]-Таблица2[[#This Row],[Оплата от клиента]]</f>
        <v>-1.4285714132711291E-3</v>
      </c>
      <c r="S203" s="32">
        <v>44460</v>
      </c>
      <c r="T203" s="32" t="s">
        <v>130</v>
      </c>
      <c r="U203" s="24" t="s">
        <v>31</v>
      </c>
      <c r="V203" s="2"/>
      <c r="W203" s="28">
        <v>73.930000000000007</v>
      </c>
      <c r="X203" s="9">
        <v>8000</v>
      </c>
      <c r="Y203" s="16"/>
      <c r="Z203" s="10">
        <v>44460</v>
      </c>
      <c r="AA203" s="26">
        <f>Таблица2[[#This Row],[Сумма перевода Долл/Евро]]*Таблица2[[#This Row],[Курс ДОЛЛ перевод]]+Таблица2[[#This Row],[Сумма за перевод руб]]</f>
        <v>603451.42857142864</v>
      </c>
      <c r="AB20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-38.955768970648933</v>
      </c>
      <c r="AC203" s="9" t="s">
        <v>468</v>
      </c>
      <c r="AD203" s="41"/>
    </row>
    <row r="204" spans="1:30" x14ac:dyDescent="0.25">
      <c r="A204" s="6">
        <v>44460</v>
      </c>
      <c r="B204" s="38" t="s">
        <v>211</v>
      </c>
      <c r="C204" s="38" t="s">
        <v>212</v>
      </c>
      <c r="D204" s="1" t="s">
        <v>271</v>
      </c>
      <c r="E204" s="1"/>
      <c r="F204" s="3">
        <v>7715</v>
      </c>
      <c r="G204" s="5">
        <v>1201.74</v>
      </c>
      <c r="H204" s="2"/>
      <c r="I204" s="2">
        <v>74.13</v>
      </c>
      <c r="J204" s="38">
        <v>0.94</v>
      </c>
      <c r="K204" s="2"/>
      <c r="L204" s="2"/>
      <c r="M204" s="26">
        <f>Таблица2[[#This Row],[Сумма Долл]]*Таблица2[[#This Row],[Курс ДОЛЛ]]</f>
        <v>89084.986199999999</v>
      </c>
      <c r="N20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94771.261914893621</v>
      </c>
      <c r="O20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1208.9155407789387</v>
      </c>
      <c r="P20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5686.2757148936216</v>
      </c>
      <c r="Q204" s="30">
        <v>94771.26</v>
      </c>
      <c r="R204" s="12">
        <f>Таблица2[[#This Row],[Сумма в руб]]-Таблица2[[#This Row],[Оплата от клиента]]</f>
        <v>1.9148936262354255E-3</v>
      </c>
      <c r="S204" s="32">
        <v>44460</v>
      </c>
      <c r="T204" s="32" t="s">
        <v>107</v>
      </c>
      <c r="U204" s="24" t="s">
        <v>31</v>
      </c>
      <c r="V204" s="2">
        <v>6.4499000000000004</v>
      </c>
      <c r="W204" s="28">
        <v>73.69</v>
      </c>
      <c r="X204" s="9">
        <v>1201.74</v>
      </c>
      <c r="Y204" s="16">
        <v>7715</v>
      </c>
      <c r="Z204" s="10">
        <v>44461</v>
      </c>
      <c r="AA204" s="26">
        <f>Таблица2[[#This Row],[Сумма перевода Долл/Евро]]*Таблица2[[#This Row],[Курс ДОЛЛ перевод]]+Таблица2[[#This Row],[Сумма за перевод руб]]</f>
        <v>94242.496314893622</v>
      </c>
      <c r="AB20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12.772964925049564</v>
      </c>
      <c r="AC204" s="9"/>
      <c r="AD204" s="41"/>
    </row>
    <row r="205" spans="1:30" x14ac:dyDescent="0.25">
      <c r="A205" s="6">
        <v>44461</v>
      </c>
      <c r="B205" s="38" t="s">
        <v>117</v>
      </c>
      <c r="C205" s="38" t="s">
        <v>184</v>
      </c>
      <c r="D205" s="1" t="s">
        <v>207</v>
      </c>
      <c r="E205" s="1"/>
      <c r="F205" s="3">
        <f>90680/2</f>
        <v>45340</v>
      </c>
      <c r="G205" s="5">
        <f>Таблица2[[#This Row],[Сумма ЮА]]/Таблица2[[#This Row],[Курс ЮА]]</f>
        <v>7062.3052959501556</v>
      </c>
      <c r="H205" s="2">
        <v>6.42</v>
      </c>
      <c r="I205" s="2">
        <v>73.89</v>
      </c>
      <c r="J205" s="2">
        <v>0.94</v>
      </c>
      <c r="K205" s="2"/>
      <c r="L205" s="2"/>
      <c r="M205" s="26">
        <f>Таблица2[[#This Row],[Сумма Долл]]*Таблица2[[#This Row],[Курс ДОЛЛ]]</f>
        <v>521833.73831775703</v>
      </c>
      <c r="N20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555142.27480612451</v>
      </c>
      <c r="O20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7106.5468925201822</v>
      </c>
      <c r="P20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33308.536488367477</v>
      </c>
      <c r="Q205" s="30">
        <v>555142.27</v>
      </c>
      <c r="R205" s="12">
        <f>Таблица2[[#This Row],[Сумма в руб]]-Таблица2[[#This Row],[Оплата от клиента]]</f>
        <v>4.8061244888231158E-3</v>
      </c>
      <c r="S205" s="32">
        <v>44462</v>
      </c>
      <c r="T205" s="32" t="s">
        <v>107</v>
      </c>
      <c r="U205" s="24" t="s">
        <v>31</v>
      </c>
      <c r="V205" s="2">
        <v>6.4</v>
      </c>
      <c r="W205" s="28">
        <v>73.430000000000007</v>
      </c>
      <c r="X205" s="9">
        <v>7106</v>
      </c>
      <c r="Y205" s="16">
        <v>45340</v>
      </c>
      <c r="Z205" s="10">
        <v>44483</v>
      </c>
      <c r="AA205" s="26">
        <f>Таблица2[[#This Row],[Сумма перевода Долл/Евро]]*Таблица2[[#This Row],[Курс ДОЛЛ перевод]]+Таблица2[[#This Row],[Сумма за перевод руб]]</f>
        <v>555102.11648836755</v>
      </c>
      <c r="AB20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22.171892520182155</v>
      </c>
      <c r="AC205" s="9" t="s">
        <v>466</v>
      </c>
      <c r="AD205" s="41"/>
    </row>
    <row r="206" spans="1:30" x14ac:dyDescent="0.25">
      <c r="A206" s="6">
        <v>44462</v>
      </c>
      <c r="B206" s="38" t="s">
        <v>272</v>
      </c>
      <c r="C206" s="38" t="s">
        <v>86</v>
      </c>
      <c r="D206" s="1" t="s">
        <v>273</v>
      </c>
      <c r="E206" s="1"/>
      <c r="F206" s="3">
        <f>Таблица2[[#This Row],[Сумма Долл]]*Таблица2[[#This Row],[Курс ЮА]]</f>
        <v>11352.2292</v>
      </c>
      <c r="G206" s="5">
        <v>1768.26</v>
      </c>
      <c r="H206" s="2">
        <v>6.42</v>
      </c>
      <c r="I206" s="2">
        <v>73.63</v>
      </c>
      <c r="J206" s="2">
        <v>0.94</v>
      </c>
      <c r="K206" s="2"/>
      <c r="L206" s="2"/>
      <c r="M206" s="26">
        <f>Таблица2[[#This Row],[Сумма Долл]]*Таблица2[[#This Row],[Курс ДОЛЛ]]</f>
        <v>130196.98379999999</v>
      </c>
      <c r="N20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138507.42957446809</v>
      </c>
      <c r="O20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1765.3828311864404</v>
      </c>
      <c r="P20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8310.4457744680985</v>
      </c>
      <c r="Q206" s="30">
        <v>138507.43</v>
      </c>
      <c r="R206" s="12">
        <f>Таблица2[[#This Row],[Сумма в руб]]-Таблица2[[#This Row],[Оплата от клиента]]</f>
        <v>-4.2553190723992884E-4</v>
      </c>
      <c r="S206" s="32">
        <v>44466</v>
      </c>
      <c r="T206" s="32" t="s">
        <v>107</v>
      </c>
      <c r="U206" s="24" t="s">
        <v>31</v>
      </c>
      <c r="V206" s="2">
        <v>6.42</v>
      </c>
      <c r="W206" s="28">
        <v>73.75</v>
      </c>
      <c r="X206" s="9">
        <v>1768.26</v>
      </c>
      <c r="Y206" s="16">
        <v>11312</v>
      </c>
      <c r="Z206" s="10">
        <v>44463</v>
      </c>
      <c r="AA206" s="26">
        <f>Таблица2[[#This Row],[Сумма перевода Долл/Евро]]*Таблица2[[#This Row],[Курс ДОЛЛ перевод]]+Таблица2[[#This Row],[Сумма за перевод руб]]</f>
        <v>138719.62077446812</v>
      </c>
      <c r="AB20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3.389061716035485</v>
      </c>
      <c r="AC206" s="9"/>
      <c r="AD206" s="41"/>
    </row>
    <row r="207" spans="1:30" x14ac:dyDescent="0.25">
      <c r="A207" s="6">
        <v>44466</v>
      </c>
      <c r="B207" s="2" t="s">
        <v>278</v>
      </c>
      <c r="C207" s="2" t="s">
        <v>279</v>
      </c>
      <c r="D207" s="1" t="s">
        <v>281</v>
      </c>
      <c r="E207" s="1"/>
      <c r="F207" s="8" t="s">
        <v>280</v>
      </c>
      <c r="G207" s="7">
        <f>1720+70</f>
        <v>1790</v>
      </c>
      <c r="H207" s="2"/>
      <c r="I207" s="2">
        <v>73.599999999999994</v>
      </c>
      <c r="J207" s="2">
        <v>0.98</v>
      </c>
      <c r="K207" s="2"/>
      <c r="L207" s="2"/>
      <c r="M207" s="26">
        <f>Таблица2[[#This Row],[Сумма Долл]]*Таблица2[[#This Row],[Курс ДОЛЛ]]</f>
        <v>131744</v>
      </c>
      <c r="N20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134432.6530612245</v>
      </c>
      <c r="O20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1790.0000000000002</v>
      </c>
      <c r="P20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2688.6530612244969</v>
      </c>
      <c r="Q207" s="30"/>
      <c r="R207" s="12">
        <f>Таблица2[[#This Row],[Сумма в руб]]-Таблица2[[#This Row],[Оплата от клиента]]</f>
        <v>134432.6530612245</v>
      </c>
      <c r="S207" s="32"/>
      <c r="T207" s="32" t="s">
        <v>130</v>
      </c>
      <c r="U207" s="24"/>
      <c r="V207" s="2"/>
      <c r="W207" s="28"/>
      <c r="X207" s="9"/>
      <c r="Y207" s="16"/>
      <c r="Z207" s="2"/>
      <c r="AA207" s="26">
        <f>Таблица2[[#This Row],[Сумма перевода Долл/Евро]]*Таблица2[[#This Row],[Курс ДОЛЛ перевод]]+Таблица2[[#This Row],[Сумма за перевод руб]]</f>
        <v>2688.6530612244969</v>
      </c>
      <c r="AB20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1790.0000000000002</v>
      </c>
      <c r="AC207" s="9"/>
      <c r="AD207" s="41"/>
    </row>
    <row r="208" spans="1:30" x14ac:dyDescent="0.25">
      <c r="A208" s="6">
        <v>44466</v>
      </c>
      <c r="B208" s="29" t="s">
        <v>200</v>
      </c>
      <c r="C208" s="29" t="s">
        <v>255</v>
      </c>
      <c r="D208" s="1"/>
      <c r="E208" s="1"/>
      <c r="F208" s="3"/>
      <c r="G208" s="5">
        <v>1734</v>
      </c>
      <c r="H208" s="2"/>
      <c r="I208" s="2">
        <v>73.599999999999994</v>
      </c>
      <c r="J208" s="2"/>
      <c r="K208" s="38">
        <v>80</v>
      </c>
      <c r="L208" s="2"/>
      <c r="M208" s="26">
        <f>Таблица2[[#This Row],[Сумма Долл]]*Таблица2[[#This Row],[Курс ДОЛЛ]]</f>
        <v>127622.39999999999</v>
      </c>
      <c r="N20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133510.39999999999</v>
      </c>
      <c r="O20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1738.7247956403269</v>
      </c>
      <c r="P20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5872</v>
      </c>
      <c r="Q208" s="30">
        <v>135510.39999999999</v>
      </c>
      <c r="R208" s="12">
        <f>Таблица2[[#This Row],[Сумма в руб]]-Таблица2[[#This Row],[Оплата от клиента]]</f>
        <v>-2000</v>
      </c>
      <c r="S208" s="32">
        <v>44466</v>
      </c>
      <c r="T208" s="32" t="s">
        <v>130</v>
      </c>
      <c r="U208" s="24" t="s">
        <v>31</v>
      </c>
      <c r="V208" s="2"/>
      <c r="W208" s="28">
        <v>73.400000000000006</v>
      </c>
      <c r="X208" s="9">
        <v>1734</v>
      </c>
      <c r="Y208" s="16"/>
      <c r="Z208" s="10">
        <v>44466</v>
      </c>
      <c r="AA208" s="26">
        <f>Таблица2[[#This Row],[Сумма перевода Долл/Евро]]*Таблица2[[#This Row],[Курс ДОЛЛ перевод]]+Таблица2[[#This Row],[Сумма за перевод руб]]</f>
        <v>133147.6</v>
      </c>
      <c r="AB20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4.7247956403268745</v>
      </c>
      <c r="AC208" s="9" t="s">
        <v>493</v>
      </c>
      <c r="AD208" s="41"/>
    </row>
    <row r="209" spans="1:30" ht="30" x14ac:dyDescent="0.25">
      <c r="A209" s="6">
        <v>44466</v>
      </c>
      <c r="B209" s="38" t="s">
        <v>266</v>
      </c>
      <c r="C209" s="38" t="s">
        <v>267</v>
      </c>
      <c r="D209" s="1" t="s">
        <v>510</v>
      </c>
      <c r="E209" s="1"/>
      <c r="F209" s="3">
        <v>16680</v>
      </c>
      <c r="G209" s="5">
        <f>Таблица2[[#This Row],[Сумма ЮА]]/Таблица2[[#This Row],[Курс ЮА]]</f>
        <v>2598.1308411214955</v>
      </c>
      <c r="H209" s="2">
        <v>6.42</v>
      </c>
      <c r="I209" s="2">
        <v>73.599999999999994</v>
      </c>
      <c r="J209" s="2">
        <v>0.94</v>
      </c>
      <c r="K209" s="43"/>
      <c r="L209" s="2"/>
      <c r="M209" s="26">
        <f>Таблица2[[#This Row],[Сумма Долл]]*Таблица2[[#This Row],[Курс ДОЛЛ]]</f>
        <v>191222.42990654206</v>
      </c>
      <c r="N20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203428.11692185327</v>
      </c>
      <c r="O20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2595.309852151765</v>
      </c>
      <c r="P20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12205.68701531121</v>
      </c>
      <c r="Q209" s="30">
        <v>203428.11</v>
      </c>
      <c r="R209" s="12">
        <f>Таблица2[[#This Row],[Сумма в руб]]-Таблица2[[#This Row],[Оплата от клиента]]</f>
        <v>6.921853288076818E-3</v>
      </c>
      <c r="S209" s="32">
        <v>44467</v>
      </c>
      <c r="T209" s="32" t="s">
        <v>107</v>
      </c>
      <c r="U209" s="24" t="s">
        <v>31</v>
      </c>
      <c r="V209" s="2">
        <v>6.42</v>
      </c>
      <c r="W209" s="28">
        <v>73.680000000000007</v>
      </c>
      <c r="X209" s="9">
        <v>2595</v>
      </c>
      <c r="Y209" s="16">
        <v>16680</v>
      </c>
      <c r="Z209" s="10">
        <v>44480</v>
      </c>
      <c r="AA209" s="26">
        <f>Таблица2[[#This Row],[Сумма перевода Долл/Евро]]*Таблица2[[#This Row],[Курс ДОЛЛ перевод]]+Таблица2[[#This Row],[Сумма за перевод руб]]</f>
        <v>203405.28701531122</v>
      </c>
      <c r="AB20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-2.8209889697304789</v>
      </c>
      <c r="AC209" s="9" t="s">
        <v>509</v>
      </c>
      <c r="AD209" s="41"/>
    </row>
    <row r="210" spans="1:30" x14ac:dyDescent="0.25">
      <c r="A210" s="6">
        <v>44467</v>
      </c>
      <c r="B210" s="29" t="s">
        <v>167</v>
      </c>
      <c r="C210" s="29" t="s">
        <v>168</v>
      </c>
      <c r="D210" s="1" t="s">
        <v>282</v>
      </c>
      <c r="E210" s="1"/>
      <c r="F210" s="3"/>
      <c r="G210" s="5">
        <v>1585</v>
      </c>
      <c r="H210" s="2"/>
      <c r="I210" s="2">
        <v>73.41</v>
      </c>
      <c r="J210" s="2">
        <v>0.97</v>
      </c>
      <c r="K210" s="2"/>
      <c r="L210" s="2"/>
      <c r="M210" s="26">
        <f>Таблица2[[#This Row],[Сумма Долл]]*Таблица2[[#This Row],[Курс ДОЛЛ]]</f>
        <v>116354.84999999999</v>
      </c>
      <c r="N21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119953.45360824742</v>
      </c>
      <c r="O21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1579.1917752442994</v>
      </c>
      <c r="P2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3598.6036082474311</v>
      </c>
      <c r="Q210" s="30">
        <v>119953.45</v>
      </c>
      <c r="R210" s="12">
        <f>Таблица2[[#This Row],[Сумма в руб]]-Таблица2[[#This Row],[Оплата от клиента]]</f>
        <v>3.6082474252907559E-3</v>
      </c>
      <c r="S210" s="32">
        <v>44467</v>
      </c>
      <c r="T210" s="32" t="s">
        <v>130</v>
      </c>
      <c r="U210" s="24" t="s">
        <v>31</v>
      </c>
      <c r="V210" s="2"/>
      <c r="W210" s="28">
        <v>73.680000000000007</v>
      </c>
      <c r="X210" s="9">
        <v>1585</v>
      </c>
      <c r="Y210" s="16"/>
      <c r="Z210" s="10">
        <v>44467</v>
      </c>
      <c r="AA210" s="26">
        <f>Таблица2[[#This Row],[Сумма перевода Долл/Евро]]*Таблица2[[#This Row],[Курс ДОЛЛ перевод]]+Таблица2[[#This Row],[Сумма за перевод руб]]</f>
        <v>120381.40360824745</v>
      </c>
      <c r="AB21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-5.8082247557006212</v>
      </c>
      <c r="AC210" s="9" t="s">
        <v>558</v>
      </c>
      <c r="AD210" s="41"/>
    </row>
    <row r="211" spans="1:30" x14ac:dyDescent="0.25">
      <c r="A211" s="6">
        <v>44467</v>
      </c>
      <c r="B211" s="29" t="s">
        <v>59</v>
      </c>
      <c r="C211" s="29" t="s">
        <v>435</v>
      </c>
      <c r="D211" s="1"/>
      <c r="E211" s="1"/>
      <c r="F211" s="3"/>
      <c r="G211" s="5">
        <v>3993.7</v>
      </c>
      <c r="H211" s="2"/>
      <c r="I211" s="2">
        <v>73.41</v>
      </c>
      <c r="J211" s="2"/>
      <c r="K211" s="38">
        <v>80</v>
      </c>
      <c r="L211" s="2"/>
      <c r="M211" s="26">
        <f>Таблица2[[#This Row],[Сумма Долл]]*Таблица2[[#This Row],[Курс ДОЛЛ]]</f>
        <v>293177.51699999999</v>
      </c>
      <c r="N21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299050.31699999998</v>
      </c>
      <c r="O21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3988.8097551020405</v>
      </c>
      <c r="P21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5880</v>
      </c>
      <c r="Q211" s="30">
        <v>299050.32</v>
      </c>
      <c r="R211" s="12">
        <f>Таблица2[[#This Row],[Сумма в руб]]-Таблица2[[#This Row],[Оплата от клиента]]</f>
        <v>-3.0000000260770321E-3</v>
      </c>
      <c r="S211" s="32">
        <v>44468</v>
      </c>
      <c r="T211" s="32" t="s">
        <v>130</v>
      </c>
      <c r="U211" s="24" t="s">
        <v>31</v>
      </c>
      <c r="V211" s="2"/>
      <c r="W211" s="28">
        <v>73.5</v>
      </c>
      <c r="X211" s="9">
        <v>3993.7</v>
      </c>
      <c r="Y211" s="16"/>
      <c r="Z211" s="10">
        <v>44469</v>
      </c>
      <c r="AA211" s="26">
        <f>Таблица2[[#This Row],[Сумма перевода Долл/Евро]]*Таблица2[[#This Row],[Курс ДОЛЛ перевод]]+Таблица2[[#This Row],[Сумма за перевод руб]]</f>
        <v>299416.95</v>
      </c>
      <c r="AB21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-4.8902448979592918</v>
      </c>
      <c r="AC211" s="9" t="s">
        <v>557</v>
      </c>
      <c r="AD211" s="41"/>
    </row>
    <row r="212" spans="1:30" x14ac:dyDescent="0.25">
      <c r="A212" s="6">
        <v>44467</v>
      </c>
      <c r="B212" s="29" t="s">
        <v>278</v>
      </c>
      <c r="C212" s="29" t="s">
        <v>279</v>
      </c>
      <c r="D212" s="1"/>
      <c r="E212" s="1"/>
      <c r="F212" s="3"/>
      <c r="G212" s="5">
        <v>1400</v>
      </c>
      <c r="H212" s="2"/>
      <c r="I212" s="2">
        <v>73.489999999999995</v>
      </c>
      <c r="J212" s="43"/>
      <c r="K212" s="2">
        <v>80</v>
      </c>
      <c r="L212" s="2"/>
      <c r="M212" s="26">
        <f>Таблица2[[#This Row],[Сумма Долл]]*Таблица2[[#This Row],[Курс ДОЛЛ]]</f>
        <v>102886</v>
      </c>
      <c r="N21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108765.2</v>
      </c>
      <c r="O21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1399.8095238095239</v>
      </c>
      <c r="P2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5880</v>
      </c>
      <c r="Q212" s="30">
        <v>108765.2</v>
      </c>
      <c r="R212" s="12">
        <f>Таблица2[[#This Row],[Сумма в руб]]-Таблица2[[#This Row],[Оплата от клиента]]</f>
        <v>0</v>
      </c>
      <c r="S212" s="32">
        <v>44468</v>
      </c>
      <c r="T212" s="32" t="s">
        <v>130</v>
      </c>
      <c r="U212" s="24" t="s">
        <v>31</v>
      </c>
      <c r="V212" s="2"/>
      <c r="W212" s="28">
        <v>73.5</v>
      </c>
      <c r="X212" s="9">
        <v>1400</v>
      </c>
      <c r="Y212" s="16"/>
      <c r="Z212" s="10">
        <v>44468</v>
      </c>
      <c r="AA212" s="26">
        <f>Таблица2[[#This Row],[Сумма перевода Долл/Евро]]*Таблица2[[#This Row],[Курс ДОЛЛ перевод]]+Таблица2[[#This Row],[Сумма за перевод руб]]</f>
        <v>108780</v>
      </c>
      <c r="AB21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-0.19047619047614717</v>
      </c>
      <c r="AC212" s="9"/>
      <c r="AD212" s="41"/>
    </row>
    <row r="213" spans="1:30" x14ac:dyDescent="0.25">
      <c r="A213" s="6">
        <v>44469</v>
      </c>
      <c r="B213" s="29" t="s">
        <v>49</v>
      </c>
      <c r="C213" s="29" t="s">
        <v>50</v>
      </c>
      <c r="D213" s="1" t="s">
        <v>208</v>
      </c>
      <c r="E213" s="1"/>
      <c r="F213" s="3"/>
      <c r="G213" s="5">
        <v>17217.79</v>
      </c>
      <c r="H213" s="2"/>
      <c r="I213" s="2">
        <v>73.78</v>
      </c>
      <c r="J213" s="38">
        <v>0.98</v>
      </c>
      <c r="K213" s="2"/>
      <c r="L213" s="2"/>
      <c r="M213" s="26">
        <f>Таблица2[[#This Row],[Сумма Долл]]*Таблица2[[#This Row],[Курс ДОЛЛ]]</f>
        <v>1270328.5462</v>
      </c>
      <c r="N21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1296253.6185714286</v>
      </c>
      <c r="O21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17311.645491959662</v>
      </c>
      <c r="P21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25925.0723714286</v>
      </c>
      <c r="Q213" s="30">
        <v>1296253.6200000001</v>
      </c>
      <c r="R213" s="12">
        <f>Таблица2[[#This Row],[Сумма в руб]]-Таблица2[[#This Row],[Оплата от клиента]]</f>
        <v>-1.428571529686451E-3</v>
      </c>
      <c r="S213" s="32">
        <v>44469</v>
      </c>
      <c r="T213" s="32" t="s">
        <v>130</v>
      </c>
      <c r="U213" s="24" t="s">
        <v>31</v>
      </c>
      <c r="V213" s="2"/>
      <c r="W213" s="28">
        <v>73.38</v>
      </c>
      <c r="X213" s="9">
        <v>17217.79</v>
      </c>
      <c r="Y213" s="16"/>
      <c r="Z213" s="10">
        <v>44469</v>
      </c>
      <c r="AA213" s="26">
        <f>Таблица2[[#This Row],[Сумма перевода Долл/Евро]]*Таблица2[[#This Row],[Курс ДОЛЛ перевод]]+Таблица2[[#This Row],[Сумма за перевод руб]]</f>
        <v>1289366.5025714287</v>
      </c>
      <c r="AB21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93.855491959660867</v>
      </c>
      <c r="AC213" s="9" t="s">
        <v>560</v>
      </c>
      <c r="AD213" s="41"/>
    </row>
    <row r="214" spans="1:30" x14ac:dyDescent="0.25">
      <c r="A214" s="6">
        <v>44469</v>
      </c>
      <c r="B214" s="38" t="s">
        <v>137</v>
      </c>
      <c r="C214" s="38" t="s">
        <v>138</v>
      </c>
      <c r="D214" s="1"/>
      <c r="E214" s="1"/>
      <c r="F214" s="3">
        <v>1462</v>
      </c>
      <c r="G214" s="5"/>
      <c r="H214" s="2">
        <v>11.6</v>
      </c>
      <c r="I214" s="2"/>
      <c r="J214" s="2"/>
      <c r="K214" s="2"/>
      <c r="L214" s="2">
        <v>1500</v>
      </c>
      <c r="M214" s="26">
        <f>Таблица2[[#This Row],[Сумма Долл]]*Таблица2[[#This Row],[Курс ДОЛЛ]]</f>
        <v>0</v>
      </c>
      <c r="N214" s="24">
        <f>Таблица2[[#This Row],[Сумма ЮА]]*Таблица2[[#This Row],[Курс ЮА]]+Таблица2[[#This Row],[Руб за перевод]]</f>
        <v>18459.2</v>
      </c>
      <c r="O21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21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1500</v>
      </c>
      <c r="Q214" s="30">
        <v>18459.2</v>
      </c>
      <c r="R214" s="12">
        <f>Таблица2[[#This Row],[Сумма в руб]]-Таблица2[[#This Row],[Оплата от клиента]]</f>
        <v>0</v>
      </c>
      <c r="S214" s="32">
        <v>44469</v>
      </c>
      <c r="T214" s="32" t="s">
        <v>107</v>
      </c>
      <c r="U214" s="24" t="s">
        <v>31</v>
      </c>
      <c r="V214" s="2"/>
      <c r="W214" s="28">
        <v>73.61</v>
      </c>
      <c r="X214" s="9">
        <v>230</v>
      </c>
      <c r="Y214" s="16">
        <v>1462.5</v>
      </c>
      <c r="Z214" s="10">
        <v>44483</v>
      </c>
      <c r="AA214" s="26">
        <f>Таблица2[[#This Row],[Сумма перевода Долл/Евро]]*Таблица2[[#This Row],[Курс ДОЛЛ перевод]]+Таблица2[[#This Row],[Сумма за перевод руб]]</f>
        <v>18430.3</v>
      </c>
      <c r="AB21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214" s="9" t="s">
        <v>509</v>
      </c>
      <c r="AD214" s="41"/>
    </row>
    <row r="215" spans="1:30" ht="45" x14ac:dyDescent="0.25">
      <c r="A215" s="6">
        <v>44474</v>
      </c>
      <c r="B215" s="29" t="s">
        <v>35</v>
      </c>
      <c r="C215" s="29" t="s">
        <v>36</v>
      </c>
      <c r="D215" s="1" t="s">
        <v>598</v>
      </c>
      <c r="E215" s="44" t="s">
        <v>287</v>
      </c>
      <c r="F215" s="3"/>
      <c r="G215" s="5">
        <v>6014</v>
      </c>
      <c r="H215" s="2"/>
      <c r="I215" s="2">
        <v>73.37</v>
      </c>
      <c r="J215" s="38">
        <v>0.97</v>
      </c>
      <c r="K215" s="2"/>
      <c r="L215" s="2"/>
      <c r="M215" s="26">
        <f>Таблица2[[#This Row],[Сумма Долл]]*Таблица2[[#This Row],[Курс ДОЛЛ]]</f>
        <v>441247.18000000005</v>
      </c>
      <c r="N21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454894.00000000006</v>
      </c>
      <c r="O21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6021.3861899563326</v>
      </c>
      <c r="P21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13646.820000000007</v>
      </c>
      <c r="Q215" s="30">
        <v>454894</v>
      </c>
      <c r="R215" s="12">
        <f>Таблица2[[#This Row],[Сумма в руб]]-Таблица2[[#This Row],[Оплата от клиента]]</f>
        <v>0</v>
      </c>
      <c r="S215" s="32">
        <v>44474</v>
      </c>
      <c r="T215" s="32" t="s">
        <v>130</v>
      </c>
      <c r="U215" s="24" t="s">
        <v>31</v>
      </c>
      <c r="V215" s="2"/>
      <c r="W215" s="28">
        <v>73.28</v>
      </c>
      <c r="X215" s="9">
        <v>6014</v>
      </c>
      <c r="Y215" s="16"/>
      <c r="Z215" s="10">
        <v>44474</v>
      </c>
      <c r="AA215" s="26">
        <f>Таблица2[[#This Row],[Сумма перевода Долл/Евро]]*Таблица2[[#This Row],[Курс ДОЛЛ перевод]]+Таблица2[[#This Row],[Сумма за перевод руб]]</f>
        <v>454352.74</v>
      </c>
      <c r="AB21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7.3861899563326006</v>
      </c>
      <c r="AC215" s="9" t="s">
        <v>597</v>
      </c>
      <c r="AD215" s="41"/>
    </row>
    <row r="216" spans="1:30" x14ac:dyDescent="0.25">
      <c r="A216" s="6">
        <v>44474</v>
      </c>
      <c r="B216" s="38" t="s">
        <v>72</v>
      </c>
      <c r="C216" s="38" t="s">
        <v>73</v>
      </c>
      <c r="D216" s="1"/>
      <c r="E216" s="1"/>
      <c r="F216" s="3">
        <v>35000</v>
      </c>
      <c r="G216" s="5">
        <f>Таблица2[[#This Row],[Сумма ЮА]]/Таблица2[[#This Row],[Курс ЮА]]</f>
        <v>5468.75</v>
      </c>
      <c r="H216" s="2">
        <v>6.4</v>
      </c>
      <c r="I216" s="2">
        <v>73.37</v>
      </c>
      <c r="J216" s="38">
        <v>0.94</v>
      </c>
      <c r="K216" s="2"/>
      <c r="L216" s="2"/>
      <c r="M216" s="26">
        <f>Таблица2[[#This Row],[Сумма Долл]]*Таблица2[[#This Row],[Курс ДОЛЛ]]</f>
        <v>401242.1875</v>
      </c>
      <c r="N21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426853.39095744683</v>
      </c>
      <c r="O21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5475.4665324781663</v>
      </c>
      <c r="P21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25611.203457446827</v>
      </c>
      <c r="Q216" s="30">
        <v>426853.39</v>
      </c>
      <c r="R216" s="12">
        <f>Таблица2[[#This Row],[Сумма в руб]]-Таблица2[[#This Row],[Оплата от клиента]]</f>
        <v>9.5744681311771274E-4</v>
      </c>
      <c r="S216" s="32">
        <v>44474</v>
      </c>
      <c r="T216" s="32" t="s">
        <v>107</v>
      </c>
      <c r="U216" s="24" t="s">
        <v>31</v>
      </c>
      <c r="V216" s="2"/>
      <c r="W216" s="28">
        <v>73.28</v>
      </c>
      <c r="X216" s="9">
        <v>5475</v>
      </c>
      <c r="Y216" s="16">
        <v>35000</v>
      </c>
      <c r="Z216" s="10">
        <v>44483</v>
      </c>
      <c r="AA216" s="26">
        <f>Таблица2[[#This Row],[Сумма перевода Долл/Евро]]*Таблица2[[#This Row],[Курс ДОЛЛ перевод]]+Таблица2[[#This Row],[Сумма за перевод руб]]</f>
        <v>426819.20345744683</v>
      </c>
      <c r="AB21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216" s="9"/>
      <c r="AD216" s="41"/>
    </row>
    <row r="217" spans="1:30" ht="45" x14ac:dyDescent="0.25">
      <c r="A217" s="6">
        <v>44474</v>
      </c>
      <c r="B217" s="29" t="s">
        <v>209</v>
      </c>
      <c r="C217" s="29" t="s">
        <v>210</v>
      </c>
      <c r="D217" s="1"/>
      <c r="E217" s="44" t="s">
        <v>290</v>
      </c>
      <c r="F217" s="3"/>
      <c r="G217" s="5">
        <v>16000</v>
      </c>
      <c r="H217" s="2"/>
      <c r="I217" s="2">
        <v>72.69</v>
      </c>
      <c r="J217" s="38">
        <v>0.98499999999999999</v>
      </c>
      <c r="K217" s="2"/>
      <c r="L217" s="2"/>
      <c r="M217" s="26">
        <f>Таблица2[[#This Row],[Сумма Долл]]*Таблица2[[#This Row],[Курс ДОЛЛ]]</f>
        <v>1163040</v>
      </c>
      <c r="N21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1180751.2690355331</v>
      </c>
      <c r="O21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16068.527217463388</v>
      </c>
      <c r="P21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17711.269035533071</v>
      </c>
      <c r="Q217" s="30">
        <v>1180751.27</v>
      </c>
      <c r="R217" s="12">
        <f>Таблица2[[#This Row],[Сумма в руб]]-Таблица2[[#This Row],[Оплата от клиента]]</f>
        <v>-9.6446694806218147E-4</v>
      </c>
      <c r="S217" s="32">
        <v>44480</v>
      </c>
      <c r="T217" s="32" t="s">
        <v>130</v>
      </c>
      <c r="U217" s="24" t="s">
        <v>31</v>
      </c>
      <c r="V217" s="2"/>
      <c r="W217" s="28">
        <v>72.38</v>
      </c>
      <c r="X217" s="9">
        <v>16000</v>
      </c>
      <c r="Y217" s="16"/>
      <c r="Z217" s="10">
        <v>44480</v>
      </c>
      <c r="AA217" s="26">
        <f>Таблица2[[#This Row],[Сумма перевода Долл/Евро]]*Таблица2[[#This Row],[Курс ДОЛЛ перевод]]+Таблица2[[#This Row],[Сумма за перевод руб]]</f>
        <v>1175791.2690355331</v>
      </c>
      <c r="AB21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68.527217463388297</v>
      </c>
      <c r="AC217" s="9"/>
      <c r="AD217" s="41"/>
    </row>
    <row r="218" spans="1:30" x14ac:dyDescent="0.25">
      <c r="A218" s="6">
        <v>44474</v>
      </c>
      <c r="B218" s="29" t="s">
        <v>283</v>
      </c>
      <c r="C218" s="29" t="s">
        <v>284</v>
      </c>
      <c r="D218" s="1"/>
      <c r="E218" s="1"/>
      <c r="F218" s="3"/>
      <c r="G218" s="5">
        <v>19636</v>
      </c>
      <c r="H218" s="2"/>
      <c r="I218" s="2">
        <v>73.48</v>
      </c>
      <c r="J218" s="38">
        <v>0.99199999999999999</v>
      </c>
      <c r="K218" s="2"/>
      <c r="L218" s="2"/>
      <c r="M218" s="26">
        <f>Таблица2[[#This Row],[Сумма Долл]]*Таблица2[[#This Row],[Курс ДОЛЛ]]</f>
        <v>1442853.28</v>
      </c>
      <c r="N21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1454489.1935483871</v>
      </c>
      <c r="O21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19756.994112008764</v>
      </c>
      <c r="P21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11635.913548387121</v>
      </c>
      <c r="Q218" s="30">
        <v>1454489.19</v>
      </c>
      <c r="R218" s="12">
        <f>Таблица2[[#This Row],[Сумма в руб]]-Таблица2[[#This Row],[Оплата от клиента]]</f>
        <v>3.5483872052282095E-3</v>
      </c>
      <c r="S218" s="32">
        <v>44446</v>
      </c>
      <c r="T218" s="32" t="s">
        <v>130</v>
      </c>
      <c r="U218" s="24" t="s">
        <v>31</v>
      </c>
      <c r="V218" s="2"/>
      <c r="W218" s="28">
        <v>73.03</v>
      </c>
      <c r="X218" s="9">
        <v>19685</v>
      </c>
      <c r="Y218" s="16"/>
      <c r="Z218" s="10">
        <v>44476</v>
      </c>
      <c r="AA218" s="26">
        <f>Таблица2[[#This Row],[Сумма перевода Долл/Евро]]*Таблица2[[#This Row],[Курс ДОЛЛ перевод]]+Таблица2[[#This Row],[Сумма за перевод руб]]</f>
        <v>1449231.4635483872</v>
      </c>
      <c r="AB21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71.994112008764205</v>
      </c>
      <c r="AC218" s="9"/>
      <c r="AD218" s="41" t="s">
        <v>564</v>
      </c>
    </row>
    <row r="219" spans="1:30" ht="45" x14ac:dyDescent="0.25">
      <c r="A219" s="6">
        <v>44477</v>
      </c>
      <c r="B219" s="29" t="s">
        <v>289</v>
      </c>
      <c r="C219" s="29" t="s">
        <v>103</v>
      </c>
      <c r="D219" s="1" t="s">
        <v>285</v>
      </c>
      <c r="E219" s="45" t="s">
        <v>288</v>
      </c>
      <c r="F219" s="3"/>
      <c r="G219" s="5">
        <v>2280</v>
      </c>
      <c r="H219" s="2"/>
      <c r="I219" s="2">
        <v>72.66</v>
      </c>
      <c r="J219" s="2"/>
      <c r="K219" s="2">
        <v>80</v>
      </c>
      <c r="L219" s="2"/>
      <c r="M219" s="26">
        <f>Таблица2[[#This Row],[Сумма Долл]]*Таблица2[[#This Row],[Курс ДОЛЛ]]</f>
        <v>165664.79999999999</v>
      </c>
      <c r="N21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171477.6</v>
      </c>
      <c r="O21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2285.3469444061252</v>
      </c>
      <c r="P2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5799.2</v>
      </c>
      <c r="Q219" s="30">
        <v>171477.6</v>
      </c>
      <c r="R219" s="12">
        <f>Таблица2[[#This Row],[Сумма в руб]]-Таблица2[[#This Row],[Оплата от клиента]]</f>
        <v>0</v>
      </c>
      <c r="S219" s="32">
        <v>44480</v>
      </c>
      <c r="T219" s="32" t="s">
        <v>130</v>
      </c>
      <c r="U219" s="24" t="s">
        <v>31</v>
      </c>
      <c r="V219" s="2"/>
      <c r="W219" s="28">
        <v>72.489999999999995</v>
      </c>
      <c r="X219" s="9">
        <v>2280</v>
      </c>
      <c r="Y219" s="16"/>
      <c r="Z219" s="10">
        <v>44480</v>
      </c>
      <c r="AA219" s="26">
        <f>Таблица2[[#This Row],[Сумма перевода Долл/Евро]]*Таблица2[[#This Row],[Курс ДОЛЛ перевод]]+Таблица2[[#This Row],[Сумма за перевод руб]]</f>
        <v>171076.4</v>
      </c>
      <c r="AB21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5.3469444061252034</v>
      </c>
      <c r="AC219" s="2" t="s">
        <v>344</v>
      </c>
      <c r="AD219" s="41"/>
    </row>
    <row r="220" spans="1:30" ht="45" x14ac:dyDescent="0.25">
      <c r="A220" s="6">
        <v>44477</v>
      </c>
      <c r="B220" s="29" t="s">
        <v>242</v>
      </c>
      <c r="C220" s="29" t="s">
        <v>243</v>
      </c>
      <c r="D220" s="1" t="s">
        <v>286</v>
      </c>
      <c r="E220" s="1"/>
      <c r="F220" s="3"/>
      <c r="G220" s="5"/>
      <c r="H220" s="2"/>
      <c r="I220" s="2">
        <v>73.099999999999994</v>
      </c>
      <c r="J220" s="38">
        <v>0.97</v>
      </c>
      <c r="K220" s="43"/>
      <c r="L220" s="2"/>
      <c r="M220" s="26">
        <f>Таблица2[[#This Row],[Сумма в руб]]*Таблица2[[#This Row],[% за перевод]]</f>
        <v>3007000</v>
      </c>
      <c r="N220" s="24">
        <v>3100000</v>
      </c>
      <c r="O22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41304.945054945056</v>
      </c>
      <c r="P2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93000</v>
      </c>
      <c r="Q220" s="30">
        <v>3100000</v>
      </c>
      <c r="R220" s="37">
        <f>Таблица2[[#This Row],[Сумма в руб]]-Таблица2[[#This Row],[Оплата от клиента]]</f>
        <v>0</v>
      </c>
      <c r="S220" s="32">
        <v>44477</v>
      </c>
      <c r="T220" s="32" t="s">
        <v>130</v>
      </c>
      <c r="U220" s="24" t="s">
        <v>31</v>
      </c>
      <c r="V220" s="2"/>
      <c r="W220" s="28">
        <v>72.8</v>
      </c>
      <c r="X220" s="9">
        <v>41304.5</v>
      </c>
      <c r="Y220" s="16"/>
      <c r="Z220" s="10">
        <v>44477</v>
      </c>
      <c r="AA220" s="26">
        <f>Таблица2[[#This Row],[Сумма перевода Долл/Евро]]*Таблица2[[#This Row],[Курс ДОЛЛ перевод]]+Таблица2[[#This Row],[Сумма за перевод руб]]</f>
        <v>3099967.6</v>
      </c>
      <c r="AB22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0.44505494505574461</v>
      </c>
      <c r="AC220" s="9"/>
      <c r="AD220" s="41"/>
    </row>
    <row r="221" spans="1:30" ht="45" x14ac:dyDescent="0.25">
      <c r="A221" s="6">
        <v>44481</v>
      </c>
      <c r="B221" s="29" t="s">
        <v>289</v>
      </c>
      <c r="C221" s="29" t="s">
        <v>103</v>
      </c>
      <c r="D221" s="1" t="s">
        <v>291</v>
      </c>
      <c r="E221" s="44" t="s">
        <v>292</v>
      </c>
      <c r="F221" s="3"/>
      <c r="G221" s="5">
        <v>1300</v>
      </c>
      <c r="H221" s="2"/>
      <c r="I221" s="2">
        <v>72.790000000000006</v>
      </c>
      <c r="J221" s="2"/>
      <c r="K221" s="38">
        <v>80</v>
      </c>
      <c r="L221" s="2"/>
      <c r="M221" s="26">
        <f>Таблица2[[#This Row],[Сумма Долл]]*Таблица2[[#This Row],[Курс ДОЛЛ]]</f>
        <v>94627.000000000015</v>
      </c>
      <c r="N22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100450.20000000001</v>
      </c>
      <c r="O22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1306.8222621184923</v>
      </c>
      <c r="P2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5792.7999999999993</v>
      </c>
      <c r="Q221" s="30">
        <v>100450.2</v>
      </c>
      <c r="R221" s="12">
        <f>Таблица2[[#This Row],[Сумма в руб]]-Таблица2[[#This Row],[Оплата от клиента]]</f>
        <v>0</v>
      </c>
      <c r="S221" s="32">
        <v>44482</v>
      </c>
      <c r="T221" s="32" t="s">
        <v>130</v>
      </c>
      <c r="U221" s="24" t="s">
        <v>31</v>
      </c>
      <c r="V221" s="2"/>
      <c r="W221" s="28">
        <v>72.41</v>
      </c>
      <c r="X221" s="9">
        <v>1300</v>
      </c>
      <c r="Y221" s="16"/>
      <c r="Z221" s="10">
        <v>44483</v>
      </c>
      <c r="AA221" s="26">
        <f>Таблица2[[#This Row],[Сумма перевода Долл/Евро]]*Таблица2[[#This Row],[Курс ДОЛЛ перевод]]+Таблица2[[#This Row],[Сумма за перевод руб]]</f>
        <v>99925.8</v>
      </c>
      <c r="AB22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6.82226211849229</v>
      </c>
      <c r="AC221" s="2" t="s">
        <v>344</v>
      </c>
      <c r="AD221" s="41"/>
    </row>
    <row r="222" spans="1:30" ht="30" x14ac:dyDescent="0.25">
      <c r="A222" s="6">
        <v>44482</v>
      </c>
      <c r="B222" s="29" t="s">
        <v>49</v>
      </c>
      <c r="C222" s="29" t="s">
        <v>50</v>
      </c>
      <c r="D222" s="1" t="s">
        <v>295</v>
      </c>
      <c r="E222" s="1"/>
      <c r="F222" s="3"/>
      <c r="G222" s="5">
        <v>34436</v>
      </c>
      <c r="H222" s="2"/>
      <c r="I222" s="2">
        <v>72.73</v>
      </c>
      <c r="J222" s="38">
        <v>0.98</v>
      </c>
      <c r="K222" s="2"/>
      <c r="L222" s="2"/>
      <c r="M222" s="26">
        <f>Таблица2[[#This Row],[Сумма Долл]]*Таблица2[[#This Row],[Курс ДОЛЛ]]</f>
        <v>2504530.2800000003</v>
      </c>
      <c r="N22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2555643.1428571432</v>
      </c>
      <c r="O22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34588.18229526309</v>
      </c>
      <c r="P2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51112.862857142929</v>
      </c>
      <c r="Q222" s="30">
        <v>2555643.14</v>
      </c>
      <c r="R222" s="12">
        <f>Таблица2[[#This Row],[Сумма в руб]]-Таблица2[[#This Row],[Оплата от клиента]]</f>
        <v>2.8571430593729019E-3</v>
      </c>
      <c r="S222" s="32">
        <v>44483</v>
      </c>
      <c r="T222" s="32" t="s">
        <v>130</v>
      </c>
      <c r="U222" s="24" t="s">
        <v>31</v>
      </c>
      <c r="V222" s="2"/>
      <c r="W222" s="28">
        <v>72.41</v>
      </c>
      <c r="X222" s="9">
        <v>34436</v>
      </c>
      <c r="Y222" s="16"/>
      <c r="Z222" s="10">
        <v>44483</v>
      </c>
      <c r="AA222" s="26">
        <f>Таблица2[[#This Row],[Сумма перевода Долл/Евро]]*Таблица2[[#This Row],[Курс ДОЛЛ перевод]]+Таблица2[[#This Row],[Сумма за перевод руб]]</f>
        <v>2544623.6228571427</v>
      </c>
      <c r="AB22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152.18229526309005</v>
      </c>
      <c r="AC222" s="9" t="s">
        <v>647</v>
      </c>
      <c r="AD222" s="41"/>
    </row>
    <row r="223" spans="1:30" ht="30" x14ac:dyDescent="0.25">
      <c r="A223" s="6">
        <v>44482</v>
      </c>
      <c r="B223" s="2" t="s">
        <v>242</v>
      </c>
      <c r="C223" s="2" t="s">
        <v>243</v>
      </c>
      <c r="D223" s="1" t="s">
        <v>294</v>
      </c>
      <c r="E223" s="1"/>
      <c r="F223" s="3"/>
      <c r="G223" s="5">
        <v>14790.79</v>
      </c>
      <c r="H223" s="2"/>
      <c r="I223" s="2">
        <v>72.73</v>
      </c>
      <c r="J223" s="38">
        <v>0.97</v>
      </c>
      <c r="K223" s="2"/>
      <c r="L223" s="2"/>
      <c r="M223" s="26">
        <f>Таблица2[[#This Row],[Сумма Долл]]*Таблица2[[#This Row],[Курс ДОЛЛ]]</f>
        <v>1075734.1567000002</v>
      </c>
      <c r="N22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1109004.2852577323</v>
      </c>
      <c r="O22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14790.79</v>
      </c>
      <c r="P2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33270.128557732096</v>
      </c>
      <c r="Q223" s="30"/>
      <c r="R223" s="12">
        <f>Таблица2[[#This Row],[Сумма в руб]]-Таблица2[[#This Row],[Оплата от клиента]]</f>
        <v>1109004.2852577323</v>
      </c>
      <c r="S223" s="32"/>
      <c r="T223" s="32" t="s">
        <v>130</v>
      </c>
      <c r="U223" s="24"/>
      <c r="V223" s="2"/>
      <c r="W223" s="28"/>
      <c r="X223" s="9"/>
      <c r="Y223" s="16"/>
      <c r="Z223" s="2"/>
      <c r="AA223" s="26">
        <f>Таблица2[[#This Row],[Сумма перевода Долл/Евро]]*Таблица2[[#This Row],[Курс ДОЛЛ перевод]]+Таблица2[[#This Row],[Сумма за перевод руб]]</f>
        <v>33270.128557732096</v>
      </c>
      <c r="AB22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14790.79</v>
      </c>
      <c r="AC223" s="9"/>
      <c r="AD223" s="41" t="s">
        <v>386</v>
      </c>
    </row>
    <row r="224" spans="1:30" ht="30" x14ac:dyDescent="0.25">
      <c r="A224" s="6">
        <v>44482</v>
      </c>
      <c r="B224" s="29" t="s">
        <v>117</v>
      </c>
      <c r="C224" s="29" t="s">
        <v>184</v>
      </c>
      <c r="D224" s="1" t="s">
        <v>296</v>
      </c>
      <c r="E224" s="1"/>
      <c r="F224" s="3"/>
      <c r="G224" s="5">
        <v>12743.5</v>
      </c>
      <c r="H224" s="2"/>
      <c r="I224" s="2">
        <v>72.53</v>
      </c>
      <c r="J224" s="38">
        <v>0.99</v>
      </c>
      <c r="K224" s="2">
        <v>70</v>
      </c>
      <c r="L224" s="2"/>
      <c r="M224" s="26">
        <f>Таблица2[[#This Row],[Сумма Долл]]*Таблица2[[#This Row],[Курс ДОЛЛ]]</f>
        <v>924286.05500000005</v>
      </c>
      <c r="N224" s="24">
        <f>(Таблица2[[#This Row],[Сумма Долл]]*Таблица2[[#This Row],[Курс ДОЛЛ]]/Таблица2[[#This Row],[% за перевод]])+(Таблица2[[#This Row],[Долл за перевод]]*Таблица2[[#This Row],[Курс ДОЛЛ]])</f>
        <v>938699.37777777785</v>
      </c>
      <c r="O22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12764.618906228423</v>
      </c>
      <c r="P224" s="12">
        <f>Таблица2[[#This Row],[Сумма в руб]]-Таблица2[[#This Row],[Сумма без %]]</f>
        <v>14413.322777777794</v>
      </c>
      <c r="Q224" s="30">
        <v>938699.38</v>
      </c>
      <c r="R224" s="12">
        <f>Таблица2[[#This Row],[Сумма в руб]]-Таблица2[[#This Row],[Оплата от клиента]]</f>
        <v>-2.2222221596166492E-3</v>
      </c>
      <c r="S224" s="32">
        <v>44482</v>
      </c>
      <c r="T224" s="32" t="s">
        <v>130</v>
      </c>
      <c r="U224" s="24" t="s">
        <v>31</v>
      </c>
      <c r="V224" s="2"/>
      <c r="W224" s="28">
        <v>72.41</v>
      </c>
      <c r="X224" s="9">
        <v>12743.5</v>
      </c>
      <c r="Y224" s="16"/>
      <c r="Z224" s="10">
        <v>44483</v>
      </c>
      <c r="AA224" s="26">
        <f>Таблица2[[#This Row],[Сумма перевода Долл/Евро]]*Таблица2[[#This Row],[Курс ДОЛЛ перевод]]+Таблица2[[#This Row],[Сумма за перевод руб]]</f>
        <v>937170.15777777776</v>
      </c>
      <c r="AB22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21.118906228422929</v>
      </c>
      <c r="AC224" s="9" t="s">
        <v>468</v>
      </c>
      <c r="AD224" s="41"/>
    </row>
    <row r="225" spans="1:30" ht="45" x14ac:dyDescent="0.25">
      <c r="A225" s="6">
        <v>44482</v>
      </c>
      <c r="B225" s="29" t="s">
        <v>32</v>
      </c>
      <c r="C225" s="29" t="s">
        <v>33</v>
      </c>
      <c r="D225" s="1" t="s">
        <v>297</v>
      </c>
      <c r="E225" s="44" t="s">
        <v>299</v>
      </c>
      <c r="F225" s="3"/>
      <c r="G225" s="5">
        <v>9845</v>
      </c>
      <c r="H225" s="2"/>
      <c r="I225" s="2">
        <v>72.73</v>
      </c>
      <c r="J225" s="2">
        <v>0.99</v>
      </c>
      <c r="K225" s="2"/>
      <c r="L225" s="2"/>
      <c r="M225" s="26">
        <f>Таблица2[[#This Row],[Сумма Долл]]*Таблица2[[#This Row],[Курс ДОЛЛ]]</f>
        <v>716026.85000000009</v>
      </c>
      <c r="N22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723259.4444444445</v>
      </c>
      <c r="O22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9888.5078027896725</v>
      </c>
      <c r="P22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7232.5944444444031</v>
      </c>
      <c r="Q225" s="30">
        <v>723259.44</v>
      </c>
      <c r="R225" s="12">
        <f>Таблица2[[#This Row],[Сумма в руб]]-Таблица2[[#This Row],[Оплата от клиента]]</f>
        <v>4.444444552063942E-3</v>
      </c>
      <c r="S225" s="32">
        <v>44483</v>
      </c>
      <c r="T225" s="32" t="s">
        <v>130</v>
      </c>
      <c r="U225" s="24" t="s">
        <v>31</v>
      </c>
      <c r="V225" s="2"/>
      <c r="W225" s="28">
        <v>72.41</v>
      </c>
      <c r="X225" s="9">
        <v>9845</v>
      </c>
      <c r="Y225" s="16"/>
      <c r="Z225" s="10">
        <v>44483</v>
      </c>
      <c r="AA225" s="26">
        <f>Таблица2[[#This Row],[Сумма перевода Долл/Евро]]*Таблица2[[#This Row],[Курс ДОЛЛ перевод]]+Таблица2[[#This Row],[Сумма за перевод руб]]</f>
        <v>720109.04444444436</v>
      </c>
      <c r="AB22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43.507802789672496</v>
      </c>
      <c r="AC225" s="9" t="s">
        <v>524</v>
      </c>
      <c r="AD225" s="41"/>
    </row>
    <row r="226" spans="1:30" x14ac:dyDescent="0.25">
      <c r="A226" s="6">
        <v>44523</v>
      </c>
      <c r="B226" s="2" t="s">
        <v>178</v>
      </c>
      <c r="C226" s="2" t="s">
        <v>179</v>
      </c>
      <c r="D226" s="1"/>
      <c r="E226" s="1"/>
      <c r="F226" s="3">
        <v>242470</v>
      </c>
      <c r="G226" s="5">
        <f>Таблица2[[#This Row],[Сумма ЮА]]/Таблица2[[#This Row],[Курс ЮА]]</f>
        <v>38184.251968503937</v>
      </c>
      <c r="H226" s="2">
        <v>6.35</v>
      </c>
      <c r="I226" s="2">
        <v>72</v>
      </c>
      <c r="J226" s="2">
        <v>0.97</v>
      </c>
      <c r="K226" s="2"/>
      <c r="L226" s="2"/>
      <c r="M226" s="26">
        <f>Таблица2[[#This Row],[Сумма Долл]]*Таблица2[[#This Row],[Курс ДОЛЛ]]</f>
        <v>2749266.1417322834</v>
      </c>
      <c r="N22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2834294.991476581</v>
      </c>
      <c r="O22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38184.251968503937</v>
      </c>
      <c r="P2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85028.849744297564</v>
      </c>
      <c r="Q226" s="30">
        <v>1600000</v>
      </c>
      <c r="R226" s="12">
        <f>Таблица2[[#This Row],[Сумма в руб]]-Таблица2[[#This Row],[Оплата от клиента]]</f>
        <v>1234294.991476581</v>
      </c>
      <c r="S226" s="32"/>
      <c r="T226" s="32" t="s">
        <v>107</v>
      </c>
      <c r="U226" s="24"/>
      <c r="V226" s="50">
        <v>6.42</v>
      </c>
      <c r="W226" s="28"/>
      <c r="X226" s="9"/>
      <c r="Y226" s="16">
        <v>68609</v>
      </c>
      <c r="Z226" s="2"/>
      <c r="AA226" s="26">
        <f>Таблица2[[#This Row],[Сумма перевода Долл/Евро]]*Таблица2[[#This Row],[Курс ДОЛЛ перевод]]+Таблица2[[#This Row],[Сумма за перевод руб]]</f>
        <v>85028.849744297564</v>
      </c>
      <c r="AB22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27497.491843893346</v>
      </c>
      <c r="AC226" s="9"/>
      <c r="AD226" s="41"/>
    </row>
    <row r="227" spans="1:30" ht="60" x14ac:dyDescent="0.25">
      <c r="A227" s="6">
        <v>44483</v>
      </c>
      <c r="B227" s="29" t="s">
        <v>298</v>
      </c>
      <c r="C227" s="29" t="s">
        <v>56</v>
      </c>
      <c r="D227" s="1" t="s">
        <v>300</v>
      </c>
      <c r="E227" s="44" t="s">
        <v>302</v>
      </c>
      <c r="F227" s="3"/>
      <c r="G227" s="5">
        <v>4360</v>
      </c>
      <c r="H227" s="2"/>
      <c r="I227" s="2">
        <v>72.14</v>
      </c>
      <c r="J227" s="2">
        <v>0.97</v>
      </c>
      <c r="K227" s="2"/>
      <c r="L227" s="2"/>
      <c r="M227" s="26">
        <f>Таблица2[[#This Row],[Сумма Долл]]*Таблица2[[#This Row],[Курс ДОЛЛ]]</f>
        <v>314530.40000000002</v>
      </c>
      <c r="N22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324258.14432989695</v>
      </c>
      <c r="O22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4377.5977731384837</v>
      </c>
      <c r="P2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9727.7443298969301</v>
      </c>
      <c r="Q227" s="30">
        <v>324258.14</v>
      </c>
      <c r="R227" s="12">
        <f>Таблица2[[#This Row],[Сумма в руб]]-Таблица2[[#This Row],[Оплата от клиента]]</f>
        <v>4.3298969394527376E-3</v>
      </c>
      <c r="S227" s="32">
        <v>44488</v>
      </c>
      <c r="T227" s="32" t="s">
        <v>130</v>
      </c>
      <c r="U227" s="24" t="s">
        <v>31</v>
      </c>
      <c r="V227" s="2"/>
      <c r="W227" s="28">
        <v>71.849999999999994</v>
      </c>
      <c r="X227" s="9">
        <v>4360</v>
      </c>
      <c r="Y227" s="16"/>
      <c r="Z227" s="10">
        <v>44488</v>
      </c>
      <c r="AA227" s="26">
        <f>Таблица2[[#This Row],[Сумма перевода Долл/Евро]]*Таблица2[[#This Row],[Курс ДОЛЛ перевод]]+Таблица2[[#This Row],[Сумма за перевод руб]]</f>
        <v>322993.74432989693</v>
      </c>
      <c r="AB22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17.597773138483717</v>
      </c>
      <c r="AC227" s="9" t="s">
        <v>446</v>
      </c>
      <c r="AD227" s="41"/>
    </row>
    <row r="228" spans="1:30" ht="60" x14ac:dyDescent="0.25">
      <c r="A228" s="6">
        <v>44483</v>
      </c>
      <c r="B228" s="29" t="s">
        <v>298</v>
      </c>
      <c r="C228" s="29" t="s">
        <v>56</v>
      </c>
      <c r="D228" s="1" t="s">
        <v>301</v>
      </c>
      <c r="E228" s="44" t="s">
        <v>303</v>
      </c>
      <c r="F228" s="3"/>
      <c r="G228" s="5">
        <v>7545</v>
      </c>
      <c r="H228" s="2"/>
      <c r="I228" s="2">
        <v>72.14</v>
      </c>
      <c r="J228" s="2">
        <v>0.97</v>
      </c>
      <c r="K228" s="2"/>
      <c r="L228" s="2"/>
      <c r="M228" s="26">
        <f>Таблица2[[#This Row],[Сумма Долл]]*Таблица2[[#This Row],[Курс ДОЛЛ]]</f>
        <v>544296.30000000005</v>
      </c>
      <c r="N22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561130.20618556708</v>
      </c>
      <c r="O22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7575.4530271398762</v>
      </c>
      <c r="P2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16833.90618556703</v>
      </c>
      <c r="Q228" s="30">
        <v>561130.21</v>
      </c>
      <c r="R228" s="12">
        <f>Таблица2[[#This Row],[Сумма в руб]]-Таблица2[[#This Row],[Оплата от клиента]]</f>
        <v>-3.814432886429131E-3</v>
      </c>
      <c r="S228" s="32">
        <v>44488</v>
      </c>
      <c r="T228" s="32" t="s">
        <v>130</v>
      </c>
      <c r="U228" s="24" t="s">
        <v>31</v>
      </c>
      <c r="V228" s="2"/>
      <c r="W228" s="28">
        <v>71.849999999999994</v>
      </c>
      <c r="X228" s="9">
        <v>7545</v>
      </c>
      <c r="Y228" s="16"/>
      <c r="Z228" s="10">
        <v>44488</v>
      </c>
      <c r="AA228" s="26">
        <f>Таблица2[[#This Row],[Сумма перевода Долл/Евро]]*Таблица2[[#This Row],[Курс ДОЛЛ перевод]]+Таблица2[[#This Row],[Сумма за перевод руб]]</f>
        <v>558942.15618556703</v>
      </c>
      <c r="AB22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30.453027139876212</v>
      </c>
      <c r="AC228" s="9" t="s">
        <v>446</v>
      </c>
      <c r="AD228" s="41"/>
    </row>
    <row r="229" spans="1:30" ht="45" x14ac:dyDescent="0.25">
      <c r="A229" s="6">
        <v>44483</v>
      </c>
      <c r="B229" s="29" t="s">
        <v>38</v>
      </c>
      <c r="C229" s="29" t="s">
        <v>304</v>
      </c>
      <c r="D229" s="1" t="s">
        <v>305</v>
      </c>
      <c r="E229" s="44" t="s">
        <v>306</v>
      </c>
      <c r="F229" s="3"/>
      <c r="G229" s="5">
        <v>3770</v>
      </c>
      <c r="H229" s="2"/>
      <c r="I229" s="2">
        <v>72.98</v>
      </c>
      <c r="J229" s="38">
        <v>0.96499999999999997</v>
      </c>
      <c r="K229" s="2"/>
      <c r="L229" s="2"/>
      <c r="M229" s="26">
        <f>Таблица2[[#This Row],[Сумма Долл]]*Таблица2[[#This Row],[Курс ДОЛЛ]]</f>
        <v>275134.60000000003</v>
      </c>
      <c r="N22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285113.57512953371</v>
      </c>
      <c r="O22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3824.5009730330839</v>
      </c>
      <c r="P22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9978.9751295336755</v>
      </c>
      <c r="Q229" s="30">
        <v>285113.58</v>
      </c>
      <c r="R229" s="12">
        <f>Таблица2[[#This Row],[Сумма в руб]]-Таблица2[[#This Row],[Оплата от клиента]]</f>
        <v>-4.8704663058742881E-3</v>
      </c>
      <c r="S229" s="32">
        <v>44487</v>
      </c>
      <c r="T229" s="32" t="s">
        <v>130</v>
      </c>
      <c r="U229" s="24" t="s">
        <v>31</v>
      </c>
      <c r="V229" s="2"/>
      <c r="W229" s="28">
        <v>71.94</v>
      </c>
      <c r="X229" s="9">
        <v>3770</v>
      </c>
      <c r="Y229" s="16"/>
      <c r="Z229" s="32">
        <v>44487</v>
      </c>
      <c r="AA229" s="26">
        <f>Таблица2[[#This Row],[Сумма перевода Долл/Евро]]*Таблица2[[#This Row],[Курс ДОЛЛ перевод]]+Таблица2[[#This Row],[Сумма за перевод руб]]</f>
        <v>281192.77512953366</v>
      </c>
      <c r="AB22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54.500973033083937</v>
      </c>
      <c r="AC229" s="41" t="s">
        <v>520</v>
      </c>
      <c r="AD229" s="41"/>
    </row>
    <row r="230" spans="1:30" ht="45" x14ac:dyDescent="0.25">
      <c r="A230" s="6">
        <v>44484</v>
      </c>
      <c r="B230" s="2" t="s">
        <v>307</v>
      </c>
      <c r="C230" s="2" t="s">
        <v>308</v>
      </c>
      <c r="D230" s="1" t="s">
        <v>309</v>
      </c>
      <c r="E230" s="1"/>
      <c r="F230" s="3"/>
      <c r="G230" s="5">
        <v>15070</v>
      </c>
      <c r="H230" s="2"/>
      <c r="I230" s="2">
        <v>72.09</v>
      </c>
      <c r="J230" s="2">
        <v>0.95</v>
      </c>
      <c r="K230" s="2"/>
      <c r="L230" s="2"/>
      <c r="M230" s="26">
        <f>Таблица2[[#This Row],[Сумма Долл]]*Таблица2[[#This Row],[Курс ДОЛЛ]]</f>
        <v>1086396.3</v>
      </c>
      <c r="N23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1143575.0526315791</v>
      </c>
      <c r="O23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15070</v>
      </c>
      <c r="P23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57178.75263157906</v>
      </c>
      <c r="Q230" s="30"/>
      <c r="R230" s="12">
        <f>Таблица2[[#This Row],[Сумма в руб]]-Таблица2[[#This Row],[Оплата от клиента]]</f>
        <v>1143575.0526315791</v>
      </c>
      <c r="S230" s="32"/>
      <c r="T230" s="32" t="s">
        <v>130</v>
      </c>
      <c r="U230" s="24"/>
      <c r="V230" s="2"/>
      <c r="W230" s="28"/>
      <c r="X230" s="9"/>
      <c r="Y230" s="16"/>
      <c r="Z230" s="2"/>
      <c r="AA230" s="26">
        <f>Таблица2[[#This Row],[Сумма перевода Долл/Евро]]*Таблица2[[#This Row],[Курс ДОЛЛ перевод]]+Таблица2[[#This Row],[Сумма за перевод руб]]</f>
        <v>57178.75263157906</v>
      </c>
      <c r="AB23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15070</v>
      </c>
      <c r="AC230" s="9"/>
      <c r="AD230" s="41"/>
    </row>
    <row r="231" spans="1:30" ht="45" x14ac:dyDescent="0.25">
      <c r="A231" s="6">
        <v>44484</v>
      </c>
      <c r="B231" s="29" t="s">
        <v>78</v>
      </c>
      <c r="C231" s="29" t="s">
        <v>79</v>
      </c>
      <c r="D231" s="1" t="s">
        <v>310</v>
      </c>
      <c r="E231" s="45" t="s">
        <v>311</v>
      </c>
      <c r="F231" s="3"/>
      <c r="G231" s="5">
        <v>19680</v>
      </c>
      <c r="H231" s="2"/>
      <c r="I231" s="2">
        <v>72.37</v>
      </c>
      <c r="J231" s="38">
        <v>0.98499999999999999</v>
      </c>
      <c r="K231" s="2"/>
      <c r="L231" s="2"/>
      <c r="M231" s="26">
        <f>Таблица2[[#This Row],[Сумма Долл]]*Таблица2[[#This Row],[Курс ДОЛЛ]]</f>
        <v>1424241.6</v>
      </c>
      <c r="N23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1445930.5583756347</v>
      </c>
      <c r="O23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19797.631359466224</v>
      </c>
      <c r="P23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21688.958375634626</v>
      </c>
      <c r="Q231" s="30">
        <v>1445930.56</v>
      </c>
      <c r="R231" s="12">
        <f>Таблица2[[#This Row],[Сумма в руб]]-Таблица2[[#This Row],[Оплата от клиента]]</f>
        <v>-1.6243653371930122E-3</v>
      </c>
      <c r="S231" s="32">
        <v>44487</v>
      </c>
      <c r="T231" s="32" t="s">
        <v>130</v>
      </c>
      <c r="U231" s="24" t="s">
        <v>31</v>
      </c>
      <c r="V231" s="2"/>
      <c r="W231" s="28">
        <v>71.94</v>
      </c>
      <c r="X231" s="9">
        <v>19680</v>
      </c>
      <c r="Y231" s="16"/>
      <c r="Z231" s="32">
        <v>44487</v>
      </c>
      <c r="AA231" s="26">
        <f>Таблица2[[#This Row],[Сумма перевода Долл/Евро]]*Таблица2[[#This Row],[Курс ДОЛЛ перевод]]+Таблица2[[#This Row],[Сумма за перевод руб]]</f>
        <v>1437468.1583756346</v>
      </c>
      <c r="AB23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117.63135946622424</v>
      </c>
      <c r="AC231" s="9" t="s">
        <v>344</v>
      </c>
      <c r="AD231" s="41"/>
    </row>
    <row r="232" spans="1:30" ht="45" x14ac:dyDescent="0.25">
      <c r="A232" s="6">
        <v>44487</v>
      </c>
      <c r="B232" s="29" t="s">
        <v>220</v>
      </c>
      <c r="C232" s="29" t="s">
        <v>221</v>
      </c>
      <c r="D232" s="1" t="s">
        <v>313</v>
      </c>
      <c r="E232" s="44" t="s">
        <v>312</v>
      </c>
      <c r="F232" s="3"/>
      <c r="G232" s="5">
        <v>8600</v>
      </c>
      <c r="H232" s="2"/>
      <c r="I232" s="2">
        <v>72.14</v>
      </c>
      <c r="J232" s="2">
        <v>0.97</v>
      </c>
      <c r="K232" s="2"/>
      <c r="L232" s="2"/>
      <c r="M232" s="26">
        <f>Таблица2[[#This Row],[Сумма Долл]]*Таблица2[[#This Row],[Курс ДОЛЛ]]</f>
        <v>620404</v>
      </c>
      <c r="N23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639591.75257731962</v>
      </c>
      <c r="O23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8634.7112038970081</v>
      </c>
      <c r="P2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19187.752577319625</v>
      </c>
      <c r="Q232" s="30">
        <v>639591.75</v>
      </c>
      <c r="R232" s="12">
        <f>Таблица2[[#This Row],[Сумма в руб]]-Таблица2[[#This Row],[Оплата от клиента]]</f>
        <v>2.5773196248337626E-3</v>
      </c>
      <c r="S232" s="32">
        <v>44487</v>
      </c>
      <c r="T232" s="32" t="s">
        <v>130</v>
      </c>
      <c r="U232" s="24" t="s">
        <v>31</v>
      </c>
      <c r="V232" s="2"/>
      <c r="W232" s="28">
        <v>71.849999999999994</v>
      </c>
      <c r="X232" s="9">
        <v>8600</v>
      </c>
      <c r="Y232" s="16"/>
      <c r="Z232" s="10">
        <v>44488</v>
      </c>
      <c r="AA232" s="26">
        <f>Таблица2[[#This Row],[Сумма перевода Долл/Евро]]*Таблица2[[#This Row],[Курс ДОЛЛ перевод]]+Таблица2[[#This Row],[Сумма за перевод руб]]</f>
        <v>637097.75257731962</v>
      </c>
      <c r="AB23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34.71120389700809</v>
      </c>
      <c r="AC232" s="9"/>
      <c r="AD232" s="41"/>
    </row>
    <row r="233" spans="1:30" ht="45" x14ac:dyDescent="0.25">
      <c r="A233" s="6">
        <v>44488</v>
      </c>
      <c r="B233" s="29" t="s">
        <v>63</v>
      </c>
      <c r="C233" s="29" t="s">
        <v>64</v>
      </c>
      <c r="D233" s="1" t="s">
        <v>314</v>
      </c>
      <c r="E233" s="44" t="s">
        <v>317</v>
      </c>
      <c r="F233" s="3"/>
      <c r="G233" s="5">
        <v>28498.400000000001</v>
      </c>
      <c r="H233" s="2"/>
      <c r="I233" s="2">
        <v>72.05</v>
      </c>
      <c r="J233" s="2">
        <v>0.98</v>
      </c>
      <c r="K233" s="2"/>
      <c r="L233" s="2"/>
      <c r="M233" s="26">
        <f>Таблица2[[#This Row],[Сумма Долл]]*Таблица2[[#This Row],[Курс ДОЛЛ]]</f>
        <v>2053309.72</v>
      </c>
      <c r="N23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2095214</v>
      </c>
      <c r="O23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28577.727487821852</v>
      </c>
      <c r="P2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41904.280000000028</v>
      </c>
      <c r="Q233" s="30">
        <v>2095214</v>
      </c>
      <c r="R233" s="12">
        <f>Таблица2[[#This Row],[Сумма в руб]]-Таблица2[[#This Row],[Оплата от клиента]]</f>
        <v>0</v>
      </c>
      <c r="S233" s="32">
        <v>44488</v>
      </c>
      <c r="T233" s="32" t="s">
        <v>130</v>
      </c>
      <c r="U233" s="24" t="s">
        <v>31</v>
      </c>
      <c r="V233" s="2"/>
      <c r="W233" s="28">
        <v>71.849999999999994</v>
      </c>
      <c r="X233" s="9">
        <v>28498.400000000001</v>
      </c>
      <c r="Y233" s="16"/>
      <c r="Z233" s="10">
        <v>44488</v>
      </c>
      <c r="AA233" s="26">
        <f>Таблица2[[#This Row],[Сумма перевода Долл/Евро]]*Таблица2[[#This Row],[Курс ДОЛЛ перевод]]+Таблица2[[#This Row],[Сумма за перевод руб]]</f>
        <v>2089514.32</v>
      </c>
      <c r="AB23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79.327487821850809</v>
      </c>
      <c r="AC233" s="9" t="s">
        <v>624</v>
      </c>
      <c r="AD233" s="41"/>
    </row>
    <row r="234" spans="1:30" ht="60" x14ac:dyDescent="0.25">
      <c r="A234" s="6">
        <v>44488</v>
      </c>
      <c r="B234" s="29" t="s">
        <v>173</v>
      </c>
      <c r="C234" s="29" t="s">
        <v>315</v>
      </c>
      <c r="D234" s="1" t="s">
        <v>141</v>
      </c>
      <c r="E234" s="44" t="s">
        <v>316</v>
      </c>
      <c r="F234" s="3"/>
      <c r="G234" s="5">
        <v>13375</v>
      </c>
      <c r="H234" s="2"/>
      <c r="I234" s="2">
        <v>72.05</v>
      </c>
      <c r="J234" s="2">
        <v>0.99</v>
      </c>
      <c r="K234" s="2"/>
      <c r="L234" s="2"/>
      <c r="M234" s="26">
        <f>Таблица2[[#This Row],[Сумма Долл]]*Таблица2[[#This Row],[Курс ДОЛЛ]]</f>
        <v>963668.75</v>
      </c>
      <c r="N23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973402.77777777775</v>
      </c>
      <c r="O23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13412.230340988172</v>
      </c>
      <c r="P2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9734.0277777777519</v>
      </c>
      <c r="Q234" s="30">
        <v>973402.78</v>
      </c>
      <c r="R234" s="12">
        <f>Таблица2[[#This Row],[Сумма в руб]]-Таблица2[[#This Row],[Оплата от клиента]]</f>
        <v>-2.222222276031971E-3</v>
      </c>
      <c r="S234" s="32">
        <v>44488</v>
      </c>
      <c r="T234" s="32" t="s">
        <v>130</v>
      </c>
      <c r="U234" s="24" t="s">
        <v>31</v>
      </c>
      <c r="V234" s="2"/>
      <c r="W234" s="28">
        <v>71.849999999999994</v>
      </c>
      <c r="X234" s="9">
        <v>13375</v>
      </c>
      <c r="Y234" s="16"/>
      <c r="Z234" s="10">
        <v>44488</v>
      </c>
      <c r="AA234" s="26">
        <f>Таблица2[[#This Row],[Сумма перевода Долл/Евро]]*Таблица2[[#This Row],[Курс ДОЛЛ перевод]]+Таблица2[[#This Row],[Сумма за перевод руб]]</f>
        <v>970727.77777777764</v>
      </c>
      <c r="AB23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37.23034098817152</v>
      </c>
      <c r="AC234" s="9"/>
      <c r="AD234" s="41"/>
    </row>
    <row r="235" spans="1:30" ht="45" x14ac:dyDescent="0.25">
      <c r="A235" s="6">
        <v>44489</v>
      </c>
      <c r="B235" s="29" t="s">
        <v>197</v>
      </c>
      <c r="C235" s="29" t="s">
        <v>198</v>
      </c>
      <c r="D235" s="1" t="s">
        <v>318</v>
      </c>
      <c r="E235" s="44" t="s">
        <v>320</v>
      </c>
      <c r="F235" s="3"/>
      <c r="G235" s="5">
        <v>5085.78</v>
      </c>
      <c r="H235" s="2"/>
      <c r="I235" s="2">
        <v>71.86</v>
      </c>
      <c r="J235" s="2">
        <v>0.97</v>
      </c>
      <c r="K235" s="2"/>
      <c r="L235" s="2"/>
      <c r="M235" s="26">
        <f>Таблица2[[#This Row],[Сумма Долл]]*Таблица2[[#This Row],[Курс ДОЛЛ]]</f>
        <v>365464.1508</v>
      </c>
      <c r="N23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376767.16577319591</v>
      </c>
      <c r="O23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5099.9741948088194</v>
      </c>
      <c r="P23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11303.01497319591</v>
      </c>
      <c r="Q235" s="30">
        <v>376767.16</v>
      </c>
      <c r="R235" s="12">
        <f>Таблица2[[#This Row],[Сумма в руб]]-Таблица2[[#This Row],[Оплата от клиента]]</f>
        <v>5.7731959386728704E-3</v>
      </c>
      <c r="S235" s="32">
        <v>44489</v>
      </c>
      <c r="T235" s="32" t="s">
        <v>130</v>
      </c>
      <c r="U235" s="24" t="s">
        <v>31</v>
      </c>
      <c r="V235" s="2"/>
      <c r="W235" s="28">
        <v>71.66</v>
      </c>
      <c r="X235" s="9">
        <v>5085.78</v>
      </c>
      <c r="Y235" s="16"/>
      <c r="Z235" s="10">
        <v>44489</v>
      </c>
      <c r="AA235" s="26">
        <f>Таблица2[[#This Row],[Сумма перевода Долл/Евро]]*Таблица2[[#This Row],[Курс ДОЛЛ перевод]]+Таблица2[[#This Row],[Сумма за перевод руб]]</f>
        <v>375750.0097731959</v>
      </c>
      <c r="AB23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14.194194808819702</v>
      </c>
      <c r="AC235" s="9" t="s">
        <v>446</v>
      </c>
      <c r="AD235" s="41"/>
    </row>
    <row r="236" spans="1:30" ht="60" x14ac:dyDescent="0.25">
      <c r="A236" s="6">
        <v>44489</v>
      </c>
      <c r="B236" s="29" t="s">
        <v>49</v>
      </c>
      <c r="C236" s="29" t="s">
        <v>50</v>
      </c>
      <c r="D236" s="1" t="s">
        <v>319</v>
      </c>
      <c r="E236" s="1"/>
      <c r="F236" s="3"/>
      <c r="G236" s="5">
        <v>54368</v>
      </c>
      <c r="H236" s="2"/>
      <c r="I236" s="2">
        <v>71.86</v>
      </c>
      <c r="J236" s="2">
        <v>0.98</v>
      </c>
      <c r="K236" s="2"/>
      <c r="L236" s="2"/>
      <c r="M236" s="26">
        <f>Таблица2[[#This Row],[Сумма Долл]]*Таблица2[[#This Row],[Курс ДОЛЛ]]</f>
        <v>3906884.48</v>
      </c>
      <c r="N23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3986616.8163265307</v>
      </c>
      <c r="O23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54519.738766396877</v>
      </c>
      <c r="P2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79732.336326530669</v>
      </c>
      <c r="Q236" s="30">
        <v>3986616.82</v>
      </c>
      <c r="R236" s="12">
        <f>Таблица2[[#This Row],[Сумма в руб]]-Таблица2[[#This Row],[Оплата от клиента]]</f>
        <v>-3.6734691821038723E-3</v>
      </c>
      <c r="S236" s="32">
        <v>44489</v>
      </c>
      <c r="T236" s="32" t="s">
        <v>130</v>
      </c>
      <c r="U236" s="24" t="s">
        <v>31</v>
      </c>
      <c r="V236" s="2"/>
      <c r="W236" s="28">
        <v>71.66</v>
      </c>
      <c r="X236" s="9">
        <v>54368</v>
      </c>
      <c r="Y236" s="16"/>
      <c r="Z236" s="10">
        <v>44489</v>
      </c>
      <c r="AA236" s="26">
        <f>Таблица2[[#This Row],[Сумма перевода Долл/Евро]]*Таблица2[[#This Row],[Курс ДОЛЛ перевод]]+Таблица2[[#This Row],[Сумма за перевод руб]]</f>
        <v>3975743.2163265306</v>
      </c>
      <c r="AB23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151.7387663968766</v>
      </c>
      <c r="AC236" s="9"/>
      <c r="AD236" s="49" t="s">
        <v>436</v>
      </c>
    </row>
    <row r="237" spans="1:30" ht="45" x14ac:dyDescent="0.25">
      <c r="A237" s="6">
        <v>44490</v>
      </c>
      <c r="B237" s="38" t="s">
        <v>158</v>
      </c>
      <c r="C237" s="38" t="s">
        <v>322</v>
      </c>
      <c r="D237" s="1" t="s">
        <v>323</v>
      </c>
      <c r="E237" s="44" t="s">
        <v>324</v>
      </c>
      <c r="F237" s="3">
        <v>72600</v>
      </c>
      <c r="G237" s="5">
        <f>Таблица2[[#This Row],[Сумма ЮА]]/Таблица2[[#This Row],[Курс ЮА]]</f>
        <v>11343.75</v>
      </c>
      <c r="H237" s="2">
        <v>6.4</v>
      </c>
      <c r="I237" s="2">
        <v>71.81</v>
      </c>
      <c r="J237" s="2">
        <v>0.94</v>
      </c>
      <c r="K237" s="2"/>
      <c r="L237" s="2"/>
      <c r="M237" s="26">
        <f>Таблица2[[#This Row],[Сумма Долл]]*Таблица2[[#This Row],[Курс ДОЛЛ]]</f>
        <v>814594.6875</v>
      </c>
      <c r="N23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866590.09308510646</v>
      </c>
      <c r="O237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11375.432027649769</v>
      </c>
      <c r="P2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51995.405585106462</v>
      </c>
      <c r="Q237" s="30">
        <v>866590.09</v>
      </c>
      <c r="R237" s="12">
        <f>Таблица2[[#This Row],[Сумма в руб]]-Таблица2[[#This Row],[Оплата от клиента]]</f>
        <v>3.0851064948365092E-3</v>
      </c>
      <c r="S237" s="32">
        <v>44490</v>
      </c>
      <c r="T237" s="32" t="s">
        <v>161</v>
      </c>
      <c r="U237" s="24" t="s">
        <v>31</v>
      </c>
      <c r="V237" s="2"/>
      <c r="W237" s="28">
        <v>71.61</v>
      </c>
      <c r="X237" s="9">
        <v>11367.4</v>
      </c>
      <c r="Y237" s="16"/>
      <c r="Z237" s="10">
        <v>44497</v>
      </c>
      <c r="AA237" s="26">
        <f>Таблица2[[#This Row],[Сумма перевода Долл/Евро]]*Таблица2[[#This Row],[Курс ДОЛЛ перевод]]+Таблица2[[#This Row],[Сумма за перевод руб]]</f>
        <v>866014.91958510643</v>
      </c>
      <c r="AB23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8.0320276497695886</v>
      </c>
      <c r="AC237" s="9" t="s">
        <v>518</v>
      </c>
      <c r="AD237" s="41"/>
    </row>
    <row r="238" spans="1:30" ht="45" x14ac:dyDescent="0.25">
      <c r="A238" s="6">
        <v>44490</v>
      </c>
      <c r="B238" s="29" t="s">
        <v>70</v>
      </c>
      <c r="C238" s="29" t="s">
        <v>71</v>
      </c>
      <c r="D238" s="1" t="s">
        <v>273</v>
      </c>
      <c r="E238" s="44" t="s">
        <v>325</v>
      </c>
      <c r="F238" s="3"/>
      <c r="G238" s="5">
        <v>5189</v>
      </c>
      <c r="H238" s="2"/>
      <c r="I238" s="2">
        <v>71.81</v>
      </c>
      <c r="J238" s="2"/>
      <c r="K238" s="2">
        <v>80</v>
      </c>
      <c r="L238" s="2"/>
      <c r="M238" s="26">
        <f>Таблица2[[#This Row],[Сумма Долл]]*Таблица2[[#This Row],[Курс ДОЛЛ]]</f>
        <v>372622.09</v>
      </c>
      <c r="N23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378366.89</v>
      </c>
      <c r="O23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5179.623158187379</v>
      </c>
      <c r="P23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5755.2</v>
      </c>
      <c r="Q238" s="30">
        <v>378366.89</v>
      </c>
      <c r="R238" s="12">
        <f>Таблица2[[#This Row],[Сумма в руб]]-Таблица2[[#This Row],[Оплата от клиента]]</f>
        <v>0</v>
      </c>
      <c r="S238" s="32">
        <v>44490</v>
      </c>
      <c r="T238" s="32" t="s">
        <v>130</v>
      </c>
      <c r="U238" s="24" t="s">
        <v>31</v>
      </c>
      <c r="V238" s="2"/>
      <c r="W238" s="28">
        <v>71.94</v>
      </c>
      <c r="X238" s="9">
        <v>5189</v>
      </c>
      <c r="Y238" s="16"/>
      <c r="Z238" s="10">
        <v>44490</v>
      </c>
      <c r="AA238" s="26">
        <f>Таблица2[[#This Row],[Сумма перевода Долл/Евро]]*Таблица2[[#This Row],[Курс ДОЛЛ перевод]]+Таблица2[[#This Row],[Сумма за перевод руб]]</f>
        <v>379051.86</v>
      </c>
      <c r="AB23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-9.3768418126210236</v>
      </c>
      <c r="AC238" s="41" t="s">
        <v>514</v>
      </c>
      <c r="AD238" s="41"/>
    </row>
    <row r="239" spans="1:30" ht="45" x14ac:dyDescent="0.25">
      <c r="A239" s="6">
        <v>44490</v>
      </c>
      <c r="B239" s="2" t="s">
        <v>327</v>
      </c>
      <c r="C239" s="2" t="s">
        <v>328</v>
      </c>
      <c r="D239" s="1" t="s">
        <v>326</v>
      </c>
      <c r="E239" s="1"/>
      <c r="F239" s="3"/>
      <c r="G239" s="5">
        <v>2957.4</v>
      </c>
      <c r="H239" s="2"/>
      <c r="I239" s="2">
        <v>71.61</v>
      </c>
      <c r="J239" s="2">
        <v>0.95</v>
      </c>
      <c r="K239" s="2">
        <v>60</v>
      </c>
      <c r="L239" s="2"/>
      <c r="M239" s="26">
        <f>Таблица2[[#This Row],[Сумма Долл]]*Таблица2[[#This Row],[Курс ДОЛЛ]]</f>
        <v>211779.41400000002</v>
      </c>
      <c r="N239" s="24">
        <f>(Таблица2[[#This Row],[Сумма Долл]]*Таблица2[[#This Row],[Курс ДОЛЛ]]/Таблица2[[#This Row],[% за перевод]])+(Таблица2[[#This Row],[Долл за перевод]]*Таблица2[[#This Row],[Курс ДОЛЛ]])</f>
        <v>227222.29894736846</v>
      </c>
      <c r="O239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2957.4</v>
      </c>
      <c r="P239" s="12">
        <f>Таблица2[[#This Row],[Сумма в руб]]-Таблица2[[#This Row],[Сумма без %]]</f>
        <v>15442.884947368439</v>
      </c>
      <c r="Q239" s="30"/>
      <c r="R239" s="12">
        <f>Таблица2[[#This Row],[Сумма в руб]]-Таблица2[[#This Row],[Оплата от клиента]]</f>
        <v>227222.29894736846</v>
      </c>
      <c r="S239" s="32"/>
      <c r="T239" s="32" t="s">
        <v>130</v>
      </c>
      <c r="U239" s="24"/>
      <c r="V239" s="2"/>
      <c r="W239" s="28"/>
      <c r="X239" s="9"/>
      <c r="Y239" s="16"/>
      <c r="Z239" s="2"/>
      <c r="AA239" s="26">
        <f>Таблица2[[#This Row],[Сумма перевода Долл/Евро]]*Таблица2[[#This Row],[Курс ДОЛЛ перевод]]+Таблица2[[#This Row],[Сумма за перевод руб]]</f>
        <v>15442.884947368439</v>
      </c>
      <c r="AB23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2957.4</v>
      </c>
      <c r="AC239" s="9"/>
      <c r="AD239" s="41"/>
    </row>
    <row r="240" spans="1:30" ht="45" x14ac:dyDescent="0.25">
      <c r="A240" s="6">
        <v>44490</v>
      </c>
      <c r="B240" s="46" t="s">
        <v>220</v>
      </c>
      <c r="C240" s="46" t="s">
        <v>221</v>
      </c>
      <c r="D240" s="1"/>
      <c r="E240" s="44" t="s">
        <v>329</v>
      </c>
      <c r="F240" s="3"/>
      <c r="G240" s="5">
        <v>8600</v>
      </c>
      <c r="H240" s="2"/>
      <c r="I240" s="2">
        <v>71.94</v>
      </c>
      <c r="J240" s="2">
        <v>0.97</v>
      </c>
      <c r="K240" s="2"/>
      <c r="L240" s="2"/>
      <c r="M240" s="26">
        <f>Таблица2[[#This Row],[Сумма Долл]]*Таблица2[[#This Row],[Курс ДОЛЛ]]</f>
        <v>618684</v>
      </c>
      <c r="N240" s="24">
        <v>635525.77</v>
      </c>
      <c r="O24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8600</v>
      </c>
      <c r="P2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16841.770000000019</v>
      </c>
      <c r="Q240" s="30">
        <v>635525.77</v>
      </c>
      <c r="R240" s="12">
        <f>Таблица2[[#This Row],[Сумма в руб]]-Таблица2[[#This Row],[Оплата от клиента]]</f>
        <v>0</v>
      </c>
      <c r="S240" s="32">
        <v>44490</v>
      </c>
      <c r="T240" s="32" t="s">
        <v>130</v>
      </c>
      <c r="U240" s="24" t="s">
        <v>31</v>
      </c>
      <c r="V240" s="2"/>
      <c r="W240" s="28">
        <v>71.94</v>
      </c>
      <c r="X240" s="41">
        <v>8600</v>
      </c>
      <c r="Y240" s="16"/>
      <c r="Z240" s="10">
        <v>44490</v>
      </c>
      <c r="AA240" s="26">
        <f>Таблица2[[#This Row],[Сумма перевода Долл/Евро]]*Таблица2[[#This Row],[Курс ДОЛЛ перевод]]+Таблица2[[#This Row],[Сумма за перевод руб]]</f>
        <v>635525.77</v>
      </c>
      <c r="AB24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240" s="9"/>
      <c r="AD240" s="41"/>
    </row>
    <row r="241" spans="1:30" ht="45" x14ac:dyDescent="0.25">
      <c r="A241" s="6">
        <v>44490</v>
      </c>
      <c r="B241" s="46" t="s">
        <v>220</v>
      </c>
      <c r="C241" s="46" t="s">
        <v>221</v>
      </c>
      <c r="D241" s="1"/>
      <c r="E241" s="44" t="s">
        <v>329</v>
      </c>
      <c r="F241" s="3"/>
      <c r="G241" s="5">
        <v>2000</v>
      </c>
      <c r="H241" s="2"/>
      <c r="I241" s="2">
        <v>71.78</v>
      </c>
      <c r="J241" s="2">
        <v>0.97</v>
      </c>
      <c r="K241" s="2"/>
      <c r="L241" s="2"/>
      <c r="M241" s="26">
        <f>Таблица2[[#This Row],[Сумма Долл]]*Таблица2[[#This Row],[Курс ДОЛЛ]]</f>
        <v>143560</v>
      </c>
      <c r="N24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148000</v>
      </c>
      <c r="O24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2000.8362369337979</v>
      </c>
      <c r="P2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4440</v>
      </c>
      <c r="Q241" s="30">
        <v>148000</v>
      </c>
      <c r="R241" s="12">
        <f>Таблица2[[#This Row],[Сумма в руб]]-Таблица2[[#This Row],[Оплата от клиента]]</f>
        <v>0</v>
      </c>
      <c r="S241" s="32">
        <v>44490</v>
      </c>
      <c r="T241" s="32" t="s">
        <v>130</v>
      </c>
      <c r="U241" s="24" t="s">
        <v>31</v>
      </c>
      <c r="V241" s="2"/>
      <c r="W241" s="28">
        <v>71.75</v>
      </c>
      <c r="X241" s="9">
        <v>2000</v>
      </c>
      <c r="Y241" s="16"/>
      <c r="Z241" s="10">
        <v>44491</v>
      </c>
      <c r="AA241" s="26">
        <f>Таблица2[[#This Row],[Сумма перевода Долл/Евро]]*Таблица2[[#This Row],[Курс ДОЛЛ перевод]]+Таблица2[[#This Row],[Сумма за перевод руб]]</f>
        <v>147940</v>
      </c>
      <c r="AB24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0.83623693379786346</v>
      </c>
      <c r="AC241" s="9"/>
      <c r="AD241" s="41"/>
    </row>
    <row r="242" spans="1:30" ht="45" x14ac:dyDescent="0.25">
      <c r="A242" s="6">
        <v>44494</v>
      </c>
      <c r="B242" s="29" t="s">
        <v>89</v>
      </c>
      <c r="C242" s="29" t="s">
        <v>330</v>
      </c>
      <c r="D242" s="1"/>
      <c r="E242" s="44" t="s">
        <v>331</v>
      </c>
      <c r="F242" s="3"/>
      <c r="G242" s="5">
        <v>3456.8</v>
      </c>
      <c r="H242" s="2"/>
      <c r="I242" s="2">
        <v>70.86</v>
      </c>
      <c r="J242" s="38">
        <v>0.995</v>
      </c>
      <c r="K242" s="2"/>
      <c r="L242" s="38">
        <v>4500</v>
      </c>
      <c r="M242" s="26">
        <f>Таблица2[[#This Row],[Сумма Долл]]*Таблица2[[#This Row],[Курс ДОЛЛ]]</f>
        <v>244948.848</v>
      </c>
      <c r="N242" s="24">
        <f>Таблица2[[#This Row],[Сумма Долл]]*Таблица2[[#This Row],[Курс ДОЛЛ]]/Таблица2[[#This Row],[% за перевод]]+Таблица2[[#This Row],[Руб за перевод]]</f>
        <v>250679.74673366835</v>
      </c>
      <c r="O24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3480.3757885763002</v>
      </c>
      <c r="P242" s="12">
        <f>Таблица2[[#This Row],[Сумма в руб]]-Таблица2[[#This Row],[Сумма без %]]</f>
        <v>5730.8987336683495</v>
      </c>
      <c r="Q242" s="30">
        <v>250679.75</v>
      </c>
      <c r="R242" s="12">
        <f>Таблица2[[#This Row],[Сумма в руб]]-Таблица2[[#This Row],[Оплата от клиента]]</f>
        <v>-3.266331652412191E-3</v>
      </c>
      <c r="S242" s="32">
        <v>44495</v>
      </c>
      <c r="T242" s="32" t="s">
        <v>130</v>
      </c>
      <c r="U242" s="24" t="s">
        <v>31</v>
      </c>
      <c r="V242" s="2"/>
      <c r="W242" s="28">
        <v>70.38</v>
      </c>
      <c r="X242" s="9">
        <v>3456.8</v>
      </c>
      <c r="Y242" s="16"/>
      <c r="Z242" s="10">
        <v>44495</v>
      </c>
      <c r="AA242" s="26">
        <f>Таблица2[[#This Row],[Сумма перевода Долл/Евро]]*Таблица2[[#This Row],[Курс ДОЛЛ перевод]]+Таблица2[[#This Row],[Сумма за перевод руб]]</f>
        <v>249020.48273366835</v>
      </c>
      <c r="AB24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23.575788576300056</v>
      </c>
      <c r="AC242" s="9" t="s">
        <v>672</v>
      </c>
      <c r="AD242" s="41"/>
    </row>
    <row r="243" spans="1:30" ht="45" x14ac:dyDescent="0.25">
      <c r="A243" s="6">
        <v>44494</v>
      </c>
      <c r="B243" s="29" t="s">
        <v>289</v>
      </c>
      <c r="C243" s="29" t="s">
        <v>103</v>
      </c>
      <c r="D243" s="1" t="s">
        <v>332</v>
      </c>
      <c r="E243" s="44" t="s">
        <v>333</v>
      </c>
      <c r="F243" s="3"/>
      <c r="G243" s="5">
        <v>3025</v>
      </c>
      <c r="H243" s="2"/>
      <c r="I243" s="2">
        <v>70.86</v>
      </c>
      <c r="J243" s="38">
        <v>0.97</v>
      </c>
      <c r="K243" s="2"/>
      <c r="L243" s="2"/>
      <c r="M243" s="26">
        <f>Таблица2[[#This Row],[Сумма Долл]]*Таблица2[[#This Row],[Курс ДОЛЛ]]</f>
        <v>214351.5</v>
      </c>
      <c r="N24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220980.92783505155</v>
      </c>
      <c r="O24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3045.6308610400683</v>
      </c>
      <c r="P24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6629.4278350515524</v>
      </c>
      <c r="Q243" s="30">
        <v>220980.93</v>
      </c>
      <c r="R243" s="12">
        <f>Таблица2[[#This Row],[Сумма в руб]]-Таблица2[[#This Row],[Оплата от клиента]]</f>
        <v>-2.1649484406225383E-3</v>
      </c>
      <c r="S243" s="32">
        <v>44495</v>
      </c>
      <c r="T243" s="32" t="s">
        <v>130</v>
      </c>
      <c r="U243" s="24" t="s">
        <v>31</v>
      </c>
      <c r="V243" s="2"/>
      <c r="W243" s="28">
        <v>70.38</v>
      </c>
      <c r="X243" s="9">
        <v>3025</v>
      </c>
      <c r="Y243" s="16"/>
      <c r="Z243" s="10">
        <v>44495</v>
      </c>
      <c r="AA243" s="26">
        <f>Таблица2[[#This Row],[Сумма перевода Долл/Евро]]*Таблица2[[#This Row],[Курс ДОЛЛ перевод]]+Таблица2[[#This Row],[Сумма за перевод руб]]</f>
        <v>219528.92783505155</v>
      </c>
      <c r="AB24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20.630861040068339</v>
      </c>
      <c r="AC243" s="9" t="s">
        <v>518</v>
      </c>
      <c r="AD243" s="41" t="s">
        <v>630</v>
      </c>
    </row>
    <row r="244" spans="1:30" ht="45" x14ac:dyDescent="0.25">
      <c r="A244" s="6">
        <v>44494</v>
      </c>
      <c r="B244" s="38" t="s">
        <v>117</v>
      </c>
      <c r="C244" s="38" t="s">
        <v>334</v>
      </c>
      <c r="D244" s="1" t="s">
        <v>335</v>
      </c>
      <c r="E244" s="45" t="s">
        <v>336</v>
      </c>
      <c r="F244" s="3">
        <v>53550</v>
      </c>
      <c r="G244" s="5">
        <f>Таблица2[[#This Row],[Сумма ЮА]]/Таблица2[[#This Row],[Курс ЮА]]</f>
        <v>8393.4169278996869</v>
      </c>
      <c r="H244" s="2">
        <v>6.38</v>
      </c>
      <c r="I244" s="2">
        <v>70.86</v>
      </c>
      <c r="J244" s="2">
        <v>0.94</v>
      </c>
      <c r="K244" s="2"/>
      <c r="L244" s="2"/>
      <c r="M244" s="26">
        <f>Таблица2[[#This Row],[Сумма Долл]]*Таблица2[[#This Row],[Курс ДОЛЛ]]</f>
        <v>594757.52351097181</v>
      </c>
      <c r="N24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632720.76969252329</v>
      </c>
      <c r="O24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8450.6610331198044</v>
      </c>
      <c r="P24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37963.246181551483</v>
      </c>
      <c r="Q244" s="30">
        <v>632720.77</v>
      </c>
      <c r="R244" s="12">
        <f>Таблица2[[#This Row],[Сумма в руб]]-Таблица2[[#This Row],[Оплата от клиента]]</f>
        <v>-3.0747673008590937E-4</v>
      </c>
      <c r="S244" s="32">
        <v>44495</v>
      </c>
      <c r="T244" s="47" t="s">
        <v>107</v>
      </c>
      <c r="U244" s="24" t="s">
        <v>31</v>
      </c>
      <c r="V244" s="2">
        <v>6.38</v>
      </c>
      <c r="W244" s="28">
        <v>70.38</v>
      </c>
      <c r="X244" s="9">
        <v>8450.6</v>
      </c>
      <c r="Y244" s="16">
        <v>53550</v>
      </c>
      <c r="Z244" s="10">
        <v>44497</v>
      </c>
      <c r="AA244" s="26">
        <f>Таблица2[[#This Row],[Сумма перевода Долл/Евро]]*Таблица2[[#This Row],[Курс ДОЛЛ перевод]]+Таблица2[[#This Row],[Сумма за перевод руб]]</f>
        <v>632716.47418155149</v>
      </c>
      <c r="AB24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57.24410522011749</v>
      </c>
      <c r="AC244" s="9" t="s">
        <v>596</v>
      </c>
      <c r="AD244" s="41"/>
    </row>
    <row r="245" spans="1:30" ht="45" x14ac:dyDescent="0.25">
      <c r="A245" s="6">
        <v>44495</v>
      </c>
      <c r="B245" s="38" t="s">
        <v>337</v>
      </c>
      <c r="C245" s="38" t="s">
        <v>338</v>
      </c>
      <c r="D245" s="1" t="s">
        <v>339</v>
      </c>
      <c r="E245" s="44" t="s">
        <v>340</v>
      </c>
      <c r="F245" s="3">
        <v>6888</v>
      </c>
      <c r="G245" s="5">
        <v>1076.4000000000001</v>
      </c>
      <c r="H245" s="2">
        <v>6.4</v>
      </c>
      <c r="I245" s="2">
        <v>70.58</v>
      </c>
      <c r="J245" s="38">
        <v>0.94</v>
      </c>
      <c r="K245" s="2"/>
      <c r="L245" s="2"/>
      <c r="M245" s="26">
        <f>Таблица2[[#This Row],[Сумма Долл]]*Таблица2[[#This Row],[Курс ДОЛЛ]]</f>
        <v>75972.312000000005</v>
      </c>
      <c r="N24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80821.608510638311</v>
      </c>
      <c r="O24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1081.7643741990603</v>
      </c>
      <c r="P24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4849.2965106383053</v>
      </c>
      <c r="Q245" s="30">
        <v>80821.61</v>
      </c>
      <c r="R245" s="12">
        <f>Таблица2[[#This Row],[Сумма в руб]]-Таблица2[[#This Row],[Оплата от клиента]]</f>
        <v>-1.4893616898916662E-3</v>
      </c>
      <c r="S245" s="32">
        <v>44495</v>
      </c>
      <c r="T245" s="47" t="s">
        <v>107</v>
      </c>
      <c r="U245" s="24" t="s">
        <v>31</v>
      </c>
      <c r="V245" s="2">
        <v>6.38</v>
      </c>
      <c r="W245" s="28">
        <v>70.23</v>
      </c>
      <c r="X245" s="9">
        <v>1079.4000000000001</v>
      </c>
      <c r="Y245" s="16">
        <v>6888</v>
      </c>
      <c r="Z245" s="10">
        <v>44497</v>
      </c>
      <c r="AA245" s="26">
        <f>Таблица2[[#This Row],[Сумма перевода Долл/Евро]]*Таблица2[[#This Row],[Курс ДОЛЛ перевод]]+Таблица2[[#This Row],[Сумма за перевод руб]]</f>
        <v>80655.558510638322</v>
      </c>
      <c r="AB24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2.1405497476496294</v>
      </c>
      <c r="AC245" s="9" t="s">
        <v>446</v>
      </c>
      <c r="AD245" s="41"/>
    </row>
    <row r="246" spans="1:30" ht="165" x14ac:dyDescent="0.25">
      <c r="A246" s="6">
        <v>44496</v>
      </c>
      <c r="B246" s="29" t="s">
        <v>70</v>
      </c>
      <c r="C246" s="29" t="s">
        <v>71</v>
      </c>
      <c r="D246" s="1" t="s">
        <v>341</v>
      </c>
      <c r="E246" s="44" t="s">
        <v>353</v>
      </c>
      <c r="F246" s="3"/>
      <c r="G246" s="5">
        <v>1445</v>
      </c>
      <c r="H246" s="2"/>
      <c r="I246" s="2">
        <v>70.459999999999994</v>
      </c>
      <c r="J246" s="2"/>
      <c r="K246" s="38">
        <v>80</v>
      </c>
      <c r="L246" s="2"/>
      <c r="M246" s="26">
        <f>Таблица2[[#This Row],[Сумма Долл]]*Таблица2[[#This Row],[Курс ДОЛЛ]]</f>
        <v>101814.7</v>
      </c>
      <c r="N24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107451.49999999999</v>
      </c>
      <c r="O246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1423.3845938766951</v>
      </c>
      <c r="P24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5722.4</v>
      </c>
      <c r="Q246" s="30">
        <v>107451.5</v>
      </c>
      <c r="R246" s="12">
        <f>Таблица2[[#This Row],[Сумма в руб]]-Таблица2[[#This Row],[Оплата от клиента]]</f>
        <v>0</v>
      </c>
      <c r="S246" s="10">
        <v>44501</v>
      </c>
      <c r="T246" s="32" t="s">
        <v>130</v>
      </c>
      <c r="U246" s="24" t="s">
        <v>31</v>
      </c>
      <c r="V246" s="2"/>
      <c r="W246" s="28">
        <v>71.53</v>
      </c>
      <c r="X246" s="9">
        <v>1445</v>
      </c>
      <c r="Y246" s="16"/>
      <c r="Z246" s="10">
        <v>44501</v>
      </c>
      <c r="AA246" s="26">
        <f>Таблица2[[#This Row],[Сумма перевода Долл/Евро]]*Таблица2[[#This Row],[Курс ДОЛЛ перевод]]+Таблица2[[#This Row],[Сумма за перевод руб]]</f>
        <v>109083.25</v>
      </c>
      <c r="AB24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-21.615406123304865</v>
      </c>
      <c r="AC246" s="9" t="s">
        <v>446</v>
      </c>
      <c r="AD246" s="41"/>
    </row>
    <row r="247" spans="1:30" ht="75" x14ac:dyDescent="0.25">
      <c r="A247" s="6">
        <v>44498</v>
      </c>
      <c r="B247" s="28"/>
      <c r="C247" s="28" t="s">
        <v>342</v>
      </c>
      <c r="D247" s="1" t="s">
        <v>343</v>
      </c>
      <c r="E247" s="44" t="s">
        <v>348</v>
      </c>
      <c r="F247" s="3"/>
      <c r="G247" s="51">
        <v>3027.65</v>
      </c>
      <c r="H247" s="2"/>
      <c r="I247" s="2">
        <v>83.3</v>
      </c>
      <c r="J247" s="2">
        <v>0.97</v>
      </c>
      <c r="K247" s="2"/>
      <c r="L247" s="2"/>
      <c r="M247" s="26">
        <f>Таблица2[[#This Row],[Сумма Долл]]*Таблица2[[#This Row],[Курс ДОЛЛ]]</f>
        <v>252203.245</v>
      </c>
      <c r="N24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260003.34536082475</v>
      </c>
      <c r="O247" s="52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3034.9367629362214</v>
      </c>
      <c r="P24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7800.1003608247556</v>
      </c>
      <c r="Q247" s="30">
        <v>260003.35</v>
      </c>
      <c r="R247" s="12">
        <f>Таблица2[[#This Row],[Сумма в руб]]-Таблица2[[#This Row],[Оплата от клиента]]</f>
        <v>-4.6391752548515797E-3</v>
      </c>
      <c r="S247" s="32">
        <v>44498</v>
      </c>
      <c r="T247" s="42" t="s">
        <v>277</v>
      </c>
      <c r="U247" s="24" t="s">
        <v>31</v>
      </c>
      <c r="V247" s="2"/>
      <c r="W247" s="28">
        <v>83.1</v>
      </c>
      <c r="X247" s="53">
        <v>3027.65</v>
      </c>
      <c r="Y247" s="16"/>
      <c r="Z247" s="10">
        <v>44498</v>
      </c>
      <c r="AA247" s="26">
        <f>Таблица2[[#This Row],[Сумма перевода Долл/Евро]]*Таблица2[[#This Row],[Курс ДОЛЛ перевод]]+Таблица2[[#This Row],[Сумма за перевод руб]]</f>
        <v>259397.81536082475</v>
      </c>
      <c r="AB247" s="53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7.2867629362212938</v>
      </c>
      <c r="AC247" s="9"/>
      <c r="AD247" s="41"/>
    </row>
    <row r="248" spans="1:30" ht="75" x14ac:dyDescent="0.25">
      <c r="A248" s="6">
        <v>44498</v>
      </c>
      <c r="B248" s="29"/>
      <c r="C248" s="29" t="s">
        <v>342</v>
      </c>
      <c r="D248" s="1" t="s">
        <v>343</v>
      </c>
      <c r="E248" s="44" t="s">
        <v>349</v>
      </c>
      <c r="F248" s="3"/>
      <c r="G248" s="5">
        <v>17257.68</v>
      </c>
      <c r="H248" s="2"/>
      <c r="I248" s="2">
        <v>71.400000000000006</v>
      </c>
      <c r="J248" s="2">
        <v>0.97</v>
      </c>
      <c r="K248" s="2"/>
      <c r="L248" s="2"/>
      <c r="M248" s="26">
        <f>Таблица2[[#This Row],[Сумма Долл]]*Таблица2[[#This Row],[Курс ДОЛЛ]]</f>
        <v>1232198.3520000002</v>
      </c>
      <c r="N24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1270307.5793814436</v>
      </c>
      <c r="O248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17306.156629213485</v>
      </c>
      <c r="P24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38109.227381443372</v>
      </c>
      <c r="Q248" s="30">
        <v>1270307.58</v>
      </c>
      <c r="R248" s="12">
        <f>Таблица2[[#This Row],[Сумма в руб]]-Таблица2[[#This Row],[Оплата от клиента]]</f>
        <v>-6.1855651438236237E-4</v>
      </c>
      <c r="S248" s="32">
        <v>44498</v>
      </c>
      <c r="T248" s="32" t="s">
        <v>130</v>
      </c>
      <c r="U248" s="24" t="s">
        <v>31</v>
      </c>
      <c r="V248" s="2"/>
      <c r="W248" s="28">
        <v>71.2</v>
      </c>
      <c r="X248" s="9">
        <v>17257.68</v>
      </c>
      <c r="Y248" s="16"/>
      <c r="Z248" s="10">
        <v>44498</v>
      </c>
      <c r="AA248" s="26">
        <f>Таблица2[[#This Row],[Сумма перевода Долл/Евро]]*Таблица2[[#This Row],[Курс ДОЛЛ перевод]]+Таблица2[[#This Row],[Сумма за перевод руб]]</f>
        <v>1266856.0433814435</v>
      </c>
      <c r="AB24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48.476629213484557</v>
      </c>
      <c r="AC248" s="9"/>
      <c r="AD248" s="41"/>
    </row>
    <row r="249" spans="1:30" ht="75" x14ac:dyDescent="0.25">
      <c r="A249" s="6">
        <v>44498</v>
      </c>
      <c r="B249" s="28"/>
      <c r="C249" s="28" t="s">
        <v>342</v>
      </c>
      <c r="D249" s="1" t="s">
        <v>343</v>
      </c>
      <c r="E249" s="44" t="s">
        <v>350</v>
      </c>
      <c r="F249" s="3"/>
      <c r="G249" s="51">
        <v>1129.8800000000001</v>
      </c>
      <c r="H249" s="2"/>
      <c r="I249" s="2">
        <v>83.3</v>
      </c>
      <c r="J249" s="2"/>
      <c r="K249" s="2">
        <v>80</v>
      </c>
      <c r="L249" s="2"/>
      <c r="M249" s="26">
        <f>Таблица2[[#This Row],[Сумма Долл]]*Таблица2[[#This Row],[Курс ДОЛЛ]]</f>
        <v>94119.004000000001</v>
      </c>
      <c r="N24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100783.004</v>
      </c>
      <c r="O249" s="52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1132.5993261131168</v>
      </c>
      <c r="P24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6648</v>
      </c>
      <c r="Q249" s="30">
        <v>100783</v>
      </c>
      <c r="R249" s="12">
        <f>Таблица2[[#This Row],[Сумма в руб]]-Таблица2[[#This Row],[Оплата от клиента]]</f>
        <v>4.0000000008149073E-3</v>
      </c>
      <c r="S249" s="32">
        <v>44498</v>
      </c>
      <c r="T249" s="42" t="s">
        <v>277</v>
      </c>
      <c r="U249" s="24" t="s">
        <v>31</v>
      </c>
      <c r="V249" s="2"/>
      <c r="W249" s="28">
        <v>83.1</v>
      </c>
      <c r="X249" s="53">
        <v>1129.8800000000001</v>
      </c>
      <c r="Y249" s="16"/>
      <c r="Z249" s="10">
        <v>44498</v>
      </c>
      <c r="AA249" s="26">
        <f>Таблица2[[#This Row],[Сумма перевода Долл/Евро]]*Таблица2[[#This Row],[Курс ДОЛЛ перевод]]+Таблица2[[#This Row],[Сумма за перевод руб]]</f>
        <v>100541.02800000001</v>
      </c>
      <c r="AB249" s="53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2.7193261131167219</v>
      </c>
      <c r="AC249" s="9"/>
      <c r="AD249" s="41"/>
    </row>
    <row r="250" spans="1:30" ht="45" x14ac:dyDescent="0.25">
      <c r="A250" s="6">
        <v>44498</v>
      </c>
      <c r="B250" s="29" t="s">
        <v>89</v>
      </c>
      <c r="C250" s="29" t="s">
        <v>330</v>
      </c>
      <c r="D250" s="1" t="s">
        <v>352</v>
      </c>
      <c r="E250" s="44" t="s">
        <v>351</v>
      </c>
      <c r="F250" s="3"/>
      <c r="G250" s="5">
        <v>8700</v>
      </c>
      <c r="H250" s="2"/>
      <c r="I250" s="2">
        <v>71.400000000000006</v>
      </c>
      <c r="J250" s="38">
        <v>0.97</v>
      </c>
      <c r="K250" s="2"/>
      <c r="L250" s="2"/>
      <c r="M250" s="26">
        <f>Таблица2[[#This Row],[Сумма Долл]]*Таблица2[[#This Row],[Курс ДОЛЛ]]</f>
        <v>621180</v>
      </c>
      <c r="N25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640391.75257731962</v>
      </c>
      <c r="O250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8641.9031719532559</v>
      </c>
      <c r="P25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19211.752577319625</v>
      </c>
      <c r="Q250" s="30">
        <v>640391.75</v>
      </c>
      <c r="R250" s="12">
        <f>Таблица2[[#This Row],[Сумма в руб]]-Таблица2[[#This Row],[Оплата от клиента]]</f>
        <v>2.5773196248337626E-3</v>
      </c>
      <c r="S250" s="32">
        <v>44498</v>
      </c>
      <c r="T250" s="32" t="s">
        <v>130</v>
      </c>
      <c r="U250" s="24" t="s">
        <v>31</v>
      </c>
      <c r="V250" s="2"/>
      <c r="W250" s="28">
        <v>71.88</v>
      </c>
      <c r="X250" s="9">
        <v>8700</v>
      </c>
      <c r="Y250" s="16"/>
      <c r="Z250" s="10">
        <v>44501</v>
      </c>
      <c r="AA250" s="26">
        <f>Таблица2[[#This Row],[Сумма перевода Долл/Евро]]*Таблица2[[#This Row],[Курс ДОЛЛ перевод]]+Таблица2[[#This Row],[Сумма за перевод руб]]</f>
        <v>644567.75257731962</v>
      </c>
      <c r="AB25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-58.096828046744122</v>
      </c>
      <c r="AC250" s="9"/>
      <c r="AD250" s="41"/>
    </row>
    <row r="251" spans="1:30" ht="60" x14ac:dyDescent="0.25">
      <c r="A251" s="6">
        <v>44502</v>
      </c>
      <c r="B251" s="29" t="s">
        <v>250</v>
      </c>
      <c r="C251" s="29" t="s">
        <v>354</v>
      </c>
      <c r="D251" s="1" t="s">
        <v>356</v>
      </c>
      <c r="E251" s="44" t="s">
        <v>355</v>
      </c>
      <c r="F251" s="3"/>
      <c r="G251" s="5">
        <v>27089.55</v>
      </c>
      <c r="H251" s="2"/>
      <c r="I251" s="2">
        <v>72.430000000000007</v>
      </c>
      <c r="J251" s="2">
        <v>0.97</v>
      </c>
      <c r="K251" s="2"/>
      <c r="L251" s="2"/>
      <c r="M251" s="26">
        <f>Таблица2[[#This Row],[Сумма Долл]]*Таблица2[[#This Row],[Курс ДОЛЛ]]</f>
        <v>1962096.1065000002</v>
      </c>
      <c r="N25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2022779.4912371137</v>
      </c>
      <c r="O251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26749.776503067489</v>
      </c>
      <c r="P25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60683.384737113491</v>
      </c>
      <c r="Q251" s="30">
        <v>2022779.49</v>
      </c>
      <c r="R251" s="12">
        <f>Таблица2[[#This Row],[Сумма в руб]]-Таблица2[[#This Row],[Оплата от клиента]]</f>
        <v>1.2371137272566557E-3</v>
      </c>
      <c r="S251" s="32">
        <v>44515</v>
      </c>
      <c r="T251" s="32" t="s">
        <v>130</v>
      </c>
      <c r="U251" s="24" t="s">
        <v>31</v>
      </c>
      <c r="V251" s="2"/>
      <c r="W251" s="28">
        <v>73.349999999999994</v>
      </c>
      <c r="X251" s="9">
        <v>27089.55</v>
      </c>
      <c r="Y251" s="16"/>
      <c r="Z251" s="2"/>
      <c r="AA251" s="26">
        <f>Таблица2[[#This Row],[Сумма перевода Долл/Евро]]*Таблица2[[#This Row],[Курс ДОЛЛ перевод]]+Таблица2[[#This Row],[Сумма за перевод руб]]</f>
        <v>2047701.8772371132</v>
      </c>
      <c r="AB25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-339.77349693251017</v>
      </c>
      <c r="AC251" s="41" t="s">
        <v>565</v>
      </c>
      <c r="AD251" s="49" t="s">
        <v>402</v>
      </c>
    </row>
    <row r="252" spans="1:30" x14ac:dyDescent="0.25">
      <c r="A252" s="6">
        <v>44503</v>
      </c>
      <c r="B252" s="29" t="s">
        <v>220</v>
      </c>
      <c r="C252" s="29" t="s">
        <v>221</v>
      </c>
      <c r="D252" s="1"/>
      <c r="E252" s="1"/>
      <c r="F252" s="3"/>
      <c r="G252" s="5">
        <v>1500</v>
      </c>
      <c r="H252" s="2"/>
      <c r="I252" s="2">
        <v>72.61</v>
      </c>
      <c r="J252" s="38">
        <v>0.97</v>
      </c>
      <c r="K252" s="2"/>
      <c r="L252" s="2"/>
      <c r="M252" s="26">
        <f>Таблица2[[#This Row],[Сумма Долл]]*Таблица2[[#This Row],[Курс ДОЛЛ]]</f>
        <v>108915</v>
      </c>
      <c r="N25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112283.50515463918</v>
      </c>
      <c r="O252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1500</v>
      </c>
      <c r="P25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3368.5051546391769</v>
      </c>
      <c r="Q252" s="30">
        <v>112283.51</v>
      </c>
      <c r="R252" s="12">
        <f>Таблица2[[#This Row],[Сумма в руб]]-Таблица2[[#This Row],[Оплата от клиента]]</f>
        <v>-4.8453608178533614E-3</v>
      </c>
      <c r="S252" s="32">
        <v>44503</v>
      </c>
      <c r="T252" s="32" t="s">
        <v>130</v>
      </c>
      <c r="U252" s="24" t="s">
        <v>31</v>
      </c>
      <c r="V252" s="2"/>
      <c r="W252" s="28"/>
      <c r="X252" s="9">
        <v>1500</v>
      </c>
      <c r="Y252" s="16"/>
      <c r="Z252" s="10">
        <v>44503</v>
      </c>
      <c r="AA252" s="26">
        <f>Таблица2[[#This Row],[Сумма перевода Долл/Евро]]*Таблица2[[#This Row],[Курс ДОЛЛ перевод]]+Таблица2[[#This Row],[Сумма за перевод руб]]</f>
        <v>3368.5051546391769</v>
      </c>
      <c r="AB25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252" s="9"/>
      <c r="AD252" s="41"/>
    </row>
    <row r="253" spans="1:30" ht="120" x14ac:dyDescent="0.25">
      <c r="A253" s="6">
        <v>44503</v>
      </c>
      <c r="B253" s="29" t="s">
        <v>359</v>
      </c>
      <c r="C253" s="29" t="s">
        <v>358</v>
      </c>
      <c r="D253" s="1" t="s">
        <v>360</v>
      </c>
      <c r="E253" s="44" t="s">
        <v>364</v>
      </c>
      <c r="F253" s="3"/>
      <c r="G253" s="5">
        <v>6688</v>
      </c>
      <c r="H253" s="2"/>
      <c r="I253" s="2">
        <v>72.61</v>
      </c>
      <c r="J253" s="38">
        <v>0.995</v>
      </c>
      <c r="K253" s="38">
        <v>70</v>
      </c>
      <c r="L253" s="2"/>
      <c r="M253" s="26">
        <f>Таблица2[[#This Row],[Сумма Долл]]*Таблица2[[#This Row],[Курс ДОЛЛ]]</f>
        <v>485615.68</v>
      </c>
      <c r="N253" s="24">
        <f>(Таблица2[[#This Row],[Сумма Долл]]*Таблица2[[#This Row],[Курс ДОЛЛ]]/Таблица2[[#This Row],[% за перевод]])+(Таблица2[[#This Row],[Долл за перевод]]*Таблица2[[#This Row],[Курс ДОЛЛ]])</f>
        <v>493138.65979899501</v>
      </c>
      <c r="O253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6741.8531167569063</v>
      </c>
      <c r="P253" s="12">
        <f>Таблица2[[#This Row],[Сумма в руб]]-Таблица2[[#This Row],[Сумма без %]]</f>
        <v>7522.9797989950166</v>
      </c>
      <c r="Q253" s="30">
        <v>493138.66</v>
      </c>
      <c r="R253" s="12">
        <f>Таблица2[[#This Row],[Сумма в руб]]-Таблица2[[#This Row],[Оплата от клиента]]</f>
        <v>-2.0100496476516128E-4</v>
      </c>
      <c r="S253" s="32">
        <v>44503</v>
      </c>
      <c r="T253" s="32" t="s">
        <v>130</v>
      </c>
      <c r="U253" s="24" t="s">
        <v>31</v>
      </c>
      <c r="V253" s="2"/>
      <c r="W253" s="28">
        <v>72.03</v>
      </c>
      <c r="X253" s="9">
        <v>6688</v>
      </c>
      <c r="Y253" s="16"/>
      <c r="Z253" s="10">
        <v>44508</v>
      </c>
      <c r="AA253" s="26">
        <f>Таблица2[[#This Row],[Сумма перевода Долл/Евро]]*Таблица2[[#This Row],[Курс ДОЛЛ перевод]]+Таблица2[[#This Row],[Сумма за перевод руб]]</f>
        <v>489259.61979899503</v>
      </c>
      <c r="AB25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53.853116756906275</v>
      </c>
      <c r="AC253" s="9"/>
      <c r="AD253" s="41" t="s">
        <v>566</v>
      </c>
    </row>
    <row r="254" spans="1:30" ht="105" x14ac:dyDescent="0.25">
      <c r="A254" s="6">
        <v>44508</v>
      </c>
      <c r="B254" s="29" t="s">
        <v>202</v>
      </c>
      <c r="C254" s="29" t="s">
        <v>203</v>
      </c>
      <c r="D254" s="1" t="s">
        <v>362</v>
      </c>
      <c r="E254" s="44" t="s">
        <v>363</v>
      </c>
      <c r="F254" s="3"/>
      <c r="G254" s="5">
        <v>570</v>
      </c>
      <c r="H254" s="2"/>
      <c r="I254" s="2">
        <v>72.63</v>
      </c>
      <c r="J254" s="2"/>
      <c r="K254" s="2"/>
      <c r="L254" s="38">
        <v>5000</v>
      </c>
      <c r="M254" s="26">
        <f>Таблица2[[#This Row],[Сумма Долл]]*Таблица2[[#This Row],[Курс ДОЛЛ]]</f>
        <v>41399.1</v>
      </c>
      <c r="N25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46399.1</v>
      </c>
      <c r="O254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574.90765171503949</v>
      </c>
      <c r="P25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5000</v>
      </c>
      <c r="Q254" s="30">
        <v>46399.1</v>
      </c>
      <c r="R254" s="12">
        <f>Таблица2[[#This Row],[Сумма в руб]]-Таблица2[[#This Row],[Оплата от клиента]]</f>
        <v>0</v>
      </c>
      <c r="S254" s="32">
        <v>44508</v>
      </c>
      <c r="T254" s="32" t="s">
        <v>130</v>
      </c>
      <c r="U254" s="24" t="s">
        <v>31</v>
      </c>
      <c r="V254" s="2"/>
      <c r="W254" s="28">
        <v>72.010000000000005</v>
      </c>
      <c r="X254" s="9">
        <v>570</v>
      </c>
      <c r="Y254" s="16"/>
      <c r="Z254" s="10">
        <v>44508</v>
      </c>
      <c r="AA254" s="26">
        <f>Таблица2[[#This Row],[Сумма перевода Долл/Евро]]*Таблица2[[#This Row],[Курс ДОЛЛ перевод]]+Таблица2[[#This Row],[Сумма за перевод руб]]</f>
        <v>46045.700000000004</v>
      </c>
      <c r="AB25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4.907651715039492</v>
      </c>
      <c r="AC254" s="9" t="s">
        <v>509</v>
      </c>
      <c r="AD254" s="41"/>
    </row>
    <row r="255" spans="1:30" ht="45" x14ac:dyDescent="0.25">
      <c r="A255" s="6">
        <v>44508</v>
      </c>
      <c r="B255" s="29" t="s">
        <v>57</v>
      </c>
      <c r="C255" s="29" t="s">
        <v>58</v>
      </c>
      <c r="D255" s="1" t="s">
        <v>365</v>
      </c>
      <c r="E255" s="44" t="s">
        <v>366</v>
      </c>
      <c r="F255" s="3"/>
      <c r="G255" s="5">
        <v>9127.2000000000007</v>
      </c>
      <c r="H255" s="2"/>
      <c r="I255" s="2">
        <v>72.23</v>
      </c>
      <c r="J255" s="38">
        <v>0.99</v>
      </c>
      <c r="K255" s="2"/>
      <c r="L255" s="2"/>
      <c r="M255" s="26">
        <f>Таблица2[[#This Row],[Сумма Долл]]*Таблица2[[#This Row],[Курс ДОЛЛ]]</f>
        <v>659257.65600000008</v>
      </c>
      <c r="N25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665916.82424242434</v>
      </c>
      <c r="O255" s="48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9133.5225270157935</v>
      </c>
      <c r="P25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6659.1682424242608</v>
      </c>
      <c r="Q255" s="30">
        <v>665916.81999999995</v>
      </c>
      <c r="R255" s="12">
        <f>Таблица2[[#This Row],[Сумма в руб]]-Таблица2[[#This Row],[Оплата от клиента]]</f>
        <v>4.2424243874847889E-3</v>
      </c>
      <c r="S255" s="32">
        <v>44508</v>
      </c>
      <c r="T255" s="32" t="s">
        <v>130</v>
      </c>
      <c r="U255" s="24" t="s">
        <v>31</v>
      </c>
      <c r="V255" s="2"/>
      <c r="W255" s="28">
        <v>72.180000000000007</v>
      </c>
      <c r="X255" s="9">
        <v>9127.2000000000007</v>
      </c>
      <c r="Y255" s="16"/>
      <c r="Z255" s="10">
        <v>44509</v>
      </c>
      <c r="AA255" s="26">
        <f>Таблица2[[#This Row],[Сумма перевода Долл/Евро]]*Таблица2[[#This Row],[Курс ДОЛЛ перевод]]+Таблица2[[#This Row],[Сумма за перевод руб]]</f>
        <v>665460.46424242435</v>
      </c>
      <c r="AB25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6.3225270157927298</v>
      </c>
      <c r="AC255" s="41" t="s">
        <v>608</v>
      </c>
      <c r="AD255" s="41"/>
    </row>
    <row r="256" spans="1:30" ht="120" x14ac:dyDescent="0.25">
      <c r="A256" s="6">
        <v>44508</v>
      </c>
      <c r="B256" s="38" t="s">
        <v>49</v>
      </c>
      <c r="C256" s="38" t="s">
        <v>50</v>
      </c>
      <c r="D256" s="1" t="s">
        <v>367</v>
      </c>
      <c r="E256" s="44" t="s">
        <v>368</v>
      </c>
      <c r="F256" s="3"/>
      <c r="G256" s="5">
        <v>4663.8999999999996</v>
      </c>
      <c r="H256" s="2"/>
      <c r="I256" s="2">
        <v>72.23</v>
      </c>
      <c r="J256" s="2">
        <v>0.98</v>
      </c>
      <c r="K256" s="2"/>
      <c r="L256" s="2"/>
      <c r="M256" s="26">
        <f>Таблица2[[#This Row],[Сумма Долл]]*Таблица2[[#This Row],[Курс ДОЛЛ]]</f>
        <v>336873.49699999997</v>
      </c>
      <c r="N25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343748.46632653062</v>
      </c>
      <c r="O25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4667.1307425879741</v>
      </c>
      <c r="P25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6874.9693265306414</v>
      </c>
      <c r="Q256" s="30">
        <v>343748.47</v>
      </c>
      <c r="R256" s="12">
        <f>Таблица2[[#This Row],[Сумма в руб]]-Таблица2[[#This Row],[Оплата от клиента]]</f>
        <v>-3.673469356726855E-3</v>
      </c>
      <c r="S256" s="32">
        <v>44508</v>
      </c>
      <c r="T256" s="32" t="s">
        <v>382</v>
      </c>
      <c r="U256" s="24" t="s">
        <v>31</v>
      </c>
      <c r="V256" s="2">
        <v>6.3574999999999999</v>
      </c>
      <c r="W256" s="28">
        <v>72.180000000000007</v>
      </c>
      <c r="X256" s="9">
        <v>4663.8999999999996</v>
      </c>
      <c r="Y256" s="16">
        <v>29848</v>
      </c>
      <c r="Z256" s="10"/>
      <c r="AA256" s="26">
        <f>Таблица2[[#This Row],[Сумма перевода Долл/Евро]]*Таблица2[[#This Row],[Курс ДОЛЛ перевод]]+Таблица2[[#This Row],[Сумма за перевод руб]]</f>
        <v>343515.27132653067</v>
      </c>
      <c r="AB25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-27.796508690043993</v>
      </c>
      <c r="AC256" s="9"/>
      <c r="AD256" s="41"/>
    </row>
    <row r="257" spans="1:30" ht="30" x14ac:dyDescent="0.25">
      <c r="A257" s="6">
        <v>44508</v>
      </c>
      <c r="B257" s="29" t="s">
        <v>609</v>
      </c>
      <c r="C257" s="29" t="s">
        <v>369</v>
      </c>
      <c r="D257" s="4" t="s">
        <v>370</v>
      </c>
      <c r="E257" s="1"/>
      <c r="F257" s="3"/>
      <c r="G257" s="5">
        <v>2681</v>
      </c>
      <c r="H257" s="2"/>
      <c r="I257" s="2">
        <v>72.23</v>
      </c>
      <c r="J257" s="2"/>
      <c r="K257" s="2">
        <v>80</v>
      </c>
      <c r="L257" s="2"/>
      <c r="M257" s="26">
        <f>Таблица2[[#This Row],[Сумма Долл]]*Таблица2[[#This Row],[Курс ДОЛЛ]]</f>
        <v>193648.63</v>
      </c>
      <c r="N25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199427.03</v>
      </c>
      <c r="O25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2682.8571626489329</v>
      </c>
      <c r="P25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5774.4000000000005</v>
      </c>
      <c r="Q257" s="30">
        <v>199427.03</v>
      </c>
      <c r="R257" s="12">
        <f>Таблица2[[#This Row],[Сумма в руб]]-Таблица2[[#This Row],[Оплата от клиента]]</f>
        <v>0</v>
      </c>
      <c r="S257" s="32">
        <v>44508</v>
      </c>
      <c r="T257" s="32" t="s">
        <v>130</v>
      </c>
      <c r="U257" s="24" t="s">
        <v>31</v>
      </c>
      <c r="V257" s="2"/>
      <c r="W257" s="28">
        <v>72.180000000000007</v>
      </c>
      <c r="X257" s="9">
        <v>2681</v>
      </c>
      <c r="Y257" s="16"/>
      <c r="Z257" s="10">
        <v>44509</v>
      </c>
      <c r="AA257" s="26">
        <f>Таблица2[[#This Row],[Сумма перевода Долл/Евро]]*Таблица2[[#This Row],[Курс ДОЛЛ перевод]]+Таблица2[[#This Row],[Сумма за перевод руб]]</f>
        <v>199288.98</v>
      </c>
      <c r="AB25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1.8571626489328992</v>
      </c>
      <c r="AC257" s="9" t="s">
        <v>533</v>
      </c>
      <c r="AD257" s="41"/>
    </row>
    <row r="258" spans="1:30" x14ac:dyDescent="0.25">
      <c r="A258" s="6">
        <v>44509</v>
      </c>
      <c r="B258" s="38" t="s">
        <v>72</v>
      </c>
      <c r="C258" s="38" t="s">
        <v>73</v>
      </c>
      <c r="D258" s="1" t="s">
        <v>371</v>
      </c>
      <c r="E258" s="1"/>
      <c r="F258" s="3"/>
      <c r="G258" s="5">
        <f>Таблица2[[#This Row],[Сумма без %]]/Таблица2[[#This Row],[Курс ДОЛЛ]]</f>
        <v>34226.026904330865</v>
      </c>
      <c r="H258" s="2"/>
      <c r="I258" s="2">
        <v>71.81</v>
      </c>
      <c r="J258" s="2">
        <v>0.95</v>
      </c>
      <c r="K258" s="2"/>
      <c r="L258" s="2"/>
      <c r="M258" s="26">
        <f>Таблица2[[#This Row],[Сумма в руб]]*0.95</f>
        <v>2457770.9919999996</v>
      </c>
      <c r="N258" s="24">
        <v>2587127.36</v>
      </c>
      <c r="O25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34226.026904330865</v>
      </c>
      <c r="P25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129356.36800000025</v>
      </c>
      <c r="Q258" s="30">
        <v>2587127.36</v>
      </c>
      <c r="R258" s="12">
        <f>Таблица2[[#This Row],[Сумма в руб]]-Таблица2[[#This Row],[Оплата от клиента]]</f>
        <v>0</v>
      </c>
      <c r="S258" s="32">
        <v>44509</v>
      </c>
      <c r="T258" s="32" t="s">
        <v>107</v>
      </c>
      <c r="U258" s="24" t="s">
        <v>31</v>
      </c>
      <c r="V258" s="2">
        <v>6.3559999999999999</v>
      </c>
      <c r="W258" s="28">
        <v>71.81</v>
      </c>
      <c r="X258" s="9">
        <v>34226</v>
      </c>
      <c r="Y258" s="16">
        <v>217541</v>
      </c>
      <c r="Z258" s="10">
        <v>44509</v>
      </c>
      <c r="AA258" s="26">
        <f>Таблица2[[#This Row],[Сумма перевода Долл/Евро]]*Таблица2[[#This Row],[Курс ДОЛЛ перевод]]+Таблица2[[#This Row],[Сумма за перевод руб]]</f>
        <v>2587125.4280000003</v>
      </c>
      <c r="AB25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-5.8684089526650496E-2</v>
      </c>
      <c r="AC258" s="9"/>
      <c r="AD258" s="41"/>
    </row>
    <row r="259" spans="1:30" ht="135" x14ac:dyDescent="0.25">
      <c r="A259" s="6">
        <v>44509</v>
      </c>
      <c r="B259" s="29" t="s">
        <v>126</v>
      </c>
      <c r="C259" s="29" t="s">
        <v>52</v>
      </c>
      <c r="D259" s="4" t="s">
        <v>372</v>
      </c>
      <c r="E259" s="44" t="s">
        <v>373</v>
      </c>
      <c r="F259" s="3"/>
      <c r="G259" s="5">
        <v>4000</v>
      </c>
      <c r="H259" s="2"/>
      <c r="I259" s="2">
        <v>72.38</v>
      </c>
      <c r="J259" s="2">
        <v>0.98</v>
      </c>
      <c r="K259" s="2"/>
      <c r="L259" s="2"/>
      <c r="M259" s="26">
        <f>Таблица2[[#This Row],[Сумма Долл]]*Таблица2[[#This Row],[Курс ДОЛЛ]]</f>
        <v>289520</v>
      </c>
      <c r="N25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295428.57142857142</v>
      </c>
      <c r="O25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4031.7504525832055</v>
      </c>
      <c r="P25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5908.5714285714203</v>
      </c>
      <c r="Q259" s="30">
        <v>295428.57</v>
      </c>
      <c r="R259" s="12">
        <f>Таблица2[[#This Row],[Сумма в руб]]-Таблица2[[#This Row],[Оплата от клиента]]</f>
        <v>1.4285714132711291E-3</v>
      </c>
      <c r="S259" s="32">
        <v>44509</v>
      </c>
      <c r="T259" s="32" t="s">
        <v>130</v>
      </c>
      <c r="U259" s="24" t="s">
        <v>31</v>
      </c>
      <c r="V259" s="2"/>
      <c r="W259" s="28">
        <v>71.81</v>
      </c>
      <c r="X259" s="9">
        <v>4000</v>
      </c>
      <c r="Y259" s="16"/>
      <c r="Z259" s="10">
        <v>44509</v>
      </c>
      <c r="AA259" s="26">
        <f>Таблица2[[#This Row],[Сумма перевода Долл/Евро]]*Таблица2[[#This Row],[Курс ДОЛЛ перевод]]+Таблица2[[#This Row],[Сумма за перевод руб]]</f>
        <v>293148.57142857142</v>
      </c>
      <c r="AB25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31.750452583205515</v>
      </c>
      <c r="AC259" s="9" t="s">
        <v>446</v>
      </c>
      <c r="AD259" s="41"/>
    </row>
    <row r="260" spans="1:30" x14ac:dyDescent="0.25">
      <c r="A260" s="6">
        <v>44509</v>
      </c>
      <c r="B260" s="29" t="s">
        <v>186</v>
      </c>
      <c r="C260" s="29" t="s">
        <v>187</v>
      </c>
      <c r="D260" s="4" t="s">
        <v>377</v>
      </c>
      <c r="E260" s="1"/>
      <c r="F260" s="3"/>
      <c r="G260" s="5">
        <v>2585.36</v>
      </c>
      <c r="H260" s="2"/>
      <c r="I260" s="2">
        <v>72.010000000000005</v>
      </c>
      <c r="J260" s="2"/>
      <c r="K260" s="2">
        <v>80</v>
      </c>
      <c r="L260" s="2"/>
      <c r="M260" s="26">
        <f>Таблица2[[#This Row],[Сумма Долл]]*Таблица2[[#This Row],[Курс ДОЛЛ]]</f>
        <v>186171.77360000001</v>
      </c>
      <c r="N26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191932.57360000003</v>
      </c>
      <c r="O26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2588.2354177672737</v>
      </c>
      <c r="P26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5754.4000000000005</v>
      </c>
      <c r="Q260" s="30">
        <v>191932.57</v>
      </c>
      <c r="R260" s="12">
        <f>Таблица2[[#This Row],[Сумма в руб]]-Таблица2[[#This Row],[Оплата от клиента]]</f>
        <v>3.6000000254716724E-3</v>
      </c>
      <c r="S260" s="32">
        <v>44511</v>
      </c>
      <c r="T260" s="32" t="s">
        <v>130</v>
      </c>
      <c r="U260" s="24" t="s">
        <v>31</v>
      </c>
      <c r="V260" s="2"/>
      <c r="W260" s="28">
        <v>71.930000000000007</v>
      </c>
      <c r="X260" s="9">
        <v>2585.36</v>
      </c>
      <c r="Y260" s="16"/>
      <c r="Z260" s="2"/>
      <c r="AA260" s="26">
        <f>Таблица2[[#This Row],[Сумма перевода Долл/Евро]]*Таблица2[[#This Row],[Курс ДОЛЛ перевод]]+Таблица2[[#This Row],[Сумма за перевод руб]]</f>
        <v>191719.34480000002</v>
      </c>
      <c r="AB26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2.875417767273575</v>
      </c>
      <c r="AC260" s="9" t="s">
        <v>531</v>
      </c>
      <c r="AD260" s="49" t="s">
        <v>381</v>
      </c>
    </row>
    <row r="261" spans="1:30" ht="30" x14ac:dyDescent="0.25">
      <c r="A261" s="6">
        <v>44509</v>
      </c>
      <c r="B261" s="29" t="s">
        <v>609</v>
      </c>
      <c r="C261" s="29" t="s">
        <v>378</v>
      </c>
      <c r="D261" s="4" t="s">
        <v>379</v>
      </c>
      <c r="E261" s="1"/>
      <c r="F261" s="3"/>
      <c r="G261" s="5">
        <v>1804</v>
      </c>
      <c r="H261" s="2"/>
      <c r="I261" s="2">
        <v>72.010000000000005</v>
      </c>
      <c r="J261" s="2"/>
      <c r="K261" s="2">
        <v>80</v>
      </c>
      <c r="L261" s="2"/>
      <c r="M261" s="26">
        <f>Таблица2[[#This Row],[Сумма Долл]]*Таблица2[[#This Row],[Курс ДОЛЛ]]</f>
        <v>129906.04000000001</v>
      </c>
      <c r="N26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135666.84</v>
      </c>
      <c r="O26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1806.0063951063532</v>
      </c>
      <c r="P26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5754.4000000000005</v>
      </c>
      <c r="Q261" s="30">
        <v>135666.84</v>
      </c>
      <c r="R261" s="12">
        <f>Таблица2[[#This Row],[Сумма в руб]]-Таблица2[[#This Row],[Оплата от клиента]]</f>
        <v>0</v>
      </c>
      <c r="S261" s="32">
        <v>44511</v>
      </c>
      <c r="T261" s="32" t="s">
        <v>130</v>
      </c>
      <c r="U261" s="24" t="s">
        <v>31</v>
      </c>
      <c r="V261" s="2"/>
      <c r="W261" s="28">
        <v>71.930000000000007</v>
      </c>
      <c r="X261" s="9">
        <v>1804</v>
      </c>
      <c r="Y261" s="16"/>
      <c r="Z261" s="2"/>
      <c r="AA261" s="26">
        <f>Таблица2[[#This Row],[Сумма перевода Долл/Евро]]*Таблица2[[#This Row],[Курс ДОЛЛ перевод]]+Таблица2[[#This Row],[Сумма за перевод руб]]</f>
        <v>135516.12000000002</v>
      </c>
      <c r="AB26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2.0063951063532386</v>
      </c>
      <c r="AC261" s="9" t="s">
        <v>533</v>
      </c>
      <c r="AD261" s="41"/>
    </row>
    <row r="262" spans="1:30" x14ac:dyDescent="0.25">
      <c r="A262" s="6">
        <v>44512</v>
      </c>
      <c r="B262" s="29" t="s">
        <v>70</v>
      </c>
      <c r="C262" s="29" t="s">
        <v>71</v>
      </c>
      <c r="D262" s="4" t="s">
        <v>383</v>
      </c>
      <c r="E262" s="1"/>
      <c r="F262" s="3"/>
      <c r="G262" s="5">
        <v>1890</v>
      </c>
      <c r="H262" s="2"/>
      <c r="I262" s="2">
        <v>72.5</v>
      </c>
      <c r="J262" s="2"/>
      <c r="K262" s="38">
        <v>80</v>
      </c>
      <c r="L262" s="2"/>
      <c r="M262" s="26">
        <f>Таблица2[[#This Row],[Сумма Долл]]*Таблица2[[#This Row],[Курс ДОЛЛ]]</f>
        <v>137025</v>
      </c>
      <c r="N26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142825</v>
      </c>
      <c r="O26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1877.0547945205481</v>
      </c>
      <c r="P26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5840</v>
      </c>
      <c r="Q262" s="30">
        <v>142825</v>
      </c>
      <c r="R262" s="12">
        <f>Таблица2[[#This Row],[Сумма в руб]]-Таблица2[[#This Row],[Оплата от клиента]]</f>
        <v>0</v>
      </c>
      <c r="S262" s="32">
        <v>44515</v>
      </c>
      <c r="T262" s="32"/>
      <c r="U262" s="24" t="s">
        <v>31</v>
      </c>
      <c r="V262" s="2"/>
      <c r="W262" s="28">
        <v>73</v>
      </c>
      <c r="X262" s="9">
        <v>1890</v>
      </c>
      <c r="Y262" s="16"/>
      <c r="Z262" s="2"/>
      <c r="AA262" s="26">
        <f>Таблица2[[#This Row],[Сумма перевода Долл/Евро]]*Таблица2[[#This Row],[Курс ДОЛЛ перевод]]+Таблица2[[#This Row],[Сумма за перевод руб]]</f>
        <v>143810</v>
      </c>
      <c r="AB26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-12.945205479451943</v>
      </c>
      <c r="AC262" s="41" t="s">
        <v>513</v>
      </c>
      <c r="AD262" s="41"/>
    </row>
    <row r="263" spans="1:30" ht="30" x14ac:dyDescent="0.25">
      <c r="A263" s="6">
        <v>44515</v>
      </c>
      <c r="B263" s="29" t="s">
        <v>49</v>
      </c>
      <c r="C263" s="29" t="s">
        <v>50</v>
      </c>
      <c r="D263" s="4" t="s">
        <v>384</v>
      </c>
      <c r="E263" s="1"/>
      <c r="F263" s="3"/>
      <c r="G263" s="5">
        <v>4250</v>
      </c>
      <c r="H263" s="2"/>
      <c r="I263" s="2">
        <v>73.569999999999993</v>
      </c>
      <c r="J263" s="2">
        <v>0.98</v>
      </c>
      <c r="K263" s="2"/>
      <c r="L263" s="2"/>
      <c r="M263" s="26">
        <f>Таблица2[[#This Row],[Сумма Долл]]*Таблица2[[#This Row],[Курс ДОЛЛ]]</f>
        <v>312672.5</v>
      </c>
      <c r="N26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319053.57142857142</v>
      </c>
      <c r="O26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4256.943498978897</v>
      </c>
      <c r="P26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6381.0714285714203</v>
      </c>
      <c r="Q263" s="30">
        <v>319053.57</v>
      </c>
      <c r="R263" s="12">
        <f>Таблица2[[#This Row],[Сумма в руб]]-Таблица2[[#This Row],[Оплата от клиента]]</f>
        <v>1.4285714132711291E-3</v>
      </c>
      <c r="S263" s="32">
        <v>44517</v>
      </c>
      <c r="T263" s="32" t="s">
        <v>130</v>
      </c>
      <c r="U263" s="24" t="s">
        <v>31</v>
      </c>
      <c r="V263" s="2">
        <v>6.3574999999999999</v>
      </c>
      <c r="W263" s="28">
        <v>73.45</v>
      </c>
      <c r="X263" s="9">
        <v>4250</v>
      </c>
      <c r="Y263" s="16"/>
      <c r="Z263" s="2"/>
      <c r="AA263" s="26">
        <f>Таблица2[[#This Row],[Сумма перевода Долл/Евро]]*Таблица2[[#This Row],[Курс ДОЛЛ перевод]]+Таблица2[[#This Row],[Сумма за перевод руб]]</f>
        <v>318543.57142857142</v>
      </c>
      <c r="AB26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4256.943498978897</v>
      </c>
      <c r="AC263" s="9"/>
      <c r="AD263" s="49" t="s">
        <v>387</v>
      </c>
    </row>
    <row r="264" spans="1:30" ht="45" x14ac:dyDescent="0.25">
      <c r="A264" s="6">
        <v>44515</v>
      </c>
      <c r="B264" s="29" t="s">
        <v>49</v>
      </c>
      <c r="C264" s="29" t="s">
        <v>50</v>
      </c>
      <c r="D264" s="4" t="s">
        <v>385</v>
      </c>
      <c r="E264" s="1"/>
      <c r="F264" s="3"/>
      <c r="G264" s="5">
        <v>2276</v>
      </c>
      <c r="H264" s="2"/>
      <c r="I264" s="2">
        <v>73.569999999999993</v>
      </c>
      <c r="J264" s="2">
        <v>0.98</v>
      </c>
      <c r="K264" s="2"/>
      <c r="L264" s="2"/>
      <c r="M264" s="26">
        <f>Таблица2[[#This Row],[Сумма Долл]]*Таблица2[[#This Row],[Курс ДОЛЛ]]</f>
        <v>167445.31999999998</v>
      </c>
      <c r="N26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170862.57142857142</v>
      </c>
      <c r="O26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2282.8264485344239</v>
      </c>
      <c r="P26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3417.2514285714424</v>
      </c>
      <c r="Q264" s="30">
        <v>170862.57</v>
      </c>
      <c r="R264" s="12">
        <f>Таблица2[[#This Row],[Сумма в руб]]-Таблица2[[#This Row],[Оплата от клиента]]</f>
        <v>1.4285714132711291E-3</v>
      </c>
      <c r="S264" s="32"/>
      <c r="T264" s="32" t="s">
        <v>107</v>
      </c>
      <c r="U264" s="24" t="s">
        <v>31</v>
      </c>
      <c r="V264" s="2">
        <v>6.3574999999999999</v>
      </c>
      <c r="W264" s="28">
        <v>73.349999999999994</v>
      </c>
      <c r="X264" s="9">
        <v>2276</v>
      </c>
      <c r="Y264" s="16">
        <v>14469.67</v>
      </c>
      <c r="Z264" s="2"/>
      <c r="AA264" s="26">
        <f>Таблица2[[#This Row],[Сумма перевода Долл/Евро]]*Таблица2[[#This Row],[Курс ДОЛЛ перевод]]+Таблица2[[#This Row],[Сумма за перевод руб]]</f>
        <v>170361.85142857142</v>
      </c>
      <c r="AB26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6.8264485344238892</v>
      </c>
      <c r="AC264" s="9"/>
      <c r="AD264" s="49" t="s">
        <v>387</v>
      </c>
    </row>
    <row r="265" spans="1:30" ht="30" x14ac:dyDescent="0.25">
      <c r="A265" s="6">
        <v>44512</v>
      </c>
      <c r="B265" s="29" t="s">
        <v>242</v>
      </c>
      <c r="C265" s="29" t="s">
        <v>243</v>
      </c>
      <c r="D265" s="4" t="s">
        <v>294</v>
      </c>
      <c r="E265" s="1"/>
      <c r="F265" s="3"/>
      <c r="G265" s="5">
        <v>17738.03</v>
      </c>
      <c r="H265" s="2"/>
      <c r="I265" s="2">
        <v>73.569999999999993</v>
      </c>
      <c r="J265" s="2">
        <v>0.98</v>
      </c>
      <c r="K265" s="2"/>
      <c r="L265" s="2"/>
      <c r="M265" s="26">
        <f>Таблица2[[#This Row],[Сумма Долл]]*Таблица2[[#This Row],[Курс ДОЛЛ]]</f>
        <v>1304986.8670999997</v>
      </c>
      <c r="N26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1331619.2521428568</v>
      </c>
      <c r="O26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17876.532426027392</v>
      </c>
      <c r="P26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26632.385042857146</v>
      </c>
      <c r="Q265" s="30">
        <v>1331619.25</v>
      </c>
      <c r="R265" s="12">
        <f>Таблица2[[#This Row],[Сумма в руб]]-Таблица2[[#This Row],[Оплата от клиента]]</f>
        <v>2.1428568288683891E-3</v>
      </c>
      <c r="S265" s="32">
        <v>44515</v>
      </c>
      <c r="T265" s="32" t="s">
        <v>130</v>
      </c>
      <c r="U265" s="24" t="s">
        <v>31</v>
      </c>
      <c r="V265" s="2"/>
      <c r="W265" s="28">
        <v>73</v>
      </c>
      <c r="X265" s="9">
        <v>17738.03</v>
      </c>
      <c r="Y265" s="16"/>
      <c r="Z265" s="2"/>
      <c r="AA265" s="26">
        <f>Таблица2[[#This Row],[Сумма перевода Долл/Евро]]*Таблица2[[#This Row],[Курс ДОЛЛ перевод]]+Таблица2[[#This Row],[Сумма за перевод руб]]</f>
        <v>1321508.5750428571</v>
      </c>
      <c r="AB26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138.50242602739308</v>
      </c>
      <c r="AC265" s="9"/>
      <c r="AD265" s="41" t="s">
        <v>388</v>
      </c>
    </row>
    <row r="266" spans="1:30" ht="30" x14ac:dyDescent="0.25">
      <c r="A266" s="6">
        <v>44515</v>
      </c>
      <c r="B266" s="29" t="s">
        <v>390</v>
      </c>
      <c r="C266" s="29" t="s">
        <v>391</v>
      </c>
      <c r="D266" s="4" t="s">
        <v>392</v>
      </c>
      <c r="E266" s="1"/>
      <c r="F266" s="3"/>
      <c r="G266" s="5">
        <v>31800</v>
      </c>
      <c r="H266" s="2"/>
      <c r="I266" s="2">
        <v>74.5</v>
      </c>
      <c r="J266" s="2">
        <v>0.98499999999999999</v>
      </c>
      <c r="K266" s="2"/>
      <c r="L266" s="2"/>
      <c r="M266" s="26">
        <f>Таблица2[[#This Row],[Сумма Долл]]*Таблица2[[#This Row],[Курс ДОЛЛ]]</f>
        <v>2369100</v>
      </c>
      <c r="N26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2405177.6649746192</v>
      </c>
      <c r="O26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31562.749800159872</v>
      </c>
      <c r="P26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36077.664974619169</v>
      </c>
      <c r="Q266" s="30">
        <v>2405177.66</v>
      </c>
      <c r="R266" s="12">
        <f>Таблица2[[#This Row],[Сумма в руб]]-Таблица2[[#This Row],[Оплата от клиента]]</f>
        <v>4.9746190197765827E-3</v>
      </c>
      <c r="S266" s="32">
        <v>44519</v>
      </c>
      <c r="T266" s="32" t="s">
        <v>130</v>
      </c>
      <c r="U266" s="24" t="s">
        <v>31</v>
      </c>
      <c r="V266" s="2"/>
      <c r="W266" s="28">
        <v>75.06</v>
      </c>
      <c r="X266" s="9">
        <v>31880</v>
      </c>
      <c r="Y266" s="16"/>
      <c r="Z266" s="10">
        <v>44537</v>
      </c>
      <c r="AA266" s="26">
        <f>Таблица2[[#This Row],[Сумма перевода Долл/Евро]]*Таблица2[[#This Row],[Курс ДОЛЛ перевод]]+Таблица2[[#This Row],[Сумма за перевод руб]]</f>
        <v>2428990.4649746194</v>
      </c>
      <c r="AB26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-317.25019984012761</v>
      </c>
      <c r="AC266" s="9" t="s">
        <v>518</v>
      </c>
      <c r="AD266" s="49" t="s">
        <v>415</v>
      </c>
    </row>
    <row r="267" spans="1:30" ht="30" x14ac:dyDescent="0.25">
      <c r="A267" s="6">
        <v>44515</v>
      </c>
      <c r="B267" s="29" t="s">
        <v>393</v>
      </c>
      <c r="C267" s="29" t="s">
        <v>64</v>
      </c>
      <c r="D267" s="4" t="s">
        <v>394</v>
      </c>
      <c r="E267" s="1"/>
      <c r="F267" s="3"/>
      <c r="G267" s="5">
        <v>28020</v>
      </c>
      <c r="H267" s="2"/>
      <c r="I267" s="2">
        <v>73.34</v>
      </c>
      <c r="J267" s="2">
        <v>0.98</v>
      </c>
      <c r="K267" s="2"/>
      <c r="L267" s="2"/>
      <c r="M267" s="26">
        <f>Таблица2[[#This Row],[Сумма Долл]]*Таблица2[[#This Row],[Курс ДОЛЛ]]</f>
        <v>2054986.8</v>
      </c>
      <c r="N26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2096925.306122449</v>
      </c>
      <c r="O26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27978.036759700477</v>
      </c>
      <c r="P26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41938.506122448947</v>
      </c>
      <c r="Q267" s="30">
        <v>2096925.31</v>
      </c>
      <c r="R267" s="12">
        <f>Таблица2[[#This Row],[Сумма в руб]]-Таблица2[[#This Row],[Оплата от клиента]]</f>
        <v>-3.8775510620325804E-3</v>
      </c>
      <c r="S267" s="32">
        <v>41230</v>
      </c>
      <c r="T267" s="32" t="s">
        <v>130</v>
      </c>
      <c r="U267" s="24" t="s">
        <v>31</v>
      </c>
      <c r="V267" s="2"/>
      <c r="W267" s="28">
        <v>73.45</v>
      </c>
      <c r="X267" s="9">
        <v>28020</v>
      </c>
      <c r="Y267" s="16"/>
      <c r="Z267" s="2"/>
      <c r="AA267" s="26">
        <f>Таблица2[[#This Row],[Сумма перевода Долл/Евро]]*Таблица2[[#This Row],[Курс ДОЛЛ перевод]]+Таблица2[[#This Row],[Сумма за перевод руб]]</f>
        <v>2100007.5061224489</v>
      </c>
      <c r="AB26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-41.963240299523022</v>
      </c>
      <c r="AC267" s="9"/>
      <c r="AD267" s="41"/>
    </row>
    <row r="268" spans="1:30" x14ac:dyDescent="0.25">
      <c r="A268" s="6">
        <v>44515</v>
      </c>
      <c r="B268" s="29" t="s">
        <v>390</v>
      </c>
      <c r="C268" s="29" t="s">
        <v>391</v>
      </c>
      <c r="D268" s="4" t="s">
        <v>395</v>
      </c>
      <c r="E268" s="1"/>
      <c r="F268" s="3"/>
      <c r="G268" s="5">
        <v>53803.5</v>
      </c>
      <c r="H268" s="2"/>
      <c r="I268" s="2">
        <v>73.34</v>
      </c>
      <c r="J268" s="2">
        <v>0.98499999999999999</v>
      </c>
      <c r="K268" s="2"/>
      <c r="L268" s="2"/>
      <c r="M268" s="26">
        <f>Таблица2[[#This Row],[Сумма Долл]]*Таблица2[[#This Row],[Курс ДОЛЛ]]</f>
        <v>3945948.6900000004</v>
      </c>
      <c r="N26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4006039.2791878176</v>
      </c>
      <c r="O26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53446.413246647709</v>
      </c>
      <c r="P26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60090.589187817182</v>
      </c>
      <c r="Q268" s="30">
        <v>4006039.28</v>
      </c>
      <c r="R268" s="12">
        <f>Таблица2[[#This Row],[Сумма в руб]]-Таблица2[[#This Row],[Оплата от клиента]]</f>
        <v>-8.1218220293521881E-4</v>
      </c>
      <c r="S268" s="32">
        <v>44515</v>
      </c>
      <c r="T268" s="32" t="s">
        <v>130</v>
      </c>
      <c r="U268" s="24" t="s">
        <v>31</v>
      </c>
      <c r="V268" s="2"/>
      <c r="W268" s="28">
        <v>73.83</v>
      </c>
      <c r="X268" s="9">
        <v>53803.5</v>
      </c>
      <c r="Y268" s="16"/>
      <c r="Z268" s="10">
        <v>44517</v>
      </c>
      <c r="AA268" s="26">
        <f>Таблица2[[#This Row],[Сумма перевода Долл/Евро]]*Таблица2[[#This Row],[Курс ДОЛЛ перевод]]+Таблица2[[#This Row],[Сумма за перевод руб]]</f>
        <v>4032402.994187817</v>
      </c>
      <c r="AB26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-357.08675335229054</v>
      </c>
      <c r="AC268" s="9"/>
      <c r="AD268" s="41"/>
    </row>
    <row r="269" spans="1:30" x14ac:dyDescent="0.25">
      <c r="A269" s="6">
        <v>44515</v>
      </c>
      <c r="B269" s="29" t="s">
        <v>390</v>
      </c>
      <c r="C269" s="29" t="s">
        <v>391</v>
      </c>
      <c r="D269" s="4" t="s">
        <v>395</v>
      </c>
      <c r="E269" s="1"/>
      <c r="F269" s="3"/>
      <c r="G269" s="5">
        <v>23400</v>
      </c>
      <c r="H269" s="2"/>
      <c r="I269" s="2">
        <v>73.34</v>
      </c>
      <c r="J269" s="2">
        <v>0.98499999999999999</v>
      </c>
      <c r="K269" s="2"/>
      <c r="L269" s="2"/>
      <c r="M269" s="26">
        <f>Таблица2[[#This Row],[Сумма Долл]]*Таблица2[[#This Row],[Курс ДОЛЛ]]</f>
        <v>1716156</v>
      </c>
      <c r="N26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1742290.3553299492</v>
      </c>
      <c r="O26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23244.69727752946</v>
      </c>
      <c r="P26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26134.355329949176</v>
      </c>
      <c r="Q269" s="30">
        <v>1742290.36</v>
      </c>
      <c r="R269" s="12">
        <f>Таблица2[[#This Row],[Сумма в руб]]-Таблица2[[#This Row],[Оплата от клиента]]</f>
        <v>-4.6700509265065193E-3</v>
      </c>
      <c r="S269" s="32">
        <v>44515</v>
      </c>
      <c r="T269" s="32" t="s">
        <v>130</v>
      </c>
      <c r="U269" s="24" t="s">
        <v>31</v>
      </c>
      <c r="V269" s="2"/>
      <c r="W269" s="28">
        <v>73.83</v>
      </c>
      <c r="X269" s="9">
        <v>23400</v>
      </c>
      <c r="Y269" s="16"/>
      <c r="Z269" s="10">
        <v>44517</v>
      </c>
      <c r="AA269" s="26">
        <f>Таблица2[[#This Row],[Сумма перевода Долл/Евро]]*Таблица2[[#This Row],[Курс ДОЛЛ перевод]]+Таблица2[[#This Row],[Сумма за перевод руб]]</f>
        <v>1753756.3553299492</v>
      </c>
      <c r="AB26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-155.30272247054017</v>
      </c>
      <c r="AC269" s="9"/>
      <c r="AD269" s="41"/>
    </row>
    <row r="270" spans="1:30" ht="30" x14ac:dyDescent="0.25">
      <c r="A270" s="6">
        <v>44516</v>
      </c>
      <c r="B270" s="29" t="s">
        <v>32</v>
      </c>
      <c r="C270" s="29" t="s">
        <v>33</v>
      </c>
      <c r="D270" s="4" t="s">
        <v>528</v>
      </c>
      <c r="E270" s="1"/>
      <c r="F270" s="3"/>
      <c r="G270" s="5">
        <v>18817.5</v>
      </c>
      <c r="H270" s="2"/>
      <c r="I270" s="2">
        <v>73.55</v>
      </c>
      <c r="J270" s="2">
        <v>0.99</v>
      </c>
      <c r="K270" s="2"/>
      <c r="L270" s="2"/>
      <c r="M270" s="26">
        <f>Таблица2[[#This Row],[Сумма Долл]]*Таблица2[[#This Row],[Курс ДОЛЛ]]</f>
        <v>1384027.125</v>
      </c>
      <c r="N27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1398007.196969697</v>
      </c>
      <c r="O27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18840.554383337872</v>
      </c>
      <c r="P27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13980.071969697019</v>
      </c>
      <c r="Q270" s="30">
        <v>1398007.2</v>
      </c>
      <c r="R270" s="12">
        <f>Таблица2[[#This Row],[Сумма в руб]]-Таблица2[[#This Row],[Оплата от клиента]]</f>
        <v>-3.0303029343485832E-3</v>
      </c>
      <c r="S270" s="32">
        <v>44519</v>
      </c>
      <c r="T270" s="32" t="s">
        <v>130</v>
      </c>
      <c r="U270" s="24" t="s">
        <v>31</v>
      </c>
      <c r="V270" s="2"/>
      <c r="W270" s="28">
        <v>73.459999999999994</v>
      </c>
      <c r="X270" s="9">
        <v>18817.5</v>
      </c>
      <c r="Y270" s="16"/>
      <c r="Z270" s="2"/>
      <c r="AA270" s="26">
        <f>Таблица2[[#This Row],[Сумма перевода Долл/Евро]]*Таблица2[[#This Row],[Курс ДОЛЛ перевод]]+Таблица2[[#This Row],[Сумма за перевод руб]]</f>
        <v>1396313.6219696968</v>
      </c>
      <c r="AB27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23.054383337872423</v>
      </c>
      <c r="AC270" s="41" t="s">
        <v>529</v>
      </c>
      <c r="AD270" s="41"/>
    </row>
    <row r="271" spans="1:30" ht="30" x14ac:dyDescent="0.25">
      <c r="A271" s="6">
        <v>44516</v>
      </c>
      <c r="B271" s="29" t="s">
        <v>397</v>
      </c>
      <c r="C271" s="29" t="s">
        <v>396</v>
      </c>
      <c r="D271" s="4" t="s">
        <v>401</v>
      </c>
      <c r="E271" s="1"/>
      <c r="F271" s="3"/>
      <c r="G271" s="5">
        <v>32970</v>
      </c>
      <c r="H271" s="2"/>
      <c r="I271" s="2">
        <v>73.55</v>
      </c>
      <c r="J271" s="2">
        <v>0.97</v>
      </c>
      <c r="K271" s="2"/>
      <c r="L271" s="2"/>
      <c r="M271" s="26">
        <f>Таблица2[[#This Row],[Сумма Долл]]*Таблица2[[#This Row],[Курс ДОЛЛ]]</f>
        <v>2424943.5</v>
      </c>
      <c r="N27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2499941.7525773197</v>
      </c>
      <c r="O27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32844.961397805768</v>
      </c>
      <c r="P27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74998.252577319741</v>
      </c>
      <c r="Q271" s="30">
        <v>2499941.75</v>
      </c>
      <c r="R271" s="12">
        <f>Таблица2[[#This Row],[Сумма в руб]]-Таблица2[[#This Row],[Оплата от клиента]]</f>
        <v>2.5773197412490845E-3</v>
      </c>
      <c r="S271" s="32">
        <v>44517</v>
      </c>
      <c r="T271" s="32" t="s">
        <v>130</v>
      </c>
      <c r="U271" s="24" t="s">
        <v>31</v>
      </c>
      <c r="V271" s="2"/>
      <c r="W271" s="28">
        <v>73.83</v>
      </c>
      <c r="X271" s="9">
        <v>32970</v>
      </c>
      <c r="Y271" s="16"/>
      <c r="Z271" s="2"/>
      <c r="AA271" s="26">
        <f>Таблица2[[#This Row],[Сумма перевода Долл/Евро]]*Таблица2[[#This Row],[Курс ДОЛЛ перевод]]+Таблица2[[#This Row],[Сумма за перевод руб]]</f>
        <v>2509173.3525773198</v>
      </c>
      <c r="AB27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-125.03860219423223</v>
      </c>
      <c r="AC271" s="9" t="s">
        <v>1066</v>
      </c>
      <c r="AD271" s="49" t="s">
        <v>400</v>
      </c>
    </row>
    <row r="272" spans="1:30" ht="45" x14ac:dyDescent="0.25">
      <c r="A272" s="6">
        <v>44516</v>
      </c>
      <c r="B272" s="29" t="s">
        <v>186</v>
      </c>
      <c r="C272" s="29" t="s">
        <v>187</v>
      </c>
      <c r="D272" s="4" t="s">
        <v>439</v>
      </c>
      <c r="E272" s="1"/>
      <c r="F272" s="3"/>
      <c r="G272" s="5">
        <v>3000</v>
      </c>
      <c r="H272" s="2"/>
      <c r="I272" s="2">
        <v>73.55</v>
      </c>
      <c r="J272" s="2"/>
      <c r="K272" s="2">
        <v>80</v>
      </c>
      <c r="L272" s="2"/>
      <c r="M272" s="26">
        <f>Таблица2[[#This Row],[Сумма Долл]]*Таблица2[[#This Row],[Курс ДОЛЛ]]</f>
        <v>220650</v>
      </c>
      <c r="N27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226534</v>
      </c>
      <c r="O27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2988.6225111743192</v>
      </c>
      <c r="P27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5906.4</v>
      </c>
      <c r="Q272" s="30">
        <v>226534</v>
      </c>
      <c r="R272" s="12">
        <f>Таблица2[[#This Row],[Сумма в руб]]-Таблица2[[#This Row],[Оплата от клиента]]</f>
        <v>0</v>
      </c>
      <c r="S272" s="32">
        <v>44517</v>
      </c>
      <c r="T272" s="32" t="s">
        <v>130</v>
      </c>
      <c r="U272" s="24" t="s">
        <v>31</v>
      </c>
      <c r="V272" s="2"/>
      <c r="W272" s="28">
        <v>73.83</v>
      </c>
      <c r="X272" s="9"/>
      <c r="Y272" s="16"/>
      <c r="Z272" s="2"/>
      <c r="AA272" s="26">
        <f>Таблица2[[#This Row],[Сумма перевода Долл/Евро]]*Таблица2[[#This Row],[Курс ДОЛЛ перевод]]+Таблица2[[#This Row],[Сумма за перевод руб]]</f>
        <v>5906.4</v>
      </c>
      <c r="AB27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2988.6225111743192</v>
      </c>
      <c r="AC272" s="9"/>
      <c r="AD272" s="49" t="s">
        <v>398</v>
      </c>
    </row>
    <row r="273" spans="1:30" ht="30" x14ac:dyDescent="0.25">
      <c r="A273" s="6">
        <v>44516</v>
      </c>
      <c r="B273" s="29" t="s">
        <v>250</v>
      </c>
      <c r="C273" s="29" t="s">
        <v>354</v>
      </c>
      <c r="D273" s="4" t="s">
        <v>399</v>
      </c>
      <c r="E273" s="1"/>
      <c r="F273" s="3"/>
      <c r="G273" s="5">
        <v>2608</v>
      </c>
      <c r="H273" s="2"/>
      <c r="I273" s="2">
        <v>73.55</v>
      </c>
      <c r="J273" s="2">
        <v>0.97</v>
      </c>
      <c r="K273" s="2"/>
      <c r="L273" s="2"/>
      <c r="M273" s="26">
        <f>Таблица2[[#This Row],[Сумма Долл]]*Таблица2[[#This Row],[Курс ДОЛЛ]]</f>
        <v>191818.4</v>
      </c>
      <c r="N27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197750.92783505155</v>
      </c>
      <c r="O27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2611.1952082766134</v>
      </c>
      <c r="P27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5932.5278350515582</v>
      </c>
      <c r="Q273" s="30">
        <v>197750.93</v>
      </c>
      <c r="R273" s="12">
        <f>Таблица2[[#This Row],[Сумма в руб]]-Таблица2[[#This Row],[Оплата от клиента]]</f>
        <v>-2.1649484406225383E-3</v>
      </c>
      <c r="S273" s="32">
        <v>44519</v>
      </c>
      <c r="T273" s="32" t="s">
        <v>130</v>
      </c>
      <c r="U273" s="24" t="s">
        <v>31</v>
      </c>
      <c r="V273" s="2"/>
      <c r="W273" s="28">
        <v>73.459999999999994</v>
      </c>
      <c r="X273" s="9">
        <v>2608</v>
      </c>
      <c r="Y273" s="16"/>
      <c r="Z273" s="2"/>
      <c r="AA273" s="26">
        <f>Таблица2[[#This Row],[Сумма перевода Долл/Евро]]*Таблица2[[#This Row],[Курс ДОЛЛ перевод]]+Таблица2[[#This Row],[Сумма за перевод руб]]</f>
        <v>197516.20783505155</v>
      </c>
      <c r="AB27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3.1952082766133572</v>
      </c>
      <c r="AC273" s="9" t="s">
        <v>555</v>
      </c>
      <c r="AD273" s="41"/>
    </row>
    <row r="274" spans="1:30" ht="30" x14ac:dyDescent="0.25">
      <c r="A274" s="6">
        <v>44518</v>
      </c>
      <c r="B274" s="29" t="s">
        <v>404</v>
      </c>
      <c r="C274" s="29" t="s">
        <v>405</v>
      </c>
      <c r="D274" s="4" t="s">
        <v>406</v>
      </c>
      <c r="E274" s="1"/>
      <c r="F274" s="3">
        <v>33100</v>
      </c>
      <c r="G274" s="5">
        <f>Таблица2[[#This Row],[Сумма ЮА]]/Таблица2[[#This Row],[Курс ЮА]]</f>
        <v>5179.9687010954622</v>
      </c>
      <c r="H274" s="2">
        <v>6.39</v>
      </c>
      <c r="I274" s="2">
        <v>73.59</v>
      </c>
      <c r="J274" s="2">
        <v>0.94</v>
      </c>
      <c r="K274" s="2"/>
      <c r="L274" s="2"/>
      <c r="M274" s="26">
        <f>Таблица2[[#This Row],[Сумма Долл]]*Таблица2[[#This Row],[Курс ДОЛЛ]]</f>
        <v>381193.8967136151</v>
      </c>
      <c r="N27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405525.42203576077</v>
      </c>
      <c r="O27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5142.2352180441812</v>
      </c>
      <c r="P27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24331.525322145666</v>
      </c>
      <c r="Q274" s="30">
        <v>405525.42</v>
      </c>
      <c r="R274" s="12">
        <f>Таблица2[[#This Row],[Сумма в руб]]-Таблица2[[#This Row],[Оплата от клиента]]</f>
        <v>2.0357607863843441E-3</v>
      </c>
      <c r="S274" s="32"/>
      <c r="T274" s="32" t="s">
        <v>107</v>
      </c>
      <c r="U274" s="24" t="s">
        <v>31</v>
      </c>
      <c r="V274" s="2">
        <v>6.33</v>
      </c>
      <c r="W274" s="28">
        <v>74.13</v>
      </c>
      <c r="X274" s="9">
        <v>5179.97</v>
      </c>
      <c r="Y274" s="16">
        <v>32789.21</v>
      </c>
      <c r="Z274" s="2"/>
      <c r="AA274" s="26">
        <f>Таблица2[[#This Row],[Сумма перевода Долл/Евро]]*Таблица2[[#This Row],[Курс ДОЛЛ перевод]]+Таблица2[[#This Row],[Сумма за перевод руб]]</f>
        <v>408322.70142214565</v>
      </c>
      <c r="AB27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-37.734766158030652</v>
      </c>
      <c r="AC274" s="9" t="s">
        <v>596</v>
      </c>
      <c r="AD274" s="49" t="s">
        <v>407</v>
      </c>
    </row>
    <row r="275" spans="1:30" ht="45" x14ac:dyDescent="0.25">
      <c r="A275" s="6">
        <v>44518</v>
      </c>
      <c r="B275" s="29" t="s">
        <v>390</v>
      </c>
      <c r="C275" s="29" t="s">
        <v>210</v>
      </c>
      <c r="D275" s="4" t="s">
        <v>410</v>
      </c>
      <c r="E275" s="1"/>
      <c r="F275" s="3"/>
      <c r="G275" s="5">
        <v>2718</v>
      </c>
      <c r="H275" s="2"/>
      <c r="I275" s="2">
        <v>73.59</v>
      </c>
      <c r="J275" s="2">
        <v>0.98499999999999999</v>
      </c>
      <c r="K275" s="2"/>
      <c r="L275" s="2"/>
      <c r="M275" s="26">
        <f>Таблица2[[#This Row],[Сумма Долл]]*Таблица2[[#This Row],[Курс ДОЛЛ]]</f>
        <v>200017.62</v>
      </c>
      <c r="N27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203063.57360406092</v>
      </c>
      <c r="O27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2722.8099646065889</v>
      </c>
      <c r="P27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3045.9536040609237</v>
      </c>
      <c r="Q275" s="30">
        <v>203063.57</v>
      </c>
      <c r="R275" s="12">
        <f>Таблица2[[#This Row],[Сумма в руб]]-Таблица2[[#This Row],[Оплата от клиента]]</f>
        <v>3.6040609120391309E-3</v>
      </c>
      <c r="S275" s="32">
        <v>44519</v>
      </c>
      <c r="T275" s="32" t="s">
        <v>164</v>
      </c>
      <c r="U275" s="24" t="s">
        <v>31</v>
      </c>
      <c r="V275" s="2"/>
      <c r="W275" s="28">
        <v>73.459999999999994</v>
      </c>
      <c r="X275" s="9">
        <v>2718</v>
      </c>
      <c r="Y275" s="16"/>
      <c r="Z275" s="10">
        <v>44519</v>
      </c>
      <c r="AA275" s="26">
        <f>Таблица2[[#This Row],[Сумма перевода Долл/Евро]]*Таблица2[[#This Row],[Курс ДОЛЛ перевод]]+Таблица2[[#This Row],[Сумма за перевод руб]]</f>
        <v>202710.23360406089</v>
      </c>
      <c r="AB27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4.8099646065888919</v>
      </c>
      <c r="AC275" s="9"/>
      <c r="AD275" s="49" t="s">
        <v>412</v>
      </c>
    </row>
    <row r="276" spans="1:30" ht="60" x14ac:dyDescent="0.25">
      <c r="A276" s="6">
        <v>44518</v>
      </c>
      <c r="B276" s="29" t="s">
        <v>32</v>
      </c>
      <c r="C276" s="29" t="s">
        <v>33</v>
      </c>
      <c r="D276" s="4" t="s">
        <v>512</v>
      </c>
      <c r="E276" s="1"/>
      <c r="F276" s="3"/>
      <c r="G276" s="5">
        <v>6605.4</v>
      </c>
      <c r="H276" s="2"/>
      <c r="I276" s="2">
        <v>73.59</v>
      </c>
      <c r="J276" s="2">
        <v>0.99</v>
      </c>
      <c r="K276" s="2"/>
      <c r="L276" s="2"/>
      <c r="M276" s="26">
        <f>Таблица2[[#This Row],[Сумма Долл]]*Таблица2[[#This Row],[Курс ДОЛЛ]]</f>
        <v>486091.386</v>
      </c>
      <c r="N27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491001.4</v>
      </c>
      <c r="O27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6617.0893819765861</v>
      </c>
      <c r="P27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4910.0140000000247</v>
      </c>
      <c r="Q276" s="30">
        <v>491001.4</v>
      </c>
      <c r="R276" s="12">
        <f>Таблица2[[#This Row],[Сумма в руб]]-Таблица2[[#This Row],[Оплата от клиента]]</f>
        <v>0</v>
      </c>
      <c r="S276" s="32">
        <v>44519</v>
      </c>
      <c r="T276" s="32" t="s">
        <v>130</v>
      </c>
      <c r="U276" s="24" t="s">
        <v>31</v>
      </c>
      <c r="V276" s="2"/>
      <c r="W276" s="28">
        <v>73.459999999999994</v>
      </c>
      <c r="X276" s="9">
        <v>6605.4</v>
      </c>
      <c r="Y276" s="16"/>
      <c r="Z276" s="2"/>
      <c r="AA276" s="26">
        <f>Таблица2[[#This Row],[Сумма перевода Долл/Евро]]*Таблица2[[#This Row],[Курс ДОЛЛ перевод]]+Таблица2[[#This Row],[Сумма за перевод руб]]</f>
        <v>490142.69799999997</v>
      </c>
      <c r="AB27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11.689381976586446</v>
      </c>
      <c r="AC276" s="41" t="s">
        <v>525</v>
      </c>
      <c r="AD276" s="41"/>
    </row>
    <row r="277" spans="1:30" ht="60" x14ac:dyDescent="0.25">
      <c r="A277" s="6">
        <v>44518</v>
      </c>
      <c r="B277" s="2" t="s">
        <v>89</v>
      </c>
      <c r="C277" s="2" t="s">
        <v>330</v>
      </c>
      <c r="D277" s="1" t="s">
        <v>408</v>
      </c>
      <c r="E277" s="1"/>
      <c r="F277" s="3"/>
      <c r="G277" s="5">
        <v>8065.68</v>
      </c>
      <c r="H277" s="2"/>
      <c r="I277" s="2">
        <v>73.59</v>
      </c>
      <c r="J277" s="2">
        <v>0.97</v>
      </c>
      <c r="K277" s="2"/>
      <c r="L277" s="2"/>
      <c r="M277" s="26">
        <f>Таблица2[[#This Row],[Сумма Долл]]*Таблица2[[#This Row],[Курс ДОЛЛ]]</f>
        <v>593553.39120000007</v>
      </c>
      <c r="N27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611910.7125773197</v>
      </c>
      <c r="O27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7661.7192616496723</v>
      </c>
      <c r="P27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18357.321377319633</v>
      </c>
      <c r="Q277" s="30">
        <v>611910.71</v>
      </c>
      <c r="R277" s="12">
        <f>Таблица2[[#This Row],[Сумма в руб]]-Таблица2[[#This Row],[Оплата от клиента]]</f>
        <v>2.5773197412490845E-3</v>
      </c>
      <c r="S277" s="32">
        <v>44575</v>
      </c>
      <c r="T277" s="32" t="s">
        <v>130</v>
      </c>
      <c r="U277" s="24" t="s">
        <v>31</v>
      </c>
      <c r="V277" s="2"/>
      <c r="W277" s="28">
        <v>77.47</v>
      </c>
      <c r="X277" s="9">
        <v>8065</v>
      </c>
      <c r="Y277" s="16"/>
      <c r="Z277" s="10">
        <v>44575</v>
      </c>
      <c r="AA277" s="26">
        <f>Таблица2[[#This Row],[Сумма перевода Долл/Евро]]*Таблица2[[#This Row],[Курс ДОЛЛ перевод]]+Таблица2[[#This Row],[Сумма за перевод руб]]</f>
        <v>643152.87137731968</v>
      </c>
      <c r="AB27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-403.28073835032774</v>
      </c>
      <c r="AC277" s="9" t="s">
        <v>672</v>
      </c>
      <c r="AD277" s="49" t="s">
        <v>554</v>
      </c>
    </row>
    <row r="278" spans="1:30" ht="30" x14ac:dyDescent="0.25">
      <c r="A278" s="6">
        <v>44518</v>
      </c>
      <c r="B278" s="29" t="s">
        <v>289</v>
      </c>
      <c r="C278" s="29" t="s">
        <v>103</v>
      </c>
      <c r="D278" s="4" t="s">
        <v>409</v>
      </c>
      <c r="E278" s="1"/>
      <c r="F278" s="3"/>
      <c r="G278" s="5">
        <v>4400</v>
      </c>
      <c r="H278" s="3"/>
      <c r="I278" s="2">
        <v>73.709999999999994</v>
      </c>
      <c r="J278" s="2">
        <v>0.97</v>
      </c>
      <c r="K278" s="2"/>
      <c r="L278" s="2"/>
      <c r="M278" s="26">
        <f>Таблица2[[#This Row],[Сумма Долл]]*Таблица2[[#This Row],[Курс ДОЛЛ]]</f>
        <v>324324</v>
      </c>
      <c r="N27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334354.63917525776</v>
      </c>
      <c r="O27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4414.9741355839915</v>
      </c>
      <c r="P27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10030.639175257762</v>
      </c>
      <c r="Q278" s="30">
        <v>334354.64</v>
      </c>
      <c r="R278" s="12">
        <f>Таблица2[[#This Row],[Сумма в руб]]-Таблица2[[#This Row],[Оплата от клиента]]</f>
        <v>-8.2474225200712681E-4</v>
      </c>
      <c r="S278" s="32">
        <v>44519</v>
      </c>
      <c r="T278" s="32" t="s">
        <v>130</v>
      </c>
      <c r="U278" s="24" t="s">
        <v>31</v>
      </c>
      <c r="V278" s="2"/>
      <c r="W278" s="28">
        <v>73.459999999999994</v>
      </c>
      <c r="X278" s="9">
        <v>4400</v>
      </c>
      <c r="Y278" s="16"/>
      <c r="Z278" s="2"/>
      <c r="AA278" s="26">
        <f>Таблица2[[#This Row],[Сумма перевода Долл/Евро]]*Таблица2[[#This Row],[Курс ДОЛЛ перевод]]+Таблица2[[#This Row],[Сумма за перевод руб]]</f>
        <v>333254.63917525776</v>
      </c>
      <c r="AB27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14.974135583991483</v>
      </c>
      <c r="AC278" s="9" t="s">
        <v>518</v>
      </c>
      <c r="AD278" s="41"/>
    </row>
    <row r="279" spans="1:30" ht="30" x14ac:dyDescent="0.25">
      <c r="A279" s="6">
        <v>44519</v>
      </c>
      <c r="B279" s="29" t="s">
        <v>59</v>
      </c>
      <c r="C279" s="29" t="s">
        <v>435</v>
      </c>
      <c r="D279" s="4" t="s">
        <v>411</v>
      </c>
      <c r="E279" s="1"/>
      <c r="F279" s="3"/>
      <c r="G279" s="5">
        <v>2664</v>
      </c>
      <c r="H279" s="2"/>
      <c r="I279" s="2">
        <v>73.900000000000006</v>
      </c>
      <c r="J279" s="2">
        <v>0.99</v>
      </c>
      <c r="K279" s="2"/>
      <c r="L279" s="2"/>
      <c r="M279" s="26">
        <f>Таблица2[[#This Row],[Сумма Долл]]*Таблица2[[#This Row],[Курс ДОЛЛ]]</f>
        <v>196869.6</v>
      </c>
      <c r="N27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198858.18181818182</v>
      </c>
      <c r="O27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2604.0952380952385</v>
      </c>
      <c r="P27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1988.5818181818177</v>
      </c>
      <c r="Q279" s="30">
        <v>198858.18</v>
      </c>
      <c r="R279" s="12">
        <f>Таблица2[[#This Row],[Сумма в руб]]-Таблица2[[#This Row],[Оплата от клиента]]</f>
        <v>1.818181830458343E-3</v>
      </c>
      <c r="S279" s="32">
        <v>44525</v>
      </c>
      <c r="T279" s="32" t="s">
        <v>164</v>
      </c>
      <c r="U279" s="24" t="s">
        <v>31</v>
      </c>
      <c r="V279" s="2"/>
      <c r="W279" s="28">
        <v>75.599999999999994</v>
      </c>
      <c r="X279" s="9">
        <v>2664</v>
      </c>
      <c r="Y279" s="16"/>
      <c r="Z279" s="10">
        <v>44525</v>
      </c>
      <c r="AA279" s="26">
        <f>Таблица2[[#This Row],[Сумма перевода Долл/Евро]]*Таблица2[[#This Row],[Курс ДОЛЛ перевод]]+Таблица2[[#This Row],[Сумма за перевод руб]]</f>
        <v>203386.98181818181</v>
      </c>
      <c r="AB27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-59.904761904761472</v>
      </c>
      <c r="AC279" s="9" t="s">
        <v>627</v>
      </c>
      <c r="AD279" s="41"/>
    </row>
    <row r="280" spans="1:30" x14ac:dyDescent="0.25">
      <c r="A280" s="6">
        <v>44519</v>
      </c>
      <c r="B280" s="38" t="s">
        <v>403</v>
      </c>
      <c r="C280" s="38" t="s">
        <v>168</v>
      </c>
      <c r="D280" s="54" t="s">
        <v>413</v>
      </c>
      <c r="E280" s="1"/>
      <c r="F280" s="3"/>
      <c r="G280" s="5">
        <v>1500</v>
      </c>
      <c r="H280" s="2">
        <v>6.4</v>
      </c>
      <c r="I280" s="2">
        <v>74.150000000000006</v>
      </c>
      <c r="J280" s="2">
        <v>0.94</v>
      </c>
      <c r="K280" s="2"/>
      <c r="L280" s="2"/>
      <c r="M280" s="26">
        <f>Таблица2[[#This Row],[Сумма Долл]]*Таблица2[[#This Row],[Курс ДОЛЛ]]</f>
        <v>111225.00000000001</v>
      </c>
      <c r="N28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118324.4680851064</v>
      </c>
      <c r="O28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1500</v>
      </c>
      <c r="P28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7099.4680851063895</v>
      </c>
      <c r="Q280" s="30">
        <v>118324.47</v>
      </c>
      <c r="R280" s="12">
        <f>Таблица2[[#This Row],[Сумма в руб]]-Таблица2[[#This Row],[Оплата от клиента]]</f>
        <v>-1.914893597131595E-3</v>
      </c>
      <c r="S280" s="32"/>
      <c r="T280" s="32" t="s">
        <v>107</v>
      </c>
      <c r="U280" s="24" t="s">
        <v>31</v>
      </c>
      <c r="V280" s="2">
        <v>6.3574999999999999</v>
      </c>
      <c r="W280" s="28">
        <v>74.150000000000006</v>
      </c>
      <c r="X280" s="9">
        <v>1500</v>
      </c>
      <c r="Y280" s="16">
        <v>9600</v>
      </c>
      <c r="Z280" s="2"/>
      <c r="AA280" s="26">
        <f>Таблица2[[#This Row],[Сумма перевода Долл/Евро]]*Таблица2[[#This Row],[Курс ДОЛЛ перевод]]+Таблица2[[#This Row],[Сумма за перевод руб]]</f>
        <v>118324.4680851064</v>
      </c>
      <c r="AB28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-10.027526543452723</v>
      </c>
      <c r="AC280" s="9" t="s">
        <v>560</v>
      </c>
      <c r="AD280" s="49" t="s">
        <v>414</v>
      </c>
    </row>
    <row r="281" spans="1:30" x14ac:dyDescent="0.25">
      <c r="A281" s="6">
        <v>44522</v>
      </c>
      <c r="B281" s="2" t="s">
        <v>416</v>
      </c>
      <c r="C281" s="2" t="s">
        <v>430</v>
      </c>
      <c r="D281" s="1" t="s">
        <v>417</v>
      </c>
      <c r="E281" s="1"/>
      <c r="F281" s="3"/>
      <c r="G281" s="5">
        <v>29853</v>
      </c>
      <c r="H281" s="2"/>
      <c r="I281" s="2">
        <v>75.010000000000005</v>
      </c>
      <c r="J281" s="2">
        <v>0.97</v>
      </c>
      <c r="K281" s="2"/>
      <c r="L281" s="2"/>
      <c r="M281" s="26">
        <f>Таблица2[[#This Row],[Сумма Долл]]*Таблица2[[#This Row],[Курс ДОЛЛ]]</f>
        <v>2239273.5300000003</v>
      </c>
      <c r="N28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2308529.4123711344</v>
      </c>
      <c r="O28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29352.123869445539</v>
      </c>
      <c r="P28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69255.882371134125</v>
      </c>
      <c r="Q281" s="30">
        <f>2203000+463000</f>
        <v>2666000</v>
      </c>
      <c r="R281" s="12">
        <f>Таблица2[[#This Row],[Сумма в руб]]-Таблица2[[#This Row],[Оплата от клиента]]</f>
        <v>-357470.58762886561</v>
      </c>
      <c r="S281" s="32">
        <v>44526</v>
      </c>
      <c r="T281" s="32" t="s">
        <v>164</v>
      </c>
      <c r="U281" s="24" t="s">
        <v>31</v>
      </c>
      <c r="V281" s="2"/>
      <c r="W281" s="28">
        <v>76.290000000000006</v>
      </c>
      <c r="X281" s="9">
        <v>29853</v>
      </c>
      <c r="Y281" s="16"/>
      <c r="Z281" s="2"/>
      <c r="AA281" s="26">
        <f>Таблица2[[#This Row],[Сумма перевода Долл/Евро]]*Таблица2[[#This Row],[Курс ДОЛЛ перевод]]+Таблица2[[#This Row],[Сумма за перевод руб]]</f>
        <v>2346741.2523711342</v>
      </c>
      <c r="AB28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-500.87613055446127</v>
      </c>
      <c r="AC281" s="9"/>
      <c r="AD281" s="49" t="s">
        <v>429</v>
      </c>
    </row>
    <row r="282" spans="1:30" ht="30" x14ac:dyDescent="0.25">
      <c r="A282" s="6">
        <v>44522</v>
      </c>
      <c r="B282" s="29" t="s">
        <v>197</v>
      </c>
      <c r="C282" s="29" t="s">
        <v>198</v>
      </c>
      <c r="D282" s="4" t="s">
        <v>418</v>
      </c>
      <c r="E282" s="1"/>
      <c r="F282" s="3"/>
      <c r="G282" s="5">
        <v>3912.12</v>
      </c>
      <c r="H282" s="2"/>
      <c r="I282" s="2">
        <v>75.010000000000005</v>
      </c>
      <c r="J282" s="2">
        <v>0.97</v>
      </c>
      <c r="K282" s="2"/>
      <c r="L282" s="2"/>
      <c r="M282" s="26">
        <f>Таблица2[[#This Row],[Сумма Долл]]*Таблица2[[#This Row],[Курс ДОЛЛ]]</f>
        <v>293448.12119999999</v>
      </c>
      <c r="N28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302523.83628865978</v>
      </c>
      <c r="O28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3881.5889047619048</v>
      </c>
      <c r="P28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9075.715088659781</v>
      </c>
      <c r="Q282" s="30">
        <v>302523.84000000003</v>
      </c>
      <c r="R282" s="12">
        <f>Таблица2[[#This Row],[Сумма в руб]]-Таблица2[[#This Row],[Оплата от клиента]]</f>
        <v>-3.7113402504473925E-3</v>
      </c>
      <c r="S282" s="32">
        <v>44523</v>
      </c>
      <c r="T282" s="32" t="s">
        <v>130</v>
      </c>
      <c r="U282" s="24" t="s">
        <v>31</v>
      </c>
      <c r="V282" s="2"/>
      <c r="W282" s="28">
        <v>75.599999999999994</v>
      </c>
      <c r="X282" s="9">
        <v>3912.12</v>
      </c>
      <c r="Y282" s="16"/>
      <c r="Z282" s="2"/>
      <c r="AA282" s="26">
        <f>Таблица2[[#This Row],[Сумма перевода Долл/Евро]]*Таблица2[[#This Row],[Курс ДОЛЛ перевод]]+Таблица2[[#This Row],[Сумма за перевод руб]]</f>
        <v>304831.98708865978</v>
      </c>
      <c r="AB28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-30.531095238095077</v>
      </c>
      <c r="AC282" s="41" t="s">
        <v>527</v>
      </c>
      <c r="AD282" s="41"/>
    </row>
    <row r="283" spans="1:30" ht="30" x14ac:dyDescent="0.25">
      <c r="A283" s="6">
        <v>44522</v>
      </c>
      <c r="B283" s="29" t="s">
        <v>289</v>
      </c>
      <c r="C283" s="29" t="s">
        <v>103</v>
      </c>
      <c r="D283" s="4" t="s">
        <v>419</v>
      </c>
      <c r="E283" s="1"/>
      <c r="F283" s="3"/>
      <c r="G283" s="5">
        <v>4678</v>
      </c>
      <c r="H283" s="2"/>
      <c r="I283" s="2">
        <v>75.010000000000005</v>
      </c>
      <c r="J283" s="2">
        <v>0.97</v>
      </c>
      <c r="K283" s="2"/>
      <c r="L283" s="2"/>
      <c r="M283" s="26">
        <f>Таблица2[[#This Row],[Сумма Долл]]*Таблица2[[#This Row],[Курс ДОЛЛ]]</f>
        <v>350896.78</v>
      </c>
      <c r="N283" s="24">
        <v>361760</v>
      </c>
      <c r="O28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4641.4917989418</v>
      </c>
      <c r="P28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10863.219999999972</v>
      </c>
      <c r="Q283" s="30">
        <v>361760</v>
      </c>
      <c r="R283" s="12">
        <f>Таблица2[[#This Row],[Сумма в руб]]-Таблица2[[#This Row],[Оплата от клиента]]</f>
        <v>0</v>
      </c>
      <c r="S283" s="32">
        <v>44523</v>
      </c>
      <c r="T283" s="32" t="s">
        <v>130</v>
      </c>
      <c r="U283" s="24" t="s">
        <v>31</v>
      </c>
      <c r="V283" s="2"/>
      <c r="W283" s="28">
        <v>75.599999999999994</v>
      </c>
      <c r="X283" s="9">
        <v>4768</v>
      </c>
      <c r="Y283" s="16"/>
      <c r="Z283" s="2"/>
      <c r="AA283" s="26">
        <f>Таблица2[[#This Row],[Сумма перевода Долл/Евро]]*Таблица2[[#This Row],[Курс ДОЛЛ перевод]]+Таблица2[[#This Row],[Сумма за перевод руб]]</f>
        <v>371324.01999999996</v>
      </c>
      <c r="AB28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-126.50820105820003</v>
      </c>
      <c r="AC283" s="9" t="s">
        <v>518</v>
      </c>
      <c r="AD283" s="41"/>
    </row>
    <row r="284" spans="1:30" ht="30" x14ac:dyDescent="0.25">
      <c r="A284" s="6">
        <v>44522</v>
      </c>
      <c r="B284" s="29" t="s">
        <v>289</v>
      </c>
      <c r="C284" s="29" t="s">
        <v>103</v>
      </c>
      <c r="D284" s="4" t="s">
        <v>420</v>
      </c>
      <c r="E284" s="1"/>
      <c r="F284" s="3"/>
      <c r="G284" s="5">
        <v>3096</v>
      </c>
      <c r="H284" s="2"/>
      <c r="I284" s="2">
        <v>75.010000000000005</v>
      </c>
      <c r="J284" s="2">
        <v>0.97</v>
      </c>
      <c r="K284" s="2"/>
      <c r="L284" s="2"/>
      <c r="M284" s="26">
        <f>Таблица2[[#This Row],[Сумма Долл]]*Таблица2[[#This Row],[Курс ДОЛЛ]]</f>
        <v>232230.96000000002</v>
      </c>
      <c r="N284" s="24">
        <v>239440</v>
      </c>
      <c r="O28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3071.8380952380958</v>
      </c>
      <c r="P28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7209.039999999979</v>
      </c>
      <c r="Q284" s="30">
        <v>239440</v>
      </c>
      <c r="R284" s="12">
        <f>Таблица2[[#This Row],[Сумма в руб]]-Таблица2[[#This Row],[Оплата от клиента]]</f>
        <v>0</v>
      </c>
      <c r="S284" s="32">
        <v>44523</v>
      </c>
      <c r="T284" s="32" t="s">
        <v>130</v>
      </c>
      <c r="U284" s="24" t="s">
        <v>31</v>
      </c>
      <c r="V284" s="2"/>
      <c r="W284" s="28">
        <v>75.599999999999994</v>
      </c>
      <c r="X284" s="9">
        <v>3096</v>
      </c>
      <c r="Y284" s="16"/>
      <c r="Z284" s="2"/>
      <c r="AA284" s="26">
        <f>Таблица2[[#This Row],[Сумма перевода Долл/Евро]]*Таблица2[[#This Row],[Курс ДОЛЛ перевод]]+Таблица2[[#This Row],[Сумма за перевод руб]]</f>
        <v>241266.63999999996</v>
      </c>
      <c r="AB28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-24.161904761904225</v>
      </c>
      <c r="AC284" s="9" t="s">
        <v>518</v>
      </c>
      <c r="AD284" s="41"/>
    </row>
    <row r="285" spans="1:30" ht="30" x14ac:dyDescent="0.25">
      <c r="A285" s="6">
        <v>44522</v>
      </c>
      <c r="B285" s="29" t="s">
        <v>393</v>
      </c>
      <c r="C285" s="29" t="s">
        <v>64</v>
      </c>
      <c r="D285" s="4" t="s">
        <v>421</v>
      </c>
      <c r="E285" s="1"/>
      <c r="F285" s="3"/>
      <c r="G285" s="5">
        <v>4734</v>
      </c>
      <c r="H285" s="2"/>
      <c r="I285" s="2">
        <v>75.73</v>
      </c>
      <c r="J285" s="2">
        <v>0.98</v>
      </c>
      <c r="K285" s="2"/>
      <c r="L285" s="2"/>
      <c r="M285" s="26">
        <f>Таблица2[[#This Row],[Сумма Долл]]*Таблица2[[#This Row],[Курс ДОЛЛ]]</f>
        <v>358505.82</v>
      </c>
      <c r="N28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365822.26530612248</v>
      </c>
      <c r="O28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4742.1404761904769</v>
      </c>
      <c r="P28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7316.4453061224776</v>
      </c>
      <c r="Q285" s="30">
        <v>365822.27</v>
      </c>
      <c r="R285" s="12">
        <f>Таблица2[[#This Row],[Сумма в руб]]-Таблица2[[#This Row],[Оплата от клиента]]</f>
        <v>-4.6938775340095162E-3</v>
      </c>
      <c r="S285" s="32">
        <v>44523</v>
      </c>
      <c r="T285" s="32" t="s">
        <v>130</v>
      </c>
      <c r="U285" s="24" t="s">
        <v>31</v>
      </c>
      <c r="V285" s="2"/>
      <c r="W285" s="28">
        <v>75.599999999999994</v>
      </c>
      <c r="X285" s="9">
        <v>4734</v>
      </c>
      <c r="Y285" s="16"/>
      <c r="Z285" s="2"/>
      <c r="AA285" s="26">
        <f>Таблица2[[#This Row],[Сумма перевода Долл/Евро]]*Таблица2[[#This Row],[Курс ДОЛЛ перевод]]+Таблица2[[#This Row],[Сумма за перевод руб]]</f>
        <v>365206.84530612244</v>
      </c>
      <c r="AB28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8.1404761904768748</v>
      </c>
      <c r="AC285" s="9"/>
      <c r="AD285" s="41" t="s">
        <v>422</v>
      </c>
    </row>
    <row r="286" spans="1:30" ht="75" x14ac:dyDescent="0.25">
      <c r="A286" s="6">
        <v>44523</v>
      </c>
      <c r="B286" s="29" t="s">
        <v>298</v>
      </c>
      <c r="C286" s="29" t="s">
        <v>56</v>
      </c>
      <c r="D286" s="4" t="s">
        <v>423</v>
      </c>
      <c r="E286" s="1"/>
      <c r="F286" s="3"/>
      <c r="G286" s="5">
        <v>823</v>
      </c>
      <c r="H286" s="2"/>
      <c r="I286" s="2">
        <v>75.8</v>
      </c>
      <c r="J286" s="2">
        <v>0.97</v>
      </c>
      <c r="K286" s="2"/>
      <c r="L286" s="2"/>
      <c r="M286" s="26">
        <f>Таблица2[[#This Row],[Сумма Долл]]*Таблица2[[#This Row],[Курс ДОЛЛ]]</f>
        <v>62383.399999999994</v>
      </c>
      <c r="N28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64312.783505154635</v>
      </c>
      <c r="O28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830.67110519307585</v>
      </c>
      <c r="P28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1929.3835051546412</v>
      </c>
      <c r="Q286" s="30">
        <v>64312.79</v>
      </c>
      <c r="R286" s="12">
        <f>Таблица2[[#This Row],[Сумма в руб]]-Таблица2[[#This Row],[Оплата от клиента]]</f>
        <v>-6.4948453655233607E-3</v>
      </c>
      <c r="S286" s="32">
        <v>44524</v>
      </c>
      <c r="T286" s="32" t="s">
        <v>130</v>
      </c>
      <c r="U286" s="24" t="s">
        <v>31</v>
      </c>
      <c r="V286" s="2"/>
      <c r="W286" s="28">
        <v>75.099999999999994</v>
      </c>
      <c r="X286" s="9">
        <v>823</v>
      </c>
      <c r="Y286" s="16"/>
      <c r="Z286" s="2"/>
      <c r="AA286" s="26">
        <f>Таблица2[[#This Row],[Сумма перевода Долл/Евро]]*Таблица2[[#This Row],[Курс ДОЛЛ перевод]]+Таблица2[[#This Row],[Сумма за перевод руб]]</f>
        <v>63736.683505154637</v>
      </c>
      <c r="AB28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7.6711051930758458</v>
      </c>
      <c r="AC286" s="9" t="s">
        <v>545</v>
      </c>
      <c r="AD286" s="49" t="s">
        <v>444</v>
      </c>
    </row>
    <row r="287" spans="1:30" ht="45" x14ac:dyDescent="0.25">
      <c r="A287" s="6">
        <v>44523</v>
      </c>
      <c r="B287" s="2" t="s">
        <v>72</v>
      </c>
      <c r="C287" s="2" t="s">
        <v>73</v>
      </c>
      <c r="D287" s="1" t="s">
        <v>424</v>
      </c>
      <c r="E287" s="1"/>
      <c r="F287" s="3"/>
      <c r="G287" s="5">
        <v>15875.5</v>
      </c>
      <c r="H287" s="2">
        <v>6.4</v>
      </c>
      <c r="I287" s="2">
        <v>75.09</v>
      </c>
      <c r="J287" s="2">
        <v>0.95</v>
      </c>
      <c r="K287" s="2"/>
      <c r="L287" s="2"/>
      <c r="M287" s="26">
        <f>Таблица2[[#This Row],[Сумма Долл]]*Таблица2[[#This Row],[Курс ДОЛЛ]]</f>
        <v>1192091.2950000002</v>
      </c>
      <c r="N287" s="24">
        <v>1255000</v>
      </c>
      <c r="O28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15873.38608521971</v>
      </c>
      <c r="P28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62908.704999999842</v>
      </c>
      <c r="Q287" s="30">
        <v>1255000</v>
      </c>
      <c r="R287" s="12">
        <f>Таблица2[[#This Row],[Сумма в руб]]-Таблица2[[#This Row],[Оплата от клиента]]</f>
        <v>0</v>
      </c>
      <c r="S287" s="32">
        <v>44530</v>
      </c>
      <c r="T287" s="32" t="s">
        <v>382</v>
      </c>
      <c r="U287" s="24" t="s">
        <v>31</v>
      </c>
      <c r="V287" s="2">
        <v>6.3574999999999999</v>
      </c>
      <c r="W287" s="28">
        <v>75.099999999999994</v>
      </c>
      <c r="X287" s="9">
        <v>15875.5</v>
      </c>
      <c r="Y287" s="16">
        <v>100928.49</v>
      </c>
      <c r="Z287" s="10">
        <v>44524</v>
      </c>
      <c r="AA287" s="26">
        <f>Таблица2[[#This Row],[Сумма перевода Долл/Евро]]*Таблица2[[#This Row],[Курс ДОЛЛ перевод]]+Таблица2[[#This Row],[Сумма за перевод руб]]</f>
        <v>1255158.7549999997</v>
      </c>
      <c r="AB28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-2.1137181621234049</v>
      </c>
      <c r="AC287" s="9"/>
      <c r="AD287" s="41"/>
    </row>
    <row r="288" spans="1:30" x14ac:dyDescent="0.25">
      <c r="A288" s="6">
        <v>44525</v>
      </c>
      <c r="B288" s="2" t="s">
        <v>427</v>
      </c>
      <c r="C288" s="2" t="s">
        <v>428</v>
      </c>
      <c r="D288" s="1" t="s">
        <v>30</v>
      </c>
      <c r="E288" s="1"/>
      <c r="F288" s="3"/>
      <c r="G288" s="5">
        <v>4250</v>
      </c>
      <c r="H288" s="2"/>
      <c r="I288" s="2">
        <v>75.739999999999995</v>
      </c>
      <c r="J288" s="38">
        <v>0.95</v>
      </c>
      <c r="K288" s="2">
        <v>100</v>
      </c>
      <c r="L288" s="2"/>
      <c r="M288" s="26">
        <f>Таблица2[[#This Row],[Сумма Долл]]*Таблица2[[#This Row],[Курс ДОЛЛ]]</f>
        <v>321895</v>
      </c>
      <c r="N288" s="24">
        <f>(Таблица2[[#This Row],[Сумма Долл]]*Таблица2[[#This Row],[Курс ДОЛЛ]]/Таблица2[[#This Row],[% за перевод]])+(Таблица2[[#This Row],[Долл за перевод]]*Таблица2[[#This Row],[Курс ДОЛЛ]])</f>
        <v>346410.84210526315</v>
      </c>
      <c r="O28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4324.8018272202062</v>
      </c>
      <c r="P288" s="12" t="b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288" s="30">
        <v>346410.84</v>
      </c>
      <c r="R288" s="12">
        <f>Таблица2[[#This Row],[Сумма в руб]]-Таблица2[[#This Row],[Оплата от клиента]]</f>
        <v>2.1052631200291216E-3</v>
      </c>
      <c r="S288" s="32">
        <v>44558</v>
      </c>
      <c r="T288" s="32" t="s">
        <v>164</v>
      </c>
      <c r="U288" s="24" t="s">
        <v>31</v>
      </c>
      <c r="V288" s="2"/>
      <c r="W288" s="28">
        <v>74.430000000000007</v>
      </c>
      <c r="X288" s="9">
        <v>4250</v>
      </c>
      <c r="Y288" s="16"/>
      <c r="Z288" s="2"/>
      <c r="AA288" s="26">
        <f>Таблица2[[#This Row],[Сумма перевода Долл/Евро]]*Таблица2[[#This Row],[Курс ДОЛЛ перевод]]+Таблица2[[#This Row],[Сумма за перевод руб]]</f>
        <v>316327.5</v>
      </c>
      <c r="AB28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74.801827220206178</v>
      </c>
      <c r="AC288" s="9" t="s">
        <v>640</v>
      </c>
      <c r="AD288" s="41"/>
    </row>
    <row r="289" spans="1:30" x14ac:dyDescent="0.25">
      <c r="A289" s="6">
        <v>44526</v>
      </c>
      <c r="B289" s="29" t="s">
        <v>126</v>
      </c>
      <c r="C289" s="29" t="s">
        <v>52</v>
      </c>
      <c r="D289" s="4" t="s">
        <v>372</v>
      </c>
      <c r="E289" s="1"/>
      <c r="F289" s="3"/>
      <c r="G289" s="5">
        <v>4000</v>
      </c>
      <c r="H289" s="2"/>
      <c r="I289" s="2">
        <v>76.78</v>
      </c>
      <c r="J289" s="2">
        <v>0.98</v>
      </c>
      <c r="K289" s="2"/>
      <c r="L289" s="2"/>
      <c r="M289" s="26">
        <f>Таблица2[[#This Row],[Сумма Долл]]*Таблица2[[#This Row],[Курс ДОЛЛ]]</f>
        <v>307120</v>
      </c>
      <c r="N28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313387.75510204083</v>
      </c>
      <c r="O28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4005.2164840897231</v>
      </c>
      <c r="P28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6267.7551020408282</v>
      </c>
      <c r="Q289" s="30">
        <v>313387.67</v>
      </c>
      <c r="R289" s="12">
        <f>Таблица2[[#This Row],[Сумма в руб]]-Таблица2[[#This Row],[Оплата от клиента]]</f>
        <v>8.510204084450379E-2</v>
      </c>
      <c r="S289" s="32">
        <v>44529</v>
      </c>
      <c r="T289" s="32" t="s">
        <v>130</v>
      </c>
      <c r="U289" s="24" t="s">
        <v>31</v>
      </c>
      <c r="V289" s="2"/>
      <c r="W289" s="28">
        <v>76.680000000000007</v>
      </c>
      <c r="X289" s="9">
        <v>4000</v>
      </c>
      <c r="Y289" s="16"/>
      <c r="Z289" s="10">
        <v>44529</v>
      </c>
      <c r="AA289" s="26">
        <f>Таблица2[[#This Row],[Сумма перевода Долл/Евро]]*Таблица2[[#This Row],[Курс ДОЛЛ перевод]]+Таблица2[[#This Row],[Сумма за перевод руб]]</f>
        <v>312987.75510204083</v>
      </c>
      <c r="AB28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5.2164840897230533</v>
      </c>
      <c r="AC289" s="9" t="s">
        <v>446</v>
      </c>
      <c r="AD289" s="41"/>
    </row>
    <row r="290" spans="1:30" x14ac:dyDescent="0.25">
      <c r="A290" s="6">
        <v>44529</v>
      </c>
      <c r="B290" s="38" t="s">
        <v>431</v>
      </c>
      <c r="C290" s="38" t="s">
        <v>168</v>
      </c>
      <c r="D290" s="54" t="s">
        <v>433</v>
      </c>
      <c r="E290" s="1"/>
      <c r="F290" s="3">
        <v>8624</v>
      </c>
      <c r="G290" s="5">
        <v>1353.84</v>
      </c>
      <c r="H290" s="2">
        <v>6.37</v>
      </c>
      <c r="I290" s="2">
        <v>75.88</v>
      </c>
      <c r="J290" s="2">
        <v>0.94</v>
      </c>
      <c r="K290" s="2"/>
      <c r="L290" s="2"/>
      <c r="M290" s="26">
        <f>Таблица2[[#This Row],[Сумма Долл]]*Таблица2[[#This Row],[Курс ДОЛЛ]]</f>
        <v>102729.37919999998</v>
      </c>
      <c r="N29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109286.57361702126</v>
      </c>
      <c r="O29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1384.4929811320751</v>
      </c>
      <c r="P29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6557.194417021281</v>
      </c>
      <c r="Q290" s="30">
        <v>109286.57</v>
      </c>
      <c r="R290" s="12">
        <f>Таблица2[[#This Row],[Сумма в руб]]-Таблица2[[#This Row],[Оплата от клиента]]</f>
        <v>3.6170212551951408E-3</v>
      </c>
      <c r="S290" s="32"/>
      <c r="T290" s="32" t="s">
        <v>382</v>
      </c>
      <c r="U290" s="24" t="s">
        <v>31</v>
      </c>
      <c r="V290" s="2">
        <v>6.359</v>
      </c>
      <c r="W290" s="28">
        <v>74.2</v>
      </c>
      <c r="X290" s="9">
        <v>1353.84</v>
      </c>
      <c r="Y290" s="16">
        <v>8642</v>
      </c>
      <c r="Z290" s="2"/>
      <c r="AA290" s="26">
        <f>Таблица2[[#This Row],[Сумма перевода Долл/Евро]]*Таблица2[[#This Row],[Курс ДОЛЛ перевод]]+Таблица2[[#This Row],[Сумма за перевод руб]]</f>
        <v>107012.12241702128</v>
      </c>
      <c r="AB29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25.474267497855863</v>
      </c>
      <c r="AC290" s="9"/>
      <c r="AD290" s="41"/>
    </row>
    <row r="291" spans="1:30" ht="30" x14ac:dyDescent="0.25">
      <c r="A291" s="6">
        <v>44530</v>
      </c>
      <c r="B291" s="29" t="s">
        <v>55</v>
      </c>
      <c r="C291" s="29" t="s">
        <v>56</v>
      </c>
      <c r="D291" s="4" t="s">
        <v>434</v>
      </c>
      <c r="E291" s="1"/>
      <c r="F291" s="3"/>
      <c r="G291" s="5">
        <v>1095</v>
      </c>
      <c r="H291" s="2"/>
      <c r="I291" s="2">
        <v>75.7</v>
      </c>
      <c r="J291" s="2">
        <v>0.97</v>
      </c>
      <c r="K291" s="2"/>
      <c r="L291" s="2"/>
      <c r="M291" s="26">
        <f>Таблица2[[#This Row],[Сумма Долл]]*Таблица2[[#This Row],[Курс ДОЛЛ]]</f>
        <v>82891.5</v>
      </c>
      <c r="N29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85455.154639175264</v>
      </c>
      <c r="O29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1110.8482980434198</v>
      </c>
      <c r="P29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2563.6546391752636</v>
      </c>
      <c r="Q291" s="30">
        <v>85455.15</v>
      </c>
      <c r="R291" s="12">
        <f>Таблица2[[#This Row],[Сумма в руб]]-Таблица2[[#This Row],[Оплата от клиента]]</f>
        <v>4.6391752694034949E-3</v>
      </c>
      <c r="S291" s="32">
        <v>44531</v>
      </c>
      <c r="T291" s="32" t="s">
        <v>130</v>
      </c>
      <c r="U291" s="24" t="s">
        <v>31</v>
      </c>
      <c r="V291" s="2"/>
      <c r="W291" s="28">
        <v>74.62</v>
      </c>
      <c r="X291" s="9">
        <v>1095</v>
      </c>
      <c r="Y291" s="16"/>
      <c r="Z291" s="2"/>
      <c r="AA291" s="26">
        <f>Таблица2[[#This Row],[Сумма перевода Долл/Евро]]*Таблица2[[#This Row],[Курс ДОЛЛ перевод]]+Таблица2[[#This Row],[Сумма за перевод руб]]</f>
        <v>84272.554639175272</v>
      </c>
      <c r="AB29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15.848298043419845</v>
      </c>
      <c r="AC291" s="9" t="s">
        <v>545</v>
      </c>
      <c r="AD291" s="49" t="s">
        <v>443</v>
      </c>
    </row>
    <row r="292" spans="1:30" x14ac:dyDescent="0.25">
      <c r="A292" s="6">
        <v>44530</v>
      </c>
      <c r="B292" s="29" t="s">
        <v>431</v>
      </c>
      <c r="C292" s="29" t="s">
        <v>168</v>
      </c>
      <c r="D292" s="4" t="s">
        <v>432</v>
      </c>
      <c r="E292" s="1"/>
      <c r="F292" s="3"/>
      <c r="G292" s="5">
        <v>3537.73</v>
      </c>
      <c r="H292" s="2">
        <v>6.36</v>
      </c>
      <c r="I292" s="2">
        <v>75.83</v>
      </c>
      <c r="J292" s="2">
        <v>0.97</v>
      </c>
      <c r="K292" s="2"/>
      <c r="L292" s="2"/>
      <c r="M292" s="26">
        <f>Таблица2[[#This Row],[Сумма Долл]]*Таблица2[[#This Row],[Курс ДОЛЛ]]</f>
        <v>268266.06589999999</v>
      </c>
      <c r="N29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276562.95453608246</v>
      </c>
      <c r="O29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3595.0960318949337</v>
      </c>
      <c r="P29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8296.888636082469</v>
      </c>
      <c r="Q292" s="30">
        <v>276562.95</v>
      </c>
      <c r="R292" s="12">
        <f>Таблица2[[#This Row],[Сумма в руб]]-Таблица2[[#This Row],[Оплата от клиента]]</f>
        <v>4.5360824442468584E-3</v>
      </c>
      <c r="S292" s="32">
        <v>44531</v>
      </c>
      <c r="T292" s="32" t="s">
        <v>130</v>
      </c>
      <c r="U292" s="24" t="s">
        <v>31</v>
      </c>
      <c r="V292" s="2"/>
      <c r="W292" s="28">
        <v>74.62</v>
      </c>
      <c r="X292" s="9">
        <v>3537.73</v>
      </c>
      <c r="Y292" s="16"/>
      <c r="Z292" s="2"/>
      <c r="AA292" s="26">
        <f>Таблица2[[#This Row],[Сумма перевода Долл/Евро]]*Таблица2[[#This Row],[Курс ДОЛЛ перевод]]+Таблица2[[#This Row],[Сумма за перевод руб]]</f>
        <v>272282.30123608251</v>
      </c>
      <c r="AB29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57.366031894933712</v>
      </c>
      <c r="AC292" s="9"/>
      <c r="AD292" s="49" t="s">
        <v>530</v>
      </c>
    </row>
    <row r="293" spans="1:30" x14ac:dyDescent="0.25">
      <c r="A293" s="6">
        <v>44530</v>
      </c>
      <c r="B293" s="29" t="s">
        <v>72</v>
      </c>
      <c r="C293" s="29" t="s">
        <v>73</v>
      </c>
      <c r="D293" s="1"/>
      <c r="E293" s="1"/>
      <c r="F293" s="3">
        <v>100000</v>
      </c>
      <c r="G293" s="5">
        <v>15723.27</v>
      </c>
      <c r="H293" s="2">
        <v>6.36</v>
      </c>
      <c r="I293" s="2">
        <v>75.83</v>
      </c>
      <c r="J293" s="2">
        <v>0.95</v>
      </c>
      <c r="K293" s="2"/>
      <c r="L293" s="2"/>
      <c r="M293" s="26">
        <f>Таблица2[[#This Row],[Сумма Долл]]*Таблица2[[#This Row],[Курс ДОЛЛ]]</f>
        <v>1192295.5641000001</v>
      </c>
      <c r="N29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1255047.9622105265</v>
      </c>
      <c r="O29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15978.230556151166</v>
      </c>
      <c r="P29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62752.398110526381</v>
      </c>
      <c r="Q293" s="30">
        <v>1255047.96</v>
      </c>
      <c r="R293" s="12">
        <f>Таблица2[[#This Row],[Сумма в руб]]-Таблица2[[#This Row],[Оплата от клиента]]</f>
        <v>2.2105264943093061E-3</v>
      </c>
      <c r="S293" s="32">
        <v>44208</v>
      </c>
      <c r="T293" s="32" t="s">
        <v>382</v>
      </c>
      <c r="U293" s="24" t="s">
        <v>31</v>
      </c>
      <c r="V293" s="2">
        <v>6.34</v>
      </c>
      <c r="W293" s="28">
        <v>74.62</v>
      </c>
      <c r="X293" s="9">
        <v>15723.27</v>
      </c>
      <c r="Y293" s="16">
        <v>100000</v>
      </c>
      <c r="Z293" s="10">
        <v>44208</v>
      </c>
      <c r="AA293" s="26">
        <f>Таблица2[[#This Row],[Сумма перевода Долл/Евро]]*Таблица2[[#This Row],[Курс ДОЛЛ перевод]]+Таблица2[[#This Row],[Сумма за перевод руб]]</f>
        <v>1236022.8055105265</v>
      </c>
      <c r="AB29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205.35989369059826</v>
      </c>
      <c r="AC293" s="9"/>
      <c r="AD293" s="1">
        <v>117</v>
      </c>
    </row>
    <row r="294" spans="1:30" x14ac:dyDescent="0.25">
      <c r="A294" s="6">
        <v>44532</v>
      </c>
      <c r="B294" s="29" t="s">
        <v>126</v>
      </c>
      <c r="C294" s="29" t="s">
        <v>52</v>
      </c>
      <c r="D294" s="4" t="s">
        <v>372</v>
      </c>
      <c r="E294" s="1"/>
      <c r="F294" s="3"/>
      <c r="G294" s="5">
        <v>4000</v>
      </c>
      <c r="H294" s="2"/>
      <c r="I294" s="2">
        <v>74.87</v>
      </c>
      <c r="J294" s="2">
        <v>0.98</v>
      </c>
      <c r="K294" s="2"/>
      <c r="L294" s="2"/>
      <c r="M294" s="26">
        <f>Таблица2[[#This Row],[Сумма Долл]]*Таблица2[[#This Row],[Курс ДОЛЛ]]</f>
        <v>299480</v>
      </c>
      <c r="N29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305591.8367346939</v>
      </c>
      <c r="O29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4029.6017222820242</v>
      </c>
      <c r="P29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6111.8367346939049</v>
      </c>
      <c r="Q294" s="30">
        <v>305591.84000000003</v>
      </c>
      <c r="R294" s="12">
        <f>Таблица2[[#This Row],[Сумма в руб]]-Таблица2[[#This Row],[Оплата от клиента]]</f>
        <v>-3.2653061207383871E-3</v>
      </c>
      <c r="S294" s="32">
        <v>44533</v>
      </c>
      <c r="T294" s="32" t="s">
        <v>130</v>
      </c>
      <c r="U294" s="24" t="s">
        <v>31</v>
      </c>
      <c r="V294" s="2"/>
      <c r="W294" s="28">
        <v>74.319999999999993</v>
      </c>
      <c r="X294" s="9">
        <v>4000</v>
      </c>
      <c r="Y294" s="16"/>
      <c r="Z294" s="10">
        <v>44533</v>
      </c>
      <c r="AA294" s="26">
        <f>Таблица2[[#This Row],[Сумма перевода Долл/Евро]]*Таблица2[[#This Row],[Курс ДОЛЛ перевод]]+Таблица2[[#This Row],[Сумма за перевод руб]]</f>
        <v>303391.8367346939</v>
      </c>
      <c r="AB29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29.601722282024184</v>
      </c>
      <c r="AC294" s="9" t="s">
        <v>579</v>
      </c>
      <c r="AD294" s="41"/>
    </row>
    <row r="295" spans="1:30" ht="105" x14ac:dyDescent="0.25">
      <c r="A295" s="6">
        <v>44533</v>
      </c>
      <c r="B295" s="29" t="s">
        <v>186</v>
      </c>
      <c r="C295" s="29" t="s">
        <v>187</v>
      </c>
      <c r="D295" s="4" t="s">
        <v>438</v>
      </c>
      <c r="E295" s="1"/>
      <c r="F295" s="3"/>
      <c r="G295" s="5">
        <v>2341.81</v>
      </c>
      <c r="H295" s="2"/>
      <c r="I295" s="2">
        <v>75.25</v>
      </c>
      <c r="J295" s="2"/>
      <c r="K295" s="2">
        <v>80</v>
      </c>
      <c r="L295" s="2"/>
      <c r="M295" s="26">
        <f>Таблица2[[#This Row],[Сумма Долл]]*Таблица2[[#This Row],[Курс ДОЛЛ]]</f>
        <v>176221.20249999998</v>
      </c>
      <c r="N29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182241.20249999998</v>
      </c>
      <c r="O29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2348.0506662225184</v>
      </c>
      <c r="P29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6004</v>
      </c>
      <c r="Q295" s="30">
        <v>182241.2</v>
      </c>
      <c r="R295" s="12">
        <f>Таблица2[[#This Row],[Сумма в руб]]-Таблица2[[#This Row],[Оплата от клиента]]</f>
        <v>2.499999973224476E-3</v>
      </c>
      <c r="S295" s="32">
        <v>44550</v>
      </c>
      <c r="T295" s="32" t="s">
        <v>130</v>
      </c>
      <c r="U295" s="24" t="s">
        <v>31</v>
      </c>
      <c r="V295" s="2"/>
      <c r="W295" s="28">
        <v>75.05</v>
      </c>
      <c r="X295" s="9">
        <v>2341.81</v>
      </c>
      <c r="Y295" s="16"/>
      <c r="Z295" s="2"/>
      <c r="AA295" s="26">
        <f>Таблица2[[#This Row],[Сумма перевода Долл/Евро]]*Таблица2[[#This Row],[Курс ДОЛЛ перевод]]+Таблица2[[#This Row],[Сумма за перевод руб]]</f>
        <v>181756.84049999999</v>
      </c>
      <c r="AB29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6.2406662225184846</v>
      </c>
      <c r="AC295" s="9"/>
      <c r="AD295" s="41" t="s">
        <v>489</v>
      </c>
    </row>
    <row r="296" spans="1:30" ht="45" x14ac:dyDescent="0.25">
      <c r="A296" s="6">
        <v>44536</v>
      </c>
      <c r="B296" s="29" t="s">
        <v>57</v>
      </c>
      <c r="C296" s="29" t="s">
        <v>58</v>
      </c>
      <c r="D296" s="4" t="s">
        <v>440</v>
      </c>
      <c r="E296" s="1"/>
      <c r="F296" s="3"/>
      <c r="G296" s="5">
        <v>5000</v>
      </c>
      <c r="H296" s="2"/>
      <c r="I296" s="2">
        <v>74.72</v>
      </c>
      <c r="J296" s="2"/>
      <c r="K296" s="2">
        <v>80</v>
      </c>
      <c r="L296" s="2"/>
      <c r="M296" s="26">
        <f>Таблица2[[#This Row],[Сумма Долл]]*Таблица2[[#This Row],[Курс ДОЛЛ]]</f>
        <v>373600</v>
      </c>
      <c r="N29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379577.59999999998</v>
      </c>
      <c r="O29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5006.7006164567138</v>
      </c>
      <c r="P29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5969.6</v>
      </c>
      <c r="Q296" s="30">
        <v>379577.59999999998</v>
      </c>
      <c r="R296" s="12">
        <f>Таблица2[[#This Row],[Сумма в руб]]-Таблица2[[#This Row],[Оплата от клиента]]</f>
        <v>0</v>
      </c>
      <c r="S296" s="32">
        <v>44536</v>
      </c>
      <c r="T296" s="32" t="s">
        <v>130</v>
      </c>
      <c r="U296" s="24" t="s">
        <v>31</v>
      </c>
      <c r="V296" s="2"/>
      <c r="W296" s="28">
        <v>74.62</v>
      </c>
      <c r="X296" s="9">
        <v>5000</v>
      </c>
      <c r="Y296" s="16"/>
      <c r="Z296" s="10">
        <v>44536</v>
      </c>
      <c r="AA296" s="26">
        <f>Таблица2[[#This Row],[Сумма перевода Долл/Евро]]*Таблица2[[#This Row],[Курс ДОЛЛ перевод]]+Таблица2[[#This Row],[Сумма за перевод руб]]</f>
        <v>379069.6</v>
      </c>
      <c r="AB29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6.7006164567137603</v>
      </c>
      <c r="AC296" s="9" t="s">
        <v>544</v>
      </c>
      <c r="AD296" s="41" t="s">
        <v>441</v>
      </c>
    </row>
    <row r="297" spans="1:30" ht="30" x14ac:dyDescent="0.25">
      <c r="A297" s="6">
        <v>44537</v>
      </c>
      <c r="B297" s="29" t="s">
        <v>32</v>
      </c>
      <c r="C297" s="29" t="s">
        <v>33</v>
      </c>
      <c r="D297" s="4" t="s">
        <v>526</v>
      </c>
      <c r="E297" s="1"/>
      <c r="F297" s="3"/>
      <c r="G297" s="5">
        <v>12750</v>
      </c>
      <c r="H297" s="2"/>
      <c r="I297" s="2">
        <v>75.03</v>
      </c>
      <c r="J297" s="2">
        <v>0.99</v>
      </c>
      <c r="K297" s="2"/>
      <c r="L297" s="2"/>
      <c r="M297" s="26">
        <f>Таблица2[[#This Row],[Сумма Долл]]*Таблица2[[#This Row],[Курс ДОЛЛ]]</f>
        <v>956632.5</v>
      </c>
      <c r="N29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966295.45454545459</v>
      </c>
      <c r="O29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12744.904076738609</v>
      </c>
      <c r="P29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9662.9545454545878</v>
      </c>
      <c r="Q297" s="30">
        <v>966295.45</v>
      </c>
      <c r="R297" s="12">
        <f>Таблица2[[#This Row],[Сумма в руб]]-Таблица2[[#This Row],[Оплата от клиента]]</f>
        <v>4.5454546343535185E-3</v>
      </c>
      <c r="S297" s="32">
        <v>44537</v>
      </c>
      <c r="T297" s="32" t="s">
        <v>130</v>
      </c>
      <c r="U297" s="24" t="s">
        <v>31</v>
      </c>
      <c r="V297" s="2"/>
      <c r="W297" s="28">
        <v>75.06</v>
      </c>
      <c r="X297" s="9">
        <v>12750</v>
      </c>
      <c r="Y297" s="16"/>
      <c r="Z297" s="2"/>
      <c r="AA297" s="26">
        <f>Таблица2[[#This Row],[Сумма перевода Долл/Евро]]*Таблица2[[#This Row],[Курс ДОЛЛ перевод]]+Таблица2[[#This Row],[Сумма за перевод руб]]</f>
        <v>966677.95454545459</v>
      </c>
      <c r="AB29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-5.0959232613913628</v>
      </c>
      <c r="AC297" s="41" t="s">
        <v>532</v>
      </c>
      <c r="AD297" s="41" t="s">
        <v>442</v>
      </c>
    </row>
    <row r="298" spans="1:30" ht="45" x14ac:dyDescent="0.25">
      <c r="A298" s="6">
        <v>44537</v>
      </c>
      <c r="B298" s="29" t="s">
        <v>250</v>
      </c>
      <c r="C298" s="29" t="s">
        <v>354</v>
      </c>
      <c r="D298" s="4" t="s">
        <v>445</v>
      </c>
      <c r="E298" s="1"/>
      <c r="F298" s="3"/>
      <c r="G298" s="5">
        <v>1628.09</v>
      </c>
      <c r="H298" s="2"/>
      <c r="I298" s="2">
        <v>75.260000000000005</v>
      </c>
      <c r="J298" s="2"/>
      <c r="K298" s="2">
        <v>80</v>
      </c>
      <c r="L298" s="2"/>
      <c r="M298" s="26">
        <f>Таблица2[[#This Row],[Сумма Долл]]*Таблица2[[#This Row],[Курс ДОЛЛ]]</f>
        <v>122530.0534</v>
      </c>
      <c r="N29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128550.85340000001</v>
      </c>
      <c r="O29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1639.6367375886525</v>
      </c>
      <c r="P29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5978.4000000000005</v>
      </c>
      <c r="Q298" s="30">
        <v>128550.85</v>
      </c>
      <c r="R298" s="12">
        <f>Таблица2[[#This Row],[Сумма в руб]]-Таблица2[[#This Row],[Оплата от клиента]]</f>
        <v>3.4000000014202669E-3</v>
      </c>
      <c r="S298" s="32">
        <v>44539</v>
      </c>
      <c r="T298" s="32" t="s">
        <v>130</v>
      </c>
      <c r="U298" s="24" t="s">
        <v>31</v>
      </c>
      <c r="V298" s="2"/>
      <c r="W298" s="28">
        <v>74.73</v>
      </c>
      <c r="X298" s="9">
        <v>1628.09</v>
      </c>
      <c r="Y298" s="16"/>
      <c r="Z298" s="2"/>
      <c r="AA298" s="26">
        <f>Таблица2[[#This Row],[Сумма перевода Долл/Евро]]*Таблица2[[#This Row],[Курс ДОЛЛ перевод]]+Таблица2[[#This Row],[Сумма за перевод руб]]</f>
        <v>127645.56569999999</v>
      </c>
      <c r="AB29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11.546737588652604</v>
      </c>
      <c r="AC298" s="9" t="s">
        <v>592</v>
      </c>
      <c r="AD298" s="41"/>
    </row>
    <row r="299" spans="1:30" ht="30" x14ac:dyDescent="0.25">
      <c r="A299" s="6">
        <v>44538</v>
      </c>
      <c r="B299" s="29" t="s">
        <v>452</v>
      </c>
      <c r="C299" s="29" t="s">
        <v>447</v>
      </c>
      <c r="D299" s="4" t="s">
        <v>448</v>
      </c>
      <c r="E299" s="1"/>
      <c r="F299" s="3">
        <f>Таблица2[[#This Row],[Сумма Долл]]*Таблица2[[#This Row],[Курс ЮА]]</f>
        <v>4219.0011839999997</v>
      </c>
      <c r="G299" s="5">
        <v>665.45759999999996</v>
      </c>
      <c r="H299" s="2">
        <v>6.34</v>
      </c>
      <c r="I299" s="2">
        <v>74.73</v>
      </c>
      <c r="J299" s="2">
        <v>0.95</v>
      </c>
      <c r="K299" s="2"/>
      <c r="L299" s="2"/>
      <c r="M299" s="26">
        <f>Таблица2[[#This Row],[Сумма Долл]]*Таблица2[[#This Row],[Курс ДОЛЛ]]</f>
        <v>49729.646448</v>
      </c>
      <c r="N29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52346.996261052635</v>
      </c>
      <c r="O29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667.96032838146402</v>
      </c>
      <c r="P29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2617.349813052635</v>
      </c>
      <c r="Q299" s="30">
        <v>54347</v>
      </c>
      <c r="R299" s="12">
        <f>Таблица2[[#This Row],[Сумма в руб]]-Таблица2[[#This Row],[Оплата от клиента]]</f>
        <v>-2000.0037389473655</v>
      </c>
      <c r="S299" s="32"/>
      <c r="T299" s="32" t="s">
        <v>382</v>
      </c>
      <c r="U299" s="24" t="s">
        <v>31</v>
      </c>
      <c r="V299" s="2">
        <v>6.34</v>
      </c>
      <c r="W299" s="28">
        <v>74.45</v>
      </c>
      <c r="X299" s="9">
        <v>665.46</v>
      </c>
      <c r="Y299" s="16">
        <v>4513</v>
      </c>
      <c r="Z299" s="2"/>
      <c r="AA299" s="26">
        <f>Таблица2[[#This Row],[Сумма перевода Долл/Евро]]*Таблица2[[#This Row],[Курс ДОЛЛ перевод]]+Таблица2[[#This Row],[Сумма за перевод руб]]</f>
        <v>52160.846813052638</v>
      </c>
      <c r="AB29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-43.869324615381402</v>
      </c>
      <c r="AC299" s="9" t="s">
        <v>616</v>
      </c>
      <c r="AD299" s="41" t="s">
        <v>467</v>
      </c>
    </row>
    <row r="300" spans="1:30" ht="75" x14ac:dyDescent="0.25">
      <c r="A300" s="6">
        <v>44538</v>
      </c>
      <c r="B300" s="38" t="s">
        <v>117</v>
      </c>
      <c r="C300" s="38" t="s">
        <v>334</v>
      </c>
      <c r="D300" s="54" t="s">
        <v>449</v>
      </c>
      <c r="E300" s="1"/>
      <c r="F300" s="3">
        <v>53550</v>
      </c>
      <c r="G300" s="5">
        <f>Таблица2[[#This Row],[Сумма ЮА]]/Таблица2[[#This Row],[Курс ЮА]]</f>
        <v>8446.372239747634</v>
      </c>
      <c r="H300" s="2">
        <v>6.34</v>
      </c>
      <c r="I300" s="2">
        <v>74.930000000000007</v>
      </c>
      <c r="J300" s="38">
        <v>0.94</v>
      </c>
      <c r="K300" s="2"/>
      <c r="L300" s="2"/>
      <c r="M300" s="26">
        <f>Таблица2[[#This Row],[Сумма Долл]]*Таблица2[[#This Row],[Курс ДОЛЛ]]</f>
        <v>632886.67192429025</v>
      </c>
      <c r="N30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673283.69353647903</v>
      </c>
      <c r="O30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8493.9829811339441</v>
      </c>
      <c r="P30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40397.021612188779</v>
      </c>
      <c r="Q300" s="30">
        <v>673283.69</v>
      </c>
      <c r="R300" s="12">
        <f>Таблица2[[#This Row],[Сумма в руб]]-Таблица2[[#This Row],[Оплата от клиента]]</f>
        <v>3.5364790819585323E-3</v>
      </c>
      <c r="S300" s="32">
        <v>44578</v>
      </c>
      <c r="T300" s="32" t="s">
        <v>382</v>
      </c>
      <c r="U300" s="24" t="s">
        <v>31</v>
      </c>
      <c r="V300" s="2">
        <v>6.33</v>
      </c>
      <c r="W300" s="28">
        <v>74.510000000000005</v>
      </c>
      <c r="X300" s="9">
        <v>8446.3700000000008</v>
      </c>
      <c r="Y300" s="16">
        <v>53550</v>
      </c>
      <c r="Z300" s="10">
        <v>44539</v>
      </c>
      <c r="AA300" s="26">
        <f>Таблица2[[#This Row],[Сумма перевода Долл/Евро]]*Таблица2[[#This Row],[Курс ДОЛЛ перевод]]+Таблица2[[#This Row],[Сумма за перевод руб]]</f>
        <v>669736.05031218892</v>
      </c>
      <c r="AB30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34.26734132351703</v>
      </c>
      <c r="AC300" s="9" t="s">
        <v>596</v>
      </c>
      <c r="AD300" s="41"/>
    </row>
    <row r="301" spans="1:30" ht="30" x14ac:dyDescent="0.25">
      <c r="A301" s="6">
        <v>44538</v>
      </c>
      <c r="B301" s="29" t="s">
        <v>42</v>
      </c>
      <c r="C301" s="29" t="s">
        <v>128</v>
      </c>
      <c r="D301" s="4" t="s">
        <v>450</v>
      </c>
      <c r="E301" s="1"/>
      <c r="F301" s="3"/>
      <c r="G301" s="5">
        <v>39131</v>
      </c>
      <c r="H301" s="2"/>
      <c r="I301" s="2">
        <v>74.650000000000006</v>
      </c>
      <c r="J301" s="2">
        <v>0.98499999999999999</v>
      </c>
      <c r="K301" s="2"/>
      <c r="L301" s="2"/>
      <c r="M301" s="26">
        <f>Таблица2[[#This Row],[Сумма Долл]]*Таблица2[[#This Row],[Курс ДОЛЛ]]</f>
        <v>2921129.1500000004</v>
      </c>
      <c r="N30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2965613.3502538074</v>
      </c>
      <c r="O30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39442.737645152585</v>
      </c>
      <c r="P30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44484.200253807008</v>
      </c>
      <c r="Q301" s="30">
        <v>2965613.35</v>
      </c>
      <c r="R301" s="12">
        <f>Таблица2[[#This Row],[Сумма в руб]]-Таблица2[[#This Row],[Оплата от клиента]]</f>
        <v>2.5380728766322136E-4</v>
      </c>
      <c r="S301" s="32">
        <v>44543</v>
      </c>
      <c r="T301" s="32" t="s">
        <v>130</v>
      </c>
      <c r="U301" s="24" t="s">
        <v>31</v>
      </c>
      <c r="V301" s="2"/>
      <c r="W301" s="28">
        <v>74.06</v>
      </c>
      <c r="X301" s="9">
        <v>39131</v>
      </c>
      <c r="Y301" s="16"/>
      <c r="Z301" s="2"/>
      <c r="AA301" s="26">
        <f>Таблица2[[#This Row],[Сумма перевода Долл/Евро]]*Таблица2[[#This Row],[Курс ДОЛЛ перевод]]+Таблица2[[#This Row],[Сумма за перевод руб]]</f>
        <v>2942526.0602538069</v>
      </c>
      <c r="AB30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311.73764515258517</v>
      </c>
      <c r="AC301" s="9"/>
      <c r="AD301" s="41"/>
    </row>
    <row r="302" spans="1:30" ht="30" x14ac:dyDescent="0.25">
      <c r="A302" s="6">
        <v>44539</v>
      </c>
      <c r="B302" s="50" t="s">
        <v>78</v>
      </c>
      <c r="C302" s="50" t="s">
        <v>79</v>
      </c>
      <c r="D302" s="56" t="s">
        <v>451</v>
      </c>
      <c r="E302" s="1"/>
      <c r="F302" s="3"/>
      <c r="G302" s="5">
        <v>3660</v>
      </c>
      <c r="H302" s="2"/>
      <c r="I302" s="2">
        <v>74.709999999999994</v>
      </c>
      <c r="J302" s="2">
        <v>0.98499999999999999</v>
      </c>
      <c r="K302" s="2"/>
      <c r="L302" s="2"/>
      <c r="M302" s="26">
        <f>Таблица2[[#This Row],[Сумма Долл]]*Таблица2[[#This Row],[Курс ДОЛЛ]]</f>
        <v>273438.59999999998</v>
      </c>
      <c r="N30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277602.63959390862</v>
      </c>
      <c r="O30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3660</v>
      </c>
      <c r="P30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4164.0395939086447</v>
      </c>
      <c r="Q302" s="30">
        <v>277602.64</v>
      </c>
      <c r="R302" s="12">
        <f>Таблица2[[#This Row],[Сумма в руб]]-Таблица2[[#This Row],[Оплата от клиента]]</f>
        <v>-4.0609139250591397E-4</v>
      </c>
      <c r="S302" s="32"/>
      <c r="T302" s="32" t="s">
        <v>164</v>
      </c>
      <c r="U302" s="24"/>
      <c r="V302" s="2"/>
      <c r="W302" s="28"/>
      <c r="X302" s="9"/>
      <c r="Y302" s="16"/>
      <c r="Z302" s="2"/>
      <c r="AA302" s="26">
        <f>Таблица2[[#This Row],[Сумма перевода Долл/Евро]]*Таблица2[[#This Row],[Курс ДОЛЛ перевод]]+Таблица2[[#This Row],[Сумма за перевод руб]]</f>
        <v>4164.0395939086447</v>
      </c>
      <c r="AB30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3660</v>
      </c>
      <c r="AC302" s="9"/>
      <c r="AD302" s="41" t="s">
        <v>575</v>
      </c>
    </row>
    <row r="303" spans="1:30" x14ac:dyDescent="0.25">
      <c r="A303" s="6">
        <v>44539</v>
      </c>
      <c r="B303" s="2" t="s">
        <v>453</v>
      </c>
      <c r="C303" s="2" t="s">
        <v>454</v>
      </c>
      <c r="D303" s="1"/>
      <c r="E303" s="1"/>
      <c r="F303" s="3">
        <v>46800</v>
      </c>
      <c r="G303" s="5">
        <f>Таблица2[[#This Row],[Сумма ЮА]]/Таблица2[[#This Row],[Курс ЮА]]</f>
        <v>7381.7034700315462</v>
      </c>
      <c r="H303" s="2">
        <v>6.34</v>
      </c>
      <c r="I303" s="2">
        <v>74.709999999999994</v>
      </c>
      <c r="J303" s="2">
        <v>0.97</v>
      </c>
      <c r="K303" s="2"/>
      <c r="L303" s="2"/>
      <c r="M303" s="26">
        <f>Таблица2[[#This Row],[Сумма Долл]]*Таблица2[[#This Row],[Курс ДОЛЛ]]</f>
        <v>551487.06624605681</v>
      </c>
      <c r="N30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568543.36726397614</v>
      </c>
      <c r="O30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7381.7034700315471</v>
      </c>
      <c r="P30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17056.301017919322</v>
      </c>
      <c r="Q303" s="30"/>
      <c r="R303" s="12">
        <f>Таблица2[[#This Row],[Сумма в руб]]-Таблица2[[#This Row],[Оплата от клиента]]</f>
        <v>568543.36726397614</v>
      </c>
      <c r="S303" s="32"/>
      <c r="T303" s="32" t="s">
        <v>164</v>
      </c>
      <c r="U303" s="24"/>
      <c r="V303" s="2"/>
      <c r="W303" s="28"/>
      <c r="X303" s="9"/>
      <c r="Y303" s="16"/>
      <c r="Z303" s="2"/>
      <c r="AA303" s="26">
        <f>Таблица2[[#This Row],[Сумма перевода Долл/Евро]]*Таблица2[[#This Row],[Курс ДОЛЛ перевод]]+Таблица2[[#This Row],[Сумма за перевод руб]]</f>
        <v>17056.301017919322</v>
      </c>
      <c r="AB30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7381.7034700315471</v>
      </c>
      <c r="AC303" s="9"/>
      <c r="AD303" s="41" t="s">
        <v>455</v>
      </c>
    </row>
    <row r="304" spans="1:30" ht="30" x14ac:dyDescent="0.25">
      <c r="A304" s="6">
        <v>44540</v>
      </c>
      <c r="B304" s="29" t="s">
        <v>45</v>
      </c>
      <c r="C304" s="29" t="s">
        <v>46</v>
      </c>
      <c r="D304" s="4" t="s">
        <v>456</v>
      </c>
      <c r="E304" s="1"/>
      <c r="F304" s="3"/>
      <c r="G304" s="5">
        <v>11553.45</v>
      </c>
      <c r="H304" s="2"/>
      <c r="I304" s="2">
        <v>74.400000000000006</v>
      </c>
      <c r="J304" s="2">
        <v>0.96499999999999997</v>
      </c>
      <c r="K304" s="2"/>
      <c r="L304" s="2"/>
      <c r="M304" s="26">
        <f>Таблица2[[#This Row],[Сумма Долл]]*Таблица2[[#This Row],[Курс ДОЛЛ]]</f>
        <v>859576.68000000017</v>
      </c>
      <c r="N30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890753.0362694303</v>
      </c>
      <c r="O30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11606.490413178506</v>
      </c>
      <c r="P30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31176.356269430136</v>
      </c>
      <c r="Q304" s="30">
        <v>890753.04</v>
      </c>
      <c r="R304" s="12">
        <f>Таблица2[[#This Row],[Сумма в руб]]-Таблица2[[#This Row],[Оплата от клиента]]</f>
        <v>-3.7305697333067656E-3</v>
      </c>
      <c r="S304" s="32">
        <v>44543</v>
      </c>
      <c r="T304" s="32" t="s">
        <v>130</v>
      </c>
      <c r="U304" s="24" t="s">
        <v>31</v>
      </c>
      <c r="V304" s="2"/>
      <c r="W304" s="28">
        <v>74.06</v>
      </c>
      <c r="X304" s="9">
        <v>11405</v>
      </c>
      <c r="Y304" s="16"/>
      <c r="Z304" s="2"/>
      <c r="AA304" s="26">
        <f>Таблица2[[#This Row],[Сумма перевода Долл/Евро]]*Таблица2[[#This Row],[Курс ДОЛЛ перевод]]+Таблица2[[#This Row],[Сумма за перевод руб]]</f>
        <v>875830.65626943018</v>
      </c>
      <c r="AB30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201.49041317850606</v>
      </c>
      <c r="AC304" s="9"/>
      <c r="AD304" s="41"/>
    </row>
    <row r="305" spans="1:30" ht="30" x14ac:dyDescent="0.25">
      <c r="A305" s="6">
        <v>44540</v>
      </c>
      <c r="B305" s="38" t="s">
        <v>457</v>
      </c>
      <c r="C305" s="38" t="s">
        <v>459</v>
      </c>
      <c r="D305" s="54" t="s">
        <v>458</v>
      </c>
      <c r="E305" s="1"/>
      <c r="F305" s="3">
        <v>4200</v>
      </c>
      <c r="G305" s="5">
        <f>Таблица2[[#This Row],[Сумма ЮА]]/Таблица2[[#This Row],[Курс ЮА]]</f>
        <v>660.37735849056605</v>
      </c>
      <c r="H305" s="2">
        <v>6.36</v>
      </c>
      <c r="I305" s="2">
        <v>74.400000000000006</v>
      </c>
      <c r="J305" s="2">
        <v>0.95</v>
      </c>
      <c r="K305" s="2"/>
      <c r="L305" s="2"/>
      <c r="M305" s="26">
        <f>Таблица2[[#This Row],[Сумма Долл]]*Таблица2[[#This Row],[Курс ДОЛЛ]]</f>
        <v>49132.075471698117</v>
      </c>
      <c r="N30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51717.974180734862</v>
      </c>
      <c r="O30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662.1573513705946</v>
      </c>
      <c r="P30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2585.8987090367445</v>
      </c>
      <c r="Q305" s="30">
        <v>51717.97</v>
      </c>
      <c r="R305" s="12">
        <f>Таблица2[[#This Row],[Сумма в руб]]-Таблица2[[#This Row],[Оплата от клиента]]</f>
        <v>4.1807348607107997E-3</v>
      </c>
      <c r="S305" s="32"/>
      <c r="T305" s="32" t="s">
        <v>107</v>
      </c>
      <c r="U305" s="24" t="s">
        <v>31</v>
      </c>
      <c r="V305" s="2">
        <v>6.3196000000000003</v>
      </c>
      <c r="W305" s="28">
        <v>74.2</v>
      </c>
      <c r="X305" s="9">
        <v>660.38</v>
      </c>
      <c r="Y305" s="16">
        <v>4200</v>
      </c>
      <c r="Z305" s="2"/>
      <c r="AA305" s="26">
        <f>Таблица2[[#This Row],[Сумма перевода Долл/Евро]]*Таблица2[[#This Row],[Курс ДОЛЛ перевод]]+Таблица2[[#This Row],[Сумма за перевод руб]]</f>
        <v>51586.094709036748</v>
      </c>
      <c r="AB30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-2.4416738841683809</v>
      </c>
      <c r="AC305" s="9" t="s">
        <v>596</v>
      </c>
      <c r="AD305" s="41"/>
    </row>
    <row r="306" spans="1:30" ht="30" x14ac:dyDescent="0.25">
      <c r="A306" s="6">
        <v>44543</v>
      </c>
      <c r="B306" s="38" t="s">
        <v>200</v>
      </c>
      <c r="C306" s="38" t="s">
        <v>255</v>
      </c>
      <c r="D306" s="54" t="s">
        <v>471</v>
      </c>
      <c r="E306" s="1"/>
      <c r="F306" s="3"/>
      <c r="G306" s="5">
        <f>950000/Таблица2[[#This Row],[Курс ДОЛЛ]]</f>
        <v>12827.437213070483</v>
      </c>
      <c r="H306" s="2"/>
      <c r="I306" s="2">
        <v>74.06</v>
      </c>
      <c r="J306" s="2">
        <v>0.95</v>
      </c>
      <c r="K306" s="2"/>
      <c r="L306" s="2"/>
      <c r="M306" s="26">
        <f>Таблица2[[#This Row],[Сумма Долл]]*Таблица2[[#This Row],[Курс ДОЛЛ]]</f>
        <v>950000</v>
      </c>
      <c r="N306" s="24">
        <v>1000000</v>
      </c>
      <c r="O30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12760.241773002015</v>
      </c>
      <c r="P30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50000</v>
      </c>
      <c r="Q306" s="30">
        <v>1000000</v>
      </c>
      <c r="R306" s="12">
        <f>Таблица2[[#This Row],[Сумма в руб]]-Таблица2[[#This Row],[Оплата от клиента]]</f>
        <v>0</v>
      </c>
      <c r="S306" s="32">
        <v>44547</v>
      </c>
      <c r="T306" s="32" t="s">
        <v>465</v>
      </c>
      <c r="U306" s="24" t="s">
        <v>31</v>
      </c>
      <c r="V306" s="2"/>
      <c r="W306" s="28">
        <v>74.45</v>
      </c>
      <c r="X306" s="9">
        <v>12827.52</v>
      </c>
      <c r="Y306" s="16"/>
      <c r="Z306" s="2"/>
      <c r="AA306" s="26">
        <f>Таблица2[[#This Row],[Сумма перевода Долл/Евро]]*Таблица2[[#This Row],[Курс ДОЛЛ перевод]]+Таблица2[[#This Row],[Сумма за перевод руб]]</f>
        <v>1005008.8640000001</v>
      </c>
      <c r="AB30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-67.278226997985257</v>
      </c>
      <c r="AC306" s="9"/>
      <c r="AD306" s="41"/>
    </row>
    <row r="307" spans="1:30" x14ac:dyDescent="0.25">
      <c r="A307" s="6">
        <v>44543</v>
      </c>
      <c r="B307" s="29" t="s">
        <v>165</v>
      </c>
      <c r="C307" s="29" t="s">
        <v>572</v>
      </c>
      <c r="D307" s="4" t="s">
        <v>462</v>
      </c>
      <c r="E307" s="1"/>
      <c r="F307" s="3"/>
      <c r="G307" s="5">
        <v>660</v>
      </c>
      <c r="H307" s="2"/>
      <c r="I307" s="2">
        <v>74.260000000000005</v>
      </c>
      <c r="J307" s="2"/>
      <c r="K307" s="2">
        <v>80</v>
      </c>
      <c r="L307" s="2"/>
      <c r="M307" s="26">
        <f>Таблица2[[#This Row],[Сумма Долл]]*Таблица2[[#This Row],[Курс ДОЛЛ]]</f>
        <v>49011.600000000006</v>
      </c>
      <c r="N30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54952.4</v>
      </c>
      <c r="O30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659.28974979822442</v>
      </c>
      <c r="P30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5947.2000000000007</v>
      </c>
      <c r="Q307" s="30">
        <v>54952.4</v>
      </c>
      <c r="R307" s="12">
        <f>Таблица2[[#This Row],[Сумма в руб]]-Таблица2[[#This Row],[Оплата от клиента]]</f>
        <v>0</v>
      </c>
      <c r="S307" s="32">
        <v>44544</v>
      </c>
      <c r="T307" s="32" t="s">
        <v>130</v>
      </c>
      <c r="U307" s="24" t="s">
        <v>31</v>
      </c>
      <c r="V307" s="2"/>
      <c r="W307" s="28">
        <v>74.34</v>
      </c>
      <c r="X307" s="9">
        <v>660</v>
      </c>
      <c r="Y307" s="16"/>
      <c r="Z307" s="2"/>
      <c r="AA307" s="26">
        <f>Таблица2[[#This Row],[Сумма перевода Долл/Евро]]*Таблица2[[#This Row],[Курс ДОЛЛ перевод]]+Таблица2[[#This Row],[Сумма за перевод руб]]</f>
        <v>55011.600000000006</v>
      </c>
      <c r="AB30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-0.71025020177557963</v>
      </c>
      <c r="AC307" s="9" t="s">
        <v>635</v>
      </c>
      <c r="AD307" s="41"/>
    </row>
    <row r="308" spans="1:30" ht="30" x14ac:dyDescent="0.25">
      <c r="A308" s="6">
        <v>44543</v>
      </c>
      <c r="B308" s="29" t="s">
        <v>49</v>
      </c>
      <c r="C308" s="29" t="s">
        <v>50</v>
      </c>
      <c r="D308" s="4" t="s">
        <v>463</v>
      </c>
      <c r="E308" s="1"/>
      <c r="F308" s="3"/>
      <c r="G308" s="5">
        <v>32515.56</v>
      </c>
      <c r="H308" s="2"/>
      <c r="I308" s="2">
        <v>74.260000000000005</v>
      </c>
      <c r="J308" s="2">
        <v>0.98</v>
      </c>
      <c r="K308" s="2"/>
      <c r="L308" s="2"/>
      <c r="M308" s="26">
        <f>Таблица2[[#This Row],[Сумма Долл]]*Таблица2[[#This Row],[Курс ДОЛЛ]]</f>
        <v>2414605.4856000002</v>
      </c>
      <c r="N30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2463883.1485714288</v>
      </c>
      <c r="O30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32480.568813559323</v>
      </c>
      <c r="P30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49277.662971428595</v>
      </c>
      <c r="Q308" s="30">
        <v>2463883.15</v>
      </c>
      <c r="R308" s="12">
        <f>Таблица2[[#This Row],[Сумма в руб]]-Таблица2[[#This Row],[Оплата от клиента]]</f>
        <v>-1.4285710640251637E-3</v>
      </c>
      <c r="S308" s="32">
        <v>44544</v>
      </c>
      <c r="T308" s="32" t="s">
        <v>130</v>
      </c>
      <c r="U308" s="24" t="s">
        <v>31</v>
      </c>
      <c r="V308" s="2"/>
      <c r="W308" s="28">
        <v>74.34</v>
      </c>
      <c r="X308" s="9">
        <v>32515.56</v>
      </c>
      <c r="Y308" s="16"/>
      <c r="Z308" s="2"/>
      <c r="AA308" s="26">
        <f>Таблица2[[#This Row],[Сумма перевода Долл/Евро]]*Таблица2[[#This Row],[Курс ДОЛЛ перевод]]+Таблица2[[#This Row],[Сумма за перевод руб]]</f>
        <v>2466484.3933714288</v>
      </c>
      <c r="AB30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-34.991186440678575</v>
      </c>
      <c r="AC308" s="9"/>
      <c r="AD308" s="41" t="s">
        <v>482</v>
      </c>
    </row>
    <row r="309" spans="1:30" x14ac:dyDescent="0.25">
      <c r="A309" s="6">
        <v>44543</v>
      </c>
      <c r="B309" s="29" t="s">
        <v>431</v>
      </c>
      <c r="C309" s="29" t="s">
        <v>168</v>
      </c>
      <c r="D309" s="1" t="s">
        <v>464</v>
      </c>
      <c r="E309" s="1"/>
      <c r="F309" s="3">
        <v>22876</v>
      </c>
      <c r="G309" s="5">
        <f>Таблица2[[#This Row],[Сумма ЮА]]/Таблица2[[#This Row],[Курс ЮА]]</f>
        <v>3602.5196850393704</v>
      </c>
      <c r="H309" s="2">
        <v>6.35</v>
      </c>
      <c r="I309" s="2">
        <v>74.260000000000005</v>
      </c>
      <c r="J309" s="2">
        <v>0.97</v>
      </c>
      <c r="K309" s="2"/>
      <c r="L309" s="2"/>
      <c r="M309" s="26">
        <f>Таблица2[[#This Row],[Сумма Долл]]*Таблица2[[#This Row],[Курс ДОЛЛ]]</f>
        <v>267523.11181102367</v>
      </c>
      <c r="N30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275797.02248559141</v>
      </c>
      <c r="O30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3585.1395311045785</v>
      </c>
      <c r="P30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8273.9106745677418</v>
      </c>
      <c r="Q309" s="30">
        <v>275797.02</v>
      </c>
      <c r="R309" s="12">
        <f>Таблица2[[#This Row],[Сумма в руб]]-Таблица2[[#This Row],[Оплата от клиента]]</f>
        <v>2.4855913943611085E-3</v>
      </c>
      <c r="S309" s="32">
        <v>44550</v>
      </c>
      <c r="T309" s="32" t="s">
        <v>130</v>
      </c>
      <c r="U309" s="24" t="s">
        <v>31</v>
      </c>
      <c r="V309" s="2"/>
      <c r="W309" s="28">
        <v>74.62</v>
      </c>
      <c r="X309" s="9">
        <v>3602.52</v>
      </c>
      <c r="Y309" s="16"/>
      <c r="Z309" s="2"/>
      <c r="AA309" s="26">
        <f>Таблица2[[#This Row],[Сумма перевода Долл/Евро]]*Таблица2[[#This Row],[Курс ДОЛЛ перевод]]+Таблица2[[#This Row],[Сумма за перевод руб]]</f>
        <v>277093.95307456778</v>
      </c>
      <c r="AB30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-17.380468895421473</v>
      </c>
      <c r="AC309" s="9"/>
      <c r="AD309" s="41"/>
    </row>
    <row r="310" spans="1:30" ht="30" x14ac:dyDescent="0.25">
      <c r="A310" s="6">
        <v>44545</v>
      </c>
      <c r="B310" s="38" t="s">
        <v>55</v>
      </c>
      <c r="C310" s="38" t="s">
        <v>56</v>
      </c>
      <c r="D310" s="11" t="s">
        <v>470</v>
      </c>
      <c r="E310" s="1"/>
      <c r="F310" s="3">
        <v>3200</v>
      </c>
      <c r="G310" s="5">
        <f>Таблица2[[#This Row],[Сумма ЮА]]/Таблица2[[#This Row],[Курс ЮА]]</f>
        <v>503.93700787401576</v>
      </c>
      <c r="H310" s="2">
        <v>6.35</v>
      </c>
      <c r="I310" s="2">
        <v>74.61</v>
      </c>
      <c r="J310" s="2">
        <v>0.94</v>
      </c>
      <c r="K310" s="2"/>
      <c r="L310" s="2"/>
      <c r="M310" s="26">
        <f>Таблица2[[#This Row],[Сумма Долл]]*Таблица2[[#This Row],[Курс ДОЛЛ]]</f>
        <v>37598.740157480315</v>
      </c>
      <c r="N31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39998.659742000338</v>
      </c>
      <c r="O31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506.72156546469427</v>
      </c>
      <c r="P3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2399.9195845200229</v>
      </c>
      <c r="Q310" s="30">
        <v>39998.660000000003</v>
      </c>
      <c r="R310" s="12">
        <f>Таблица2[[#This Row],[Сумма в руб]]-Таблица2[[#This Row],[Оплата от клиента]]</f>
        <v>-2.5799966533668339E-4</v>
      </c>
      <c r="S310" s="32"/>
      <c r="T310" s="32" t="s">
        <v>107</v>
      </c>
      <c r="U310" s="24" t="s">
        <v>31</v>
      </c>
      <c r="V310" s="2">
        <v>6.3196000000000003</v>
      </c>
      <c r="W310" s="28">
        <v>74.2</v>
      </c>
      <c r="X310" s="9">
        <v>503.94</v>
      </c>
      <c r="Y310" s="16">
        <v>3200</v>
      </c>
      <c r="Z310" s="2"/>
      <c r="AA310" s="26">
        <f>Таблица2[[#This Row],[Сумма перевода Долл/Евро]]*Таблица2[[#This Row],[Курс ДОЛЛ перевод]]+Таблица2[[#This Row],[Сумма за перевод руб]]</f>
        <v>39792.267584520021</v>
      </c>
      <c r="AB31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0.36040336582726695</v>
      </c>
      <c r="AC310" s="9" t="s">
        <v>596</v>
      </c>
      <c r="AD310" s="41" t="s">
        <v>469</v>
      </c>
    </row>
    <row r="311" spans="1:30" x14ac:dyDescent="0.25">
      <c r="A311" s="6">
        <v>44545</v>
      </c>
      <c r="B311" s="38" t="s">
        <v>97</v>
      </c>
      <c r="C311" s="38" t="s">
        <v>98</v>
      </c>
      <c r="D311" s="1" t="s">
        <v>432</v>
      </c>
      <c r="E311" s="1"/>
      <c r="F311" s="3">
        <f>Таблица2[[#This Row],[Сумма Долл]]*Таблица2[[#This Row],[Курс ЮА]]</f>
        <v>20113.007269802976</v>
      </c>
      <c r="G311" s="5">
        <f>233743.22/Таблица2[[#This Row],[Курс ДОЛЛ]]</f>
        <v>3132.8671759817721</v>
      </c>
      <c r="H311" s="2">
        <v>6.42</v>
      </c>
      <c r="I311" s="2">
        <v>74.61</v>
      </c>
      <c r="J311" s="2">
        <v>0.94</v>
      </c>
      <c r="K311" s="2"/>
      <c r="L311" s="2"/>
      <c r="M311" s="26" t="s">
        <v>472</v>
      </c>
      <c r="N31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248663.00000000003</v>
      </c>
      <c r="O31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#VALUE!</v>
      </c>
      <c r="P311" s="12" t="e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#VALUE!</v>
      </c>
      <c r="Q311" s="30">
        <v>248663</v>
      </c>
      <c r="R311" s="12">
        <f>Таблица2[[#This Row],[Сумма в руб]]-Таблица2[[#This Row],[Оплата от клиента]]</f>
        <v>0</v>
      </c>
      <c r="S311" s="32"/>
      <c r="T311" s="32" t="s">
        <v>382</v>
      </c>
      <c r="U311" s="24" t="s">
        <v>31</v>
      </c>
      <c r="V311" s="2">
        <v>6.3605</v>
      </c>
      <c r="W311" s="28">
        <v>74.73</v>
      </c>
      <c r="X311" s="9">
        <v>3132.87</v>
      </c>
      <c r="Y311" s="16">
        <v>20113</v>
      </c>
      <c r="Z311" s="2"/>
      <c r="AA311" s="26" t="e">
        <f>Таблица2[[#This Row],[Сумма перевода Долл/Евро]]*Таблица2[[#This Row],[Курс ДОЛЛ перевод]]+Таблица2[[#This Row],[Сумма за перевод руб]]</f>
        <v>#VALUE!</v>
      </c>
      <c r="AB31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#VALUE!</v>
      </c>
      <c r="AC311" s="9"/>
      <c r="AD311" s="41">
        <v>0.06</v>
      </c>
    </row>
    <row r="312" spans="1:30" x14ac:dyDescent="0.25">
      <c r="A312" s="6">
        <v>44545</v>
      </c>
      <c r="B312" s="38" t="s">
        <v>72</v>
      </c>
      <c r="C312" s="38" t="s">
        <v>73</v>
      </c>
      <c r="D312" s="1"/>
      <c r="E312" s="1"/>
      <c r="F312" s="3">
        <f>Таблица2[[#This Row],[Сумма Долл]]*Таблица2[[#This Row],[Курс ЮА]]</f>
        <v>80981.101728990747</v>
      </c>
      <c r="G312" s="5">
        <f>Таблица2[[#This Row],[Сумма в руб]]/Таблица2[[#This Row],[Курс ДОЛЛ]]*0.95</f>
        <v>12732.877630344457</v>
      </c>
      <c r="H312" s="2">
        <v>6.36</v>
      </c>
      <c r="I312" s="2">
        <v>74.61</v>
      </c>
      <c r="J312" s="2">
        <v>0.95</v>
      </c>
      <c r="K312" s="2"/>
      <c r="L312" s="2"/>
      <c r="M312" s="26">
        <f>Таблица2[[#This Row],[Сумма Долл]]*Таблица2[[#This Row],[Курс ДОЛЛ]]</f>
        <v>950000</v>
      </c>
      <c r="N312" s="24">
        <v>1000000</v>
      </c>
      <c r="O31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12765.385649019081</v>
      </c>
      <c r="P3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50000</v>
      </c>
      <c r="Q312" s="30">
        <v>1000000</v>
      </c>
      <c r="R312" s="12">
        <f>Таблица2[[#This Row],[Сумма в руб]]-Таблица2[[#This Row],[Оплата от клиента]]</f>
        <v>0</v>
      </c>
      <c r="S312" s="32">
        <v>44199</v>
      </c>
      <c r="T312" s="32" t="s">
        <v>382</v>
      </c>
      <c r="U312" s="24" t="s">
        <v>31</v>
      </c>
      <c r="V312" s="2">
        <v>6.3582000000000001</v>
      </c>
      <c r="W312" s="28">
        <v>74.42</v>
      </c>
      <c r="X312" s="9">
        <v>12732.88</v>
      </c>
      <c r="Y312" s="16">
        <f>40000+40981</f>
        <v>80981</v>
      </c>
      <c r="Z312" s="10">
        <v>44546</v>
      </c>
      <c r="AA312" s="26">
        <f>Таблица2[[#This Row],[Сумма перевода Долл/Евро]]*Таблица2[[#This Row],[Курс ДОЛЛ перевод]]+Таблица2[[#This Row],[Сумма за перевод руб]]</f>
        <v>997580.92959999992</v>
      </c>
      <c r="AB31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28.919353526645864</v>
      </c>
      <c r="AC312" s="9"/>
      <c r="AD312" s="41"/>
    </row>
    <row r="313" spans="1:30" ht="45" x14ac:dyDescent="0.25">
      <c r="A313" s="6">
        <v>44546</v>
      </c>
      <c r="B313" s="2" t="s">
        <v>473</v>
      </c>
      <c r="C313" s="2" t="s">
        <v>474</v>
      </c>
      <c r="D313" s="1" t="s">
        <v>475</v>
      </c>
      <c r="E313" s="1"/>
      <c r="F313" s="3"/>
      <c r="G313" s="5">
        <v>1900</v>
      </c>
      <c r="H313" s="2"/>
      <c r="I313" s="2">
        <v>74.62</v>
      </c>
      <c r="J313" s="2"/>
      <c r="K313" s="2"/>
      <c r="L313" s="2"/>
      <c r="M313" s="26">
        <f>Таблица2[[#This Row],[Сумма Долл]]*Таблица2[[#This Row],[Курс ДОЛЛ]]</f>
        <v>141778</v>
      </c>
      <c r="N31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141778</v>
      </c>
      <c r="O31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1913.8498920086392</v>
      </c>
      <c r="P31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313" s="30">
        <v>141778</v>
      </c>
      <c r="R313" s="12">
        <f>Таблица2[[#This Row],[Сумма в руб]]-Таблица2[[#This Row],[Оплата от клиента]]</f>
        <v>0</v>
      </c>
      <c r="S313" s="32">
        <v>44553</v>
      </c>
      <c r="T313" s="32" t="s">
        <v>130</v>
      </c>
      <c r="U313" s="24" t="s">
        <v>31</v>
      </c>
      <c r="V313" s="2"/>
      <c r="W313" s="28">
        <v>74.08</v>
      </c>
      <c r="X313" s="9">
        <v>1610</v>
      </c>
      <c r="Y313" s="16"/>
      <c r="Z313" s="10">
        <v>44553</v>
      </c>
      <c r="AA313" s="26">
        <f>Таблица2[[#This Row],[Сумма перевода Долл/Евро]]*Таблица2[[#This Row],[Курс ДОЛЛ перевод]]+Таблица2[[#This Row],[Сумма за перевод руб]]</f>
        <v>119268.8</v>
      </c>
      <c r="AB31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303.84989200863924</v>
      </c>
      <c r="AC313" s="9"/>
      <c r="AD313" s="41"/>
    </row>
    <row r="314" spans="1:30" ht="30" x14ac:dyDescent="0.25">
      <c r="A314" s="6">
        <v>44547</v>
      </c>
      <c r="B314" s="38" t="s">
        <v>200</v>
      </c>
      <c r="C314" s="38" t="s">
        <v>255</v>
      </c>
      <c r="D314" s="1" t="s">
        <v>478</v>
      </c>
      <c r="E314" s="1"/>
      <c r="F314" s="3">
        <v>126777.41</v>
      </c>
      <c r="G314" s="5">
        <f>1425000/Таблица2[[#This Row],[Курс ДОЛЛ]]</f>
        <v>19017.749899906579</v>
      </c>
      <c r="H314" s="2"/>
      <c r="I314" s="2">
        <v>74.930000000000007</v>
      </c>
      <c r="J314" s="38">
        <v>0.95</v>
      </c>
      <c r="K314" s="2"/>
      <c r="L314" s="2"/>
      <c r="M314" s="26">
        <f>Таблица2[[#This Row],[Сумма в руб]]*Таблица2[[#This Row],[% за перевод]]</f>
        <v>1425000</v>
      </c>
      <c r="N31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1500000</v>
      </c>
      <c r="O314" s="27">
        <v>19017.75</v>
      </c>
      <c r="P314" s="12">
        <f>Таблица2[[#This Row],[Сумма в руб]]-Таблица2[[#This Row],[Сумма без %]]</f>
        <v>75000</v>
      </c>
      <c r="Q314" s="30">
        <v>1500000</v>
      </c>
      <c r="R314" s="12">
        <f>Таблица2[[#This Row],[Сумма в руб]]-Таблица2[[#This Row],[Оплата от клиента]]</f>
        <v>0</v>
      </c>
      <c r="S314" s="32">
        <v>44553</v>
      </c>
      <c r="T314" s="32" t="s">
        <v>161</v>
      </c>
      <c r="U314" s="24"/>
      <c r="V314" s="2"/>
      <c r="W314" s="28">
        <v>74.17</v>
      </c>
      <c r="X314" s="9">
        <v>17212.25</v>
      </c>
      <c r="Y314" s="16"/>
      <c r="Z314" s="2"/>
      <c r="AA314" s="26">
        <f>Таблица2[[#This Row],[Сумма перевода Долл/Евро]]*Таблица2[[#This Row],[Курс ДОЛЛ перевод]]+Таблица2[[#This Row],[Сумма за перевод руб]]</f>
        <v>1351632.5825</v>
      </c>
      <c r="AB31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1805.5</v>
      </c>
      <c r="AC314" s="9"/>
      <c r="AD314" s="41" t="s">
        <v>497</v>
      </c>
    </row>
    <row r="315" spans="1:30" ht="30" x14ac:dyDescent="0.25">
      <c r="A315" s="6">
        <v>44547</v>
      </c>
      <c r="B315" s="2" t="s">
        <v>403</v>
      </c>
      <c r="C315" s="2" t="s">
        <v>168</v>
      </c>
      <c r="D315" s="1" t="s">
        <v>479</v>
      </c>
      <c r="E315" s="1"/>
      <c r="F315" s="3"/>
      <c r="G315" s="5">
        <v>3463</v>
      </c>
      <c r="H315" s="2"/>
      <c r="I315" s="2">
        <v>74.650000000000006</v>
      </c>
      <c r="J315" s="2">
        <v>0.97</v>
      </c>
      <c r="K315" s="2"/>
      <c r="L315" s="2"/>
      <c r="M315" s="26">
        <f>Таблица2[[#This Row],[Сумма Долл]]*Таблица2[[#This Row],[Курс ДОЛЛ]]</f>
        <v>258512.95</v>
      </c>
      <c r="N31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266508.19587628869</v>
      </c>
      <c r="O31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3444.5429713524318</v>
      </c>
      <c r="P31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7995.2458762886818</v>
      </c>
      <c r="Q315" s="30">
        <v>266508.2</v>
      </c>
      <c r="R315" s="12">
        <f>Таблица2[[#This Row],[Сумма в руб]]-Таблица2[[#This Row],[Оплата от клиента]]</f>
        <v>-4.123711318243295E-3</v>
      </c>
      <c r="S315" s="32">
        <v>44550</v>
      </c>
      <c r="T315" s="32" t="s">
        <v>130</v>
      </c>
      <c r="U315" s="24" t="s">
        <v>31</v>
      </c>
      <c r="V315" s="2"/>
      <c r="W315" s="28">
        <v>75.05</v>
      </c>
      <c r="X315" s="9">
        <v>3463</v>
      </c>
      <c r="Y315" s="16"/>
      <c r="Z315" s="2"/>
      <c r="AA315" s="26">
        <f>Таблица2[[#This Row],[Сумма перевода Долл/Евро]]*Таблица2[[#This Row],[Курс ДОЛЛ перевод]]+Таблица2[[#This Row],[Сумма за перевод руб]]</f>
        <v>267893.39587628865</v>
      </c>
      <c r="AB31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-18.457028647568222</v>
      </c>
      <c r="AC315" s="9"/>
      <c r="AD315" s="41"/>
    </row>
    <row r="316" spans="1:30" ht="30" x14ac:dyDescent="0.25">
      <c r="A316" s="6">
        <v>44547</v>
      </c>
      <c r="B316" s="55" t="s">
        <v>72</v>
      </c>
      <c r="C316" s="55" t="s">
        <v>73</v>
      </c>
      <c r="D316" s="11" t="s">
        <v>613</v>
      </c>
      <c r="E316" s="1"/>
      <c r="F316" s="3"/>
      <c r="G316" s="5">
        <v>39957</v>
      </c>
      <c r="H316" s="2"/>
      <c r="I316" s="2">
        <v>74.650000000000006</v>
      </c>
      <c r="J316" s="2">
        <v>0.99399999999999999</v>
      </c>
      <c r="K316" s="2"/>
      <c r="L316" s="2"/>
      <c r="M316" s="26">
        <f>Таблица2[[#This Row],[Сумма Долл]]*Таблица2[[#This Row],[Курс ДОЛЛ]]</f>
        <v>2982790.0500000003</v>
      </c>
      <c r="N31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3000794.8189134812</v>
      </c>
      <c r="O31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39973.064191905658</v>
      </c>
      <c r="P31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18004.768913480919</v>
      </c>
      <c r="Q316" s="30">
        <v>3000794.82</v>
      </c>
      <c r="R316" s="12">
        <f>Таблица2[[#This Row],[Сумма в руб]]-Таблица2[[#This Row],[Оплата от клиента]]</f>
        <v>-1.0865186341106892E-3</v>
      </c>
      <c r="S316" s="32">
        <v>44551</v>
      </c>
      <c r="T316" s="32" t="s">
        <v>130</v>
      </c>
      <c r="U316" s="24" t="s">
        <v>31</v>
      </c>
      <c r="V316" s="2"/>
      <c r="W316" s="28">
        <v>74.62</v>
      </c>
      <c r="X316" s="9">
        <v>39957</v>
      </c>
      <c r="Y316" s="16"/>
      <c r="Z316" s="10">
        <v>44551</v>
      </c>
      <c r="AA316" s="26">
        <f>Таблица2[[#This Row],[Сумма перевода Долл/Евро]]*Таблица2[[#This Row],[Курс ДОЛЛ перевод]]+Таблица2[[#This Row],[Сумма за перевод руб]]</f>
        <v>2999596.1089134812</v>
      </c>
      <c r="AB31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16.064191905657935</v>
      </c>
      <c r="AC316" s="9" t="s">
        <v>614</v>
      </c>
      <c r="AD316" s="41" t="s">
        <v>615</v>
      </c>
    </row>
    <row r="317" spans="1:30" ht="30" x14ac:dyDescent="0.25">
      <c r="A317" s="6">
        <v>44547</v>
      </c>
      <c r="B317" s="2" t="s">
        <v>480</v>
      </c>
      <c r="C317" s="2" t="s">
        <v>315</v>
      </c>
      <c r="D317" s="1" t="s">
        <v>481</v>
      </c>
      <c r="E317" s="1"/>
      <c r="F317" s="3"/>
      <c r="G317" s="5">
        <v>3785</v>
      </c>
      <c r="H317" s="2"/>
      <c r="I317" s="2">
        <v>74.650000000000006</v>
      </c>
      <c r="J317" s="2">
        <v>0.99</v>
      </c>
      <c r="K317" s="2"/>
      <c r="L317" s="2"/>
      <c r="M317" s="26">
        <f>Таблица2[[#This Row],[Сумма Долл]]*Таблица2[[#This Row],[Курс ДОЛЛ]]</f>
        <v>282550.25</v>
      </c>
      <c r="N31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285404.29292929295</v>
      </c>
      <c r="O31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3780.9480797537799</v>
      </c>
      <c r="P31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2854.0429292929475</v>
      </c>
      <c r="Q317" s="30">
        <v>285404.28999999998</v>
      </c>
      <c r="R317" s="12">
        <f>Таблица2[[#This Row],[Сумма в руб]]-Таблица2[[#This Row],[Оплата от клиента]]</f>
        <v>2.9292929684743285E-3</v>
      </c>
      <c r="S317" s="32">
        <v>44547</v>
      </c>
      <c r="T317" s="32" t="s">
        <v>130</v>
      </c>
      <c r="U317" s="24" t="s">
        <v>31</v>
      </c>
      <c r="V317" s="2"/>
      <c r="W317" s="28">
        <v>74.73</v>
      </c>
      <c r="X317" s="9">
        <v>3785</v>
      </c>
      <c r="Y317" s="16"/>
      <c r="Z317" s="2"/>
      <c r="AA317" s="26">
        <f>Таблица2[[#This Row],[Сумма перевода Долл/Евро]]*Таблица2[[#This Row],[Курс ДОЛЛ перевод]]+Таблица2[[#This Row],[Сумма за перевод руб]]</f>
        <v>285707.09292929294</v>
      </c>
      <c r="AB31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-4.0519202462201065</v>
      </c>
      <c r="AC317" s="9" t="s">
        <v>545</v>
      </c>
      <c r="AD317" s="41"/>
    </row>
    <row r="318" spans="1:30" x14ac:dyDescent="0.25">
      <c r="A318" s="6">
        <v>44548</v>
      </c>
      <c r="B318" s="2" t="s">
        <v>55</v>
      </c>
      <c r="C318" s="2" t="s">
        <v>56</v>
      </c>
      <c r="D318" s="1" t="s">
        <v>538</v>
      </c>
      <c r="E318" s="1"/>
      <c r="F318" s="3"/>
      <c r="G318" s="5">
        <v>7545</v>
      </c>
      <c r="H318" s="2"/>
      <c r="I318" s="2">
        <v>74.650000000000006</v>
      </c>
      <c r="J318" s="2">
        <v>0.97</v>
      </c>
      <c r="K318" s="2"/>
      <c r="L318" s="2"/>
      <c r="M318" s="26">
        <f>Таблица2[[#This Row],[Сумма Долл]]*Таблица2[[#This Row],[Курс ДОЛЛ]]</f>
        <v>563234.25</v>
      </c>
      <c r="N31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580653.86597938149</v>
      </c>
      <c r="O31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7567.3014913341385</v>
      </c>
      <c r="P31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17419.615979381488</v>
      </c>
      <c r="Q318" s="30">
        <v>580653.87</v>
      </c>
      <c r="R318" s="12">
        <f>Таблица2[[#This Row],[Сумма в руб]]-Таблица2[[#This Row],[Оплата от клиента]]</f>
        <v>-4.0206185076385736E-3</v>
      </c>
      <c r="S318" s="32">
        <v>44571</v>
      </c>
      <c r="T318" s="32" t="s">
        <v>130</v>
      </c>
      <c r="U318" s="24" t="s">
        <v>31</v>
      </c>
      <c r="V318" s="2"/>
      <c r="W318" s="28">
        <v>74.430000000000007</v>
      </c>
      <c r="X318" s="9">
        <v>7545</v>
      </c>
      <c r="Y318" s="16"/>
      <c r="Z318" s="2"/>
      <c r="AA318" s="26">
        <f>Таблица2[[#This Row],[Сумма перевода Долл/Евро]]*Таблица2[[#This Row],[Курс ДОЛЛ перевод]]+Таблица2[[#This Row],[Сумма за перевод руб]]</f>
        <v>578993.96597938158</v>
      </c>
      <c r="AB31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22.301491334138518</v>
      </c>
      <c r="AC318" s="9" t="s">
        <v>596</v>
      </c>
      <c r="AD318" s="41"/>
    </row>
    <row r="319" spans="1:30" ht="45" x14ac:dyDescent="0.25">
      <c r="A319" s="6">
        <v>44550</v>
      </c>
      <c r="B319" s="38" t="s">
        <v>483</v>
      </c>
      <c r="C319" s="38" t="s">
        <v>484</v>
      </c>
      <c r="D319" s="54" t="s">
        <v>486</v>
      </c>
      <c r="E319" s="1"/>
      <c r="F319" s="3">
        <f>Таблица2[[#This Row],[Сумма Долл]]*Таблица2[[#This Row],[Курс ЮА]]</f>
        <v>11174.52</v>
      </c>
      <c r="G319" s="5">
        <v>1757</v>
      </c>
      <c r="H319" s="2">
        <v>6.36</v>
      </c>
      <c r="I319" s="2">
        <v>74.5</v>
      </c>
      <c r="J319" s="2">
        <v>0.95</v>
      </c>
      <c r="K319" s="2"/>
      <c r="L319" s="2"/>
      <c r="M319" s="26">
        <f>Таблица2[[#This Row],[Сумма Долл]]*Таблица2[[#This Row],[Курс ДОЛЛ]]</f>
        <v>130896.5</v>
      </c>
      <c r="N319" s="24">
        <v>137785</v>
      </c>
      <c r="O31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1757.7078017993824</v>
      </c>
      <c r="P3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6888.5</v>
      </c>
      <c r="Q319" s="30">
        <v>137785</v>
      </c>
      <c r="R319" s="12">
        <f>Таблица2[[#This Row],[Сумма в руб]]-Таблица2[[#This Row],[Оплата от клиента]]</f>
        <v>0</v>
      </c>
      <c r="S319" s="32"/>
      <c r="T319" s="32" t="s">
        <v>107</v>
      </c>
      <c r="U319" s="24" t="s">
        <v>31</v>
      </c>
      <c r="V319" s="2">
        <v>6.3380000000000001</v>
      </c>
      <c r="W319" s="28">
        <v>74.47</v>
      </c>
      <c r="X319" s="9">
        <v>1757</v>
      </c>
      <c r="Y319" s="16">
        <v>11175</v>
      </c>
      <c r="Z319" s="2"/>
      <c r="AA319" s="26">
        <f>Таблица2[[#This Row],[Сумма перевода Долл/Евро]]*Таблица2[[#This Row],[Курс ДОЛЛ перевод]]+Таблица2[[#This Row],[Сумма за перевод руб]]</f>
        <v>137732.28999999998</v>
      </c>
      <c r="AB31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-5.4667011984086002</v>
      </c>
      <c r="AC319" s="9" t="s">
        <v>605</v>
      </c>
      <c r="AD319" s="41" t="s">
        <v>487</v>
      </c>
    </row>
    <row r="320" spans="1:30" ht="45" x14ac:dyDescent="0.25">
      <c r="A320" s="6">
        <v>44550</v>
      </c>
      <c r="B320" s="38" t="s">
        <v>483</v>
      </c>
      <c r="C320" s="38" t="s">
        <v>484</v>
      </c>
      <c r="D320" s="54" t="s">
        <v>485</v>
      </c>
      <c r="E320" s="1"/>
      <c r="F320" s="3">
        <f>Таблица2[[#This Row],[Сумма Долл]]*Таблица2[[#This Row],[Курс ЮА]]</f>
        <v>5374.2</v>
      </c>
      <c r="G320" s="5">
        <v>845</v>
      </c>
      <c r="H320" s="2">
        <v>6.36</v>
      </c>
      <c r="I320" s="2">
        <v>74.5</v>
      </c>
      <c r="J320" s="38">
        <v>0.95</v>
      </c>
      <c r="K320" s="2"/>
      <c r="L320" s="2"/>
      <c r="M320" s="26">
        <f>Таблица2[[#This Row],[Сумма Долл]]*Таблица2[[#This Row],[Курс ДОЛЛ]]</f>
        <v>62952.5</v>
      </c>
      <c r="N320" s="24">
        <v>66265</v>
      </c>
      <c r="O32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845.34040553242914</v>
      </c>
      <c r="P3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3312.5</v>
      </c>
      <c r="Q320" s="30">
        <v>66265</v>
      </c>
      <c r="R320" s="12">
        <f>Таблица2[[#This Row],[Сумма в руб]]-Таблица2[[#This Row],[Оплата от клиента]]</f>
        <v>0</v>
      </c>
      <c r="S320" s="32"/>
      <c r="T320" s="32" t="s">
        <v>107</v>
      </c>
      <c r="U320" s="24" t="s">
        <v>31</v>
      </c>
      <c r="V320" s="2">
        <v>6.3380000000000001</v>
      </c>
      <c r="W320" s="28">
        <v>74.47</v>
      </c>
      <c r="X320" s="9">
        <v>845</v>
      </c>
      <c r="Y320" s="16">
        <v>5375</v>
      </c>
      <c r="Z320" s="2"/>
      <c r="AA320" s="26">
        <f>Таблица2[[#This Row],[Сумма перевода Долл/Евро]]*Таблица2[[#This Row],[Курс ДОЛЛ перевод]]+Таблица2[[#This Row],[Сумма за перевод руб]]</f>
        <v>66239.649999999994</v>
      </c>
      <c r="AB32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-2.7189191756806395</v>
      </c>
      <c r="AC320" s="9" t="s">
        <v>640</v>
      </c>
      <c r="AD320" s="41" t="s">
        <v>488</v>
      </c>
    </row>
    <row r="321" spans="1:30" x14ac:dyDescent="0.25">
      <c r="A321" s="6">
        <v>44550</v>
      </c>
      <c r="B321" s="2" t="s">
        <v>72</v>
      </c>
      <c r="C321" s="2" t="s">
        <v>73</v>
      </c>
      <c r="D321" s="1" t="s">
        <v>490</v>
      </c>
      <c r="E321" s="1"/>
      <c r="F321" s="3" t="s">
        <v>494</v>
      </c>
      <c r="G321" s="5">
        <v>10870</v>
      </c>
      <c r="H321" s="2"/>
      <c r="I321" s="2">
        <v>75.25</v>
      </c>
      <c r="J321" s="2">
        <v>0.97</v>
      </c>
      <c r="K321" s="2"/>
      <c r="L321" s="2"/>
      <c r="M321" s="26">
        <f>Таблица2[[#This Row],[Сумма Долл]]*Таблица2[[#This Row],[Курс ДОЛЛ]]</f>
        <v>817967.5</v>
      </c>
      <c r="N32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843265.46391752583</v>
      </c>
      <c r="O32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10983.852558077078</v>
      </c>
      <c r="P3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25297.963917525834</v>
      </c>
      <c r="Q321" s="30">
        <v>843265.46</v>
      </c>
      <c r="R321" s="12">
        <f>Таблица2[[#This Row],[Сумма в руб]]-Таблица2[[#This Row],[Оплата от клиента]]</f>
        <v>3.9175258716568351E-3</v>
      </c>
      <c r="S321" s="32">
        <v>44552</v>
      </c>
      <c r="T321" s="32" t="s">
        <v>130</v>
      </c>
      <c r="U321" s="24" t="s">
        <v>31</v>
      </c>
      <c r="V321" s="2"/>
      <c r="W321" s="28">
        <v>74.47</v>
      </c>
      <c r="X321" s="9">
        <v>10780</v>
      </c>
      <c r="Y321" s="16"/>
      <c r="Z321" s="10">
        <v>44552</v>
      </c>
      <c r="AA321" s="26">
        <f>Таблица2[[#This Row],[Сумма перевода Долл/Евро]]*Таблица2[[#This Row],[Курс ДОЛЛ перевод]]+Таблица2[[#This Row],[Сумма за перевод руб]]</f>
        <v>828084.56391752581</v>
      </c>
      <c r="AB32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203.85255807707836</v>
      </c>
      <c r="AC321" s="9"/>
      <c r="AD321" s="41" t="s">
        <v>495</v>
      </c>
    </row>
    <row r="322" spans="1:30" ht="60" x14ac:dyDescent="0.25">
      <c r="A322" s="6">
        <v>44552</v>
      </c>
      <c r="B322" s="2" t="s">
        <v>49</v>
      </c>
      <c r="C322" s="2" t="s">
        <v>50</v>
      </c>
      <c r="D322" s="1" t="s">
        <v>491</v>
      </c>
      <c r="E322" s="1"/>
      <c r="F322" s="3"/>
      <c r="G322" s="5">
        <v>5390</v>
      </c>
      <c r="H322" s="2"/>
      <c r="I322" s="2">
        <v>74.8</v>
      </c>
      <c r="J322" s="2"/>
      <c r="K322" s="2"/>
      <c r="L322" s="2"/>
      <c r="M322" s="26">
        <f>Таблица2[[#This Row],[Сумма Долл]]*Таблица2[[#This Row],[Курс ДОЛЛ]]</f>
        <v>403172</v>
      </c>
      <c r="N32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403172</v>
      </c>
      <c r="O32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5390</v>
      </c>
      <c r="P3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322" s="30">
        <v>403172</v>
      </c>
      <c r="R322" s="12">
        <f>Таблица2[[#This Row],[Сумма в руб]]-Таблица2[[#This Row],[Оплата от клиента]]</f>
        <v>0</v>
      </c>
      <c r="S322" s="32"/>
      <c r="T322" s="32"/>
      <c r="U322" s="24"/>
      <c r="V322" s="2"/>
      <c r="W322" s="28"/>
      <c r="X322" s="9"/>
      <c r="Y322" s="16"/>
      <c r="Z322" s="2"/>
      <c r="AA322" s="26">
        <f>Таблица2[[#This Row],[Сумма перевода Долл/Евро]]*Таблица2[[#This Row],[Курс ДОЛЛ перевод]]+Таблица2[[#This Row],[Сумма за перевод руб]]</f>
        <v>0</v>
      </c>
      <c r="AB32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5390</v>
      </c>
      <c r="AC322" s="9"/>
      <c r="AD322" s="41" t="s">
        <v>496</v>
      </c>
    </row>
    <row r="323" spans="1:30" x14ac:dyDescent="0.25">
      <c r="A323" s="6">
        <v>44552</v>
      </c>
      <c r="B323" s="38" t="s">
        <v>72</v>
      </c>
      <c r="C323" s="38" t="s">
        <v>73</v>
      </c>
      <c r="D323" s="54" t="s">
        <v>490</v>
      </c>
      <c r="E323" s="1"/>
      <c r="F323" s="3">
        <v>300000</v>
      </c>
      <c r="G323" s="5">
        <f>Таблица2[[#This Row],[Сумма ЮА]]/Таблица2[[#This Row],[Курс ЮА]]</f>
        <v>47169.811320754714</v>
      </c>
      <c r="H323" s="2">
        <v>6.36</v>
      </c>
      <c r="I323" s="2">
        <v>74.67</v>
      </c>
      <c r="J323" s="2">
        <v>0.95</v>
      </c>
      <c r="K323" s="2"/>
      <c r="L323" s="2"/>
      <c r="M323" s="26">
        <f>Таблица2[[#This Row],[Сумма Долл]]*Таблица2[[#This Row],[Курс ДОЛЛ]]</f>
        <v>3522169.8113207547</v>
      </c>
      <c r="N32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3707547.169811321</v>
      </c>
      <c r="O32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47545.488813725089</v>
      </c>
      <c r="P3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185377.35849056626</v>
      </c>
      <c r="Q323" s="30">
        <v>3707547.17</v>
      </c>
      <c r="R323" s="12">
        <f>Таблица2[[#This Row],[Сумма в руб]]-Таблица2[[#This Row],[Оплата от клиента]]</f>
        <v>-1.8867896869778633E-4</v>
      </c>
      <c r="S323" s="32">
        <v>44208</v>
      </c>
      <c r="T323" s="32" t="s">
        <v>382</v>
      </c>
      <c r="U323" s="24" t="s">
        <v>31</v>
      </c>
      <c r="V323" s="2">
        <v>6.3380000000000001</v>
      </c>
      <c r="W323" s="28">
        <v>74.08</v>
      </c>
      <c r="X323" s="9">
        <v>47169.81</v>
      </c>
      <c r="Y323" s="16">
        <f>40981+40000+785+20000+10520+11000+64120+61000+26000+19000</f>
        <v>293406</v>
      </c>
      <c r="Z323" s="10">
        <v>44553</v>
      </c>
      <c r="AA323" s="26">
        <f>Таблица2[[#This Row],[Сумма перевода Долл/Евро]]*Таблица2[[#This Row],[Курс ДОЛЛ перевод]]+Таблица2[[#This Row],[Сумма за перевод руб]]</f>
        <v>3679716.883290566</v>
      </c>
      <c r="AB32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1252.3363997143606</v>
      </c>
      <c r="AC323" s="9"/>
      <c r="AD323" s="41"/>
    </row>
    <row r="324" spans="1:30" ht="30" x14ac:dyDescent="0.25">
      <c r="A324" s="6">
        <v>44552</v>
      </c>
      <c r="B324" s="38" t="s">
        <v>483</v>
      </c>
      <c r="C324" s="38" t="s">
        <v>484</v>
      </c>
      <c r="D324" s="54" t="s">
        <v>492</v>
      </c>
      <c r="E324" s="1"/>
      <c r="F324" s="3">
        <f>Таблица2[[#This Row],[Сумма Долл]]*Таблица2[[#This Row],[Курс ЮА]]</f>
        <v>8405.5928800856527</v>
      </c>
      <c r="G324" s="5">
        <f>Таблица2[[#This Row],[Сумма в руб]]/Таблица2[[#This Row],[Курс ДОЛЛ]]*0.95</f>
        <v>1321.6341006423982</v>
      </c>
      <c r="H324" s="2">
        <v>6.36</v>
      </c>
      <c r="I324" s="2">
        <v>74.72</v>
      </c>
      <c r="J324" s="2">
        <v>0.95</v>
      </c>
      <c r="K324" s="2"/>
      <c r="L324" s="2"/>
      <c r="M324" s="26">
        <f>Таблица2[[#This Row],[Сумма Долл]]*Таблица2[[#This Row],[Курс ДОЛЛ]]</f>
        <v>98752.499999999985</v>
      </c>
      <c r="N324" s="24">
        <v>103950</v>
      </c>
      <c r="O32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1325.1811594202898</v>
      </c>
      <c r="P32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5197.5000000000146</v>
      </c>
      <c r="Q324" s="30">
        <v>103950</v>
      </c>
      <c r="R324" s="12">
        <f>Таблица2[[#This Row],[Сумма в руб]]-Таблица2[[#This Row],[Оплата от клиента]]</f>
        <v>0</v>
      </c>
      <c r="S324" s="32"/>
      <c r="T324" s="32" t="s">
        <v>382</v>
      </c>
      <c r="U324" s="24" t="s">
        <v>31</v>
      </c>
      <c r="V324" s="2">
        <v>6.3380000000000001</v>
      </c>
      <c r="W324" s="28">
        <v>74.52</v>
      </c>
      <c r="X324" s="9">
        <v>1321.63</v>
      </c>
      <c r="Y324" s="16">
        <v>8361</v>
      </c>
      <c r="Z324" s="2"/>
      <c r="AA324" s="26">
        <f>Таблица2[[#This Row],[Сумма перевода Долл/Евро]]*Таблица2[[#This Row],[Курс ДОЛЛ перевод]]+Таблица2[[#This Row],[Сумма за перевод руб]]</f>
        <v>103685.36760000001</v>
      </c>
      <c r="AB32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5.995296372009534</v>
      </c>
      <c r="AC324" s="9"/>
      <c r="AD324" s="41"/>
    </row>
    <row r="325" spans="1:30" ht="30" x14ac:dyDescent="0.25">
      <c r="A325" s="6">
        <v>44552</v>
      </c>
      <c r="B325" s="38" t="s">
        <v>452</v>
      </c>
      <c r="C325" s="38" t="s">
        <v>447</v>
      </c>
      <c r="D325" s="54" t="s">
        <v>492</v>
      </c>
      <c r="E325" s="1"/>
      <c r="F325" s="3">
        <f>Таблица2[[#This Row],[Сумма Долл]]*Таблица2[[#This Row],[Курс ЮА]]</f>
        <v>12382.707358779444</v>
      </c>
      <c r="G325" s="5">
        <f>Таблица2[[#This Row],[Сумма в руб]]/Таблица2[[#This Row],[Курс ДОЛЛ]]*0.95</f>
        <v>1946.9665658458243</v>
      </c>
      <c r="H325" s="2">
        <v>6.36</v>
      </c>
      <c r="I325" s="2">
        <v>74.72</v>
      </c>
      <c r="J325" s="2"/>
      <c r="K325" s="2"/>
      <c r="L325" s="2"/>
      <c r="M325" s="26">
        <f>Таблица2[[#This Row],[Сумма Долл]]*Таблица2[[#This Row],[Курс ДОЛЛ]]</f>
        <v>145477.34179999999</v>
      </c>
      <c r="N325" s="24">
        <v>153134.04399999999</v>
      </c>
      <c r="O32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1953.5026426749025</v>
      </c>
      <c r="P32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325" s="30">
        <v>153134.04</v>
      </c>
      <c r="R325" s="12">
        <f>Таблица2[[#This Row],[Сумма в руб]]-Таблица2[[#This Row],[Оплата от клиента]]</f>
        <v>3.999999986262992E-3</v>
      </c>
      <c r="S325" s="32"/>
      <c r="T325" s="32" t="s">
        <v>382</v>
      </c>
      <c r="U325" s="24" t="s">
        <v>31</v>
      </c>
      <c r="V325" s="2">
        <v>6.3605</v>
      </c>
      <c r="W325" s="28">
        <v>74.47</v>
      </c>
      <c r="X325" s="9">
        <v>1946.97</v>
      </c>
      <c r="Y325" s="16">
        <v>12409</v>
      </c>
      <c r="Z325" s="10">
        <v>44560</v>
      </c>
      <c r="AA325" s="26">
        <f>Таблица2[[#This Row],[Сумма перевода Долл/Евро]]*Таблица2[[#This Row],[Курс ДОЛЛ перевод]]+Таблица2[[#This Row],[Сумма за перевод руб]]</f>
        <v>144990.8559</v>
      </c>
      <c r="AB32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2.5553901004193449</v>
      </c>
      <c r="AC325" s="9"/>
      <c r="AD325" s="41"/>
    </row>
    <row r="326" spans="1:30" ht="60" x14ac:dyDescent="0.25">
      <c r="A326" s="6">
        <v>44553</v>
      </c>
      <c r="B326" s="38" t="s">
        <v>178</v>
      </c>
      <c r="C326" s="38" t="s">
        <v>179</v>
      </c>
      <c r="D326" s="54" t="s">
        <v>498</v>
      </c>
      <c r="E326" s="1"/>
      <c r="F326" s="3">
        <v>138875</v>
      </c>
      <c r="G326" s="5">
        <f>Таблица2[[#This Row],[Сумма ЮА]]/Таблица2[[#This Row],[Курс ЮА]]</f>
        <v>21835.691823899371</v>
      </c>
      <c r="H326" s="2">
        <v>6.36</v>
      </c>
      <c r="I326" s="2">
        <v>74.37</v>
      </c>
      <c r="J326" s="2">
        <v>0.95</v>
      </c>
      <c r="K326" s="2"/>
      <c r="L326" s="2"/>
      <c r="M326" s="26">
        <f>Таблица2[[#This Row],[Сумма Долл]]*Таблица2[[#This Row],[Курс ДОЛЛ]]</f>
        <v>1623920.4009433964</v>
      </c>
      <c r="N32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1709389.895729891</v>
      </c>
      <c r="O32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21894.57194207087</v>
      </c>
      <c r="P3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85469.494786494644</v>
      </c>
      <c r="Q326" s="30">
        <v>1700000</v>
      </c>
      <c r="R326" s="12">
        <f>Таблица2[[#This Row],[Сумма в руб]]-Таблица2[[#This Row],[Оплата от клиента]]</f>
        <v>9389.8957298910245</v>
      </c>
      <c r="S326" s="32"/>
      <c r="T326" s="32" t="s">
        <v>382</v>
      </c>
      <c r="U326" s="24" t="s">
        <v>375</v>
      </c>
      <c r="V326" s="2">
        <v>6.3605</v>
      </c>
      <c r="W326" s="28">
        <v>74.17</v>
      </c>
      <c r="X326" s="9">
        <v>21835.69</v>
      </c>
      <c r="Y326" s="16">
        <v>40000</v>
      </c>
      <c r="Z326" s="2"/>
      <c r="AA326" s="26">
        <f>Таблица2[[#This Row],[Сумма перевода Долл/Евро]]*Таблица2[[#This Row],[Курс ДОЛЛ перевод]]+Таблица2[[#This Row],[Сумма за перевод руб]]</f>
        <v>1705022.6220864947</v>
      </c>
      <c r="AB32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15605.758169568708</v>
      </c>
      <c r="AC326" s="9"/>
      <c r="AD326" s="41"/>
    </row>
    <row r="327" spans="1:30" ht="30" x14ac:dyDescent="0.25">
      <c r="A327" s="6">
        <v>44554</v>
      </c>
      <c r="B327" s="2" t="s">
        <v>165</v>
      </c>
      <c r="C327" s="2" t="s">
        <v>461</v>
      </c>
      <c r="D327" s="1" t="s">
        <v>499</v>
      </c>
      <c r="E327" s="1"/>
      <c r="F327" s="3"/>
      <c r="G327" s="5">
        <v>8422.2999999999993</v>
      </c>
      <c r="H327" s="2"/>
      <c r="I327" s="2">
        <v>74.37</v>
      </c>
      <c r="J327" s="2">
        <v>0.97</v>
      </c>
      <c r="K327" s="2"/>
      <c r="L327" s="2"/>
      <c r="M327" s="26">
        <f>Таблица2[[#This Row],[Сумма Долл]]*Таблица2[[#This Row],[Курс ДОЛЛ]]</f>
        <v>626366.451</v>
      </c>
      <c r="N32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645738.60927835049</v>
      </c>
      <c r="O32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8415.5105602579606</v>
      </c>
      <c r="P3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19372.158278350485</v>
      </c>
      <c r="Q327" s="30">
        <v>645738.61</v>
      </c>
      <c r="R327" s="12">
        <f>Таблица2[[#This Row],[Сумма в руб]]-Таблица2[[#This Row],[Оплата от клиента]]</f>
        <v>-7.2164949961006641E-4</v>
      </c>
      <c r="S327" s="32">
        <v>44558</v>
      </c>
      <c r="T327" s="32" t="s">
        <v>130</v>
      </c>
      <c r="U327" s="24" t="s">
        <v>31</v>
      </c>
      <c r="V327" s="2"/>
      <c r="W327" s="28">
        <v>74.430000000000007</v>
      </c>
      <c r="X327" s="9">
        <v>8422.2999999999993</v>
      </c>
      <c r="Y327" s="16"/>
      <c r="Z327" s="2"/>
      <c r="AA327" s="26">
        <f>Таблица2[[#This Row],[Сумма перевода Долл/Евро]]*Таблица2[[#This Row],[Курс ДОЛЛ перевод]]+Таблица2[[#This Row],[Сумма за перевод руб]]</f>
        <v>646243.94727835048</v>
      </c>
      <c r="AB32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-6.7894397420386667</v>
      </c>
      <c r="AC327" s="9"/>
      <c r="AD327" s="41"/>
    </row>
    <row r="328" spans="1:30" x14ac:dyDescent="0.25">
      <c r="A328" s="6">
        <v>44554</v>
      </c>
      <c r="B328" s="38" t="s">
        <v>500</v>
      </c>
      <c r="C328" s="38" t="s">
        <v>504</v>
      </c>
      <c r="D328" s="54" t="s">
        <v>501</v>
      </c>
      <c r="E328" s="1"/>
      <c r="F328" s="3">
        <f>Таблица2[[#This Row],[Сумма Долл]]*Таблица2[[#This Row],[Курс ЮА]]</f>
        <v>29892</v>
      </c>
      <c r="G328" s="5">
        <v>4700</v>
      </c>
      <c r="H328" s="2">
        <v>6.36</v>
      </c>
      <c r="I328" s="2">
        <v>74.37</v>
      </c>
      <c r="J328" s="2">
        <v>0.95</v>
      </c>
      <c r="K328" s="2"/>
      <c r="L328" s="2"/>
      <c r="M328" s="26">
        <f>Таблица2[[#This Row],[Сумма Долл]]*Таблица2[[#This Row],[Курс ДОЛЛ]]</f>
        <v>349539</v>
      </c>
      <c r="N32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367935.78947368421</v>
      </c>
      <c r="O32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4708.8643405631146</v>
      </c>
      <c r="P3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18396.789473684214</v>
      </c>
      <c r="Q328" s="30">
        <v>367935.79</v>
      </c>
      <c r="R328" s="12">
        <f>Таблица2[[#This Row],[Сумма в руб]]-Таблица2[[#This Row],[Оплата от клиента]]</f>
        <v>-5.2631576545536518E-4</v>
      </c>
      <c r="S328" s="32"/>
      <c r="T328" s="32" t="s">
        <v>382</v>
      </c>
      <c r="U328" s="24" t="s">
        <v>31</v>
      </c>
      <c r="V328" s="2">
        <v>6.36</v>
      </c>
      <c r="W328" s="28">
        <v>74.23</v>
      </c>
      <c r="X328" s="9">
        <v>4700</v>
      </c>
      <c r="Y328" s="16">
        <v>36113</v>
      </c>
      <c r="Z328" s="2"/>
      <c r="AA328" s="26">
        <f>Таблица2[[#This Row],[Сумма перевода Долл/Евро]]*Таблица2[[#This Row],[Курс ДОЛЛ перевод]]+Таблица2[[#This Row],[Сумма за перевод руб]]</f>
        <v>367277.78947368421</v>
      </c>
      <c r="AB32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-969.28031352493508</v>
      </c>
      <c r="AC328" s="9"/>
      <c r="AD328" s="41" t="s">
        <v>543</v>
      </c>
    </row>
    <row r="329" spans="1:30" ht="30" x14ac:dyDescent="0.25">
      <c r="A329" s="6">
        <v>44554</v>
      </c>
      <c r="B329" s="38" t="s">
        <v>502</v>
      </c>
      <c r="C329" s="38" t="s">
        <v>503</v>
      </c>
      <c r="D329" s="54" t="s">
        <v>505</v>
      </c>
      <c r="E329" s="1"/>
      <c r="F329" s="3">
        <v>8324</v>
      </c>
      <c r="G329" s="5">
        <f>Таблица2[[#This Row],[Сумма ЮА]]/Таблица2[[#This Row],[Курс ЮА]]</f>
        <v>1308.8050314465409</v>
      </c>
      <c r="H329" s="2">
        <v>6.36</v>
      </c>
      <c r="I329" s="2">
        <v>74.37</v>
      </c>
      <c r="J329" s="2"/>
      <c r="K329" s="38">
        <v>80</v>
      </c>
      <c r="L329" s="2"/>
      <c r="M329" s="26">
        <f>Таблица2[[#This Row],[Сумма Долл]]*Таблица2[[#This Row],[Курс ДОЛЛ]]</f>
        <v>97335.830188679247</v>
      </c>
      <c r="N32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103285.43018867925</v>
      </c>
      <c r="O32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1311.2734768783409</v>
      </c>
      <c r="P32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5938.4000000000005</v>
      </c>
      <c r="Q329" s="30">
        <v>103285.43</v>
      </c>
      <c r="R329" s="12">
        <f>Таблица2[[#This Row],[Сумма в руб]]-Таблица2[[#This Row],[Оплата от клиента]]</f>
        <v>1.886792597360909E-4</v>
      </c>
      <c r="S329" s="32"/>
      <c r="T329" s="32" t="s">
        <v>382</v>
      </c>
      <c r="U329" s="24" t="s">
        <v>31</v>
      </c>
      <c r="V329" s="2">
        <v>6.3605</v>
      </c>
      <c r="W329" s="28">
        <v>74.23</v>
      </c>
      <c r="X329" s="9">
        <v>1308.7</v>
      </c>
      <c r="Y329" s="16">
        <v>8324</v>
      </c>
      <c r="Z329" s="10">
        <v>44560</v>
      </c>
      <c r="AA329" s="26">
        <f>Таблица2[[#This Row],[Сумма перевода Долл/Евро]]*Таблица2[[#This Row],[Курс ДОЛЛ перевод]]+Таблица2[[#This Row],[Сумма за перевод руб]]</f>
        <v>103083.201</v>
      </c>
      <c r="AB32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2.5713308206411511</v>
      </c>
      <c r="AC329" s="9" t="s">
        <v>571</v>
      </c>
      <c r="AD329" s="41"/>
    </row>
    <row r="330" spans="1:30" ht="45" x14ac:dyDescent="0.25">
      <c r="A330" s="6">
        <v>44554</v>
      </c>
      <c r="B330" s="38" t="s">
        <v>502</v>
      </c>
      <c r="C330" s="38" t="s">
        <v>503</v>
      </c>
      <c r="D330" s="54" t="s">
        <v>506</v>
      </c>
      <c r="E330" s="1"/>
      <c r="F330" s="3">
        <v>12733.63</v>
      </c>
      <c r="G330" s="5">
        <f>Таблица2[[#This Row],[Сумма ЮА]]/Таблица2[[#This Row],[Курс ЮА]]</f>
        <v>2002.143081761006</v>
      </c>
      <c r="H330" s="2">
        <v>6.36</v>
      </c>
      <c r="I330" s="2">
        <v>74.37</v>
      </c>
      <c r="J330" s="38">
        <v>0.95</v>
      </c>
      <c r="K330" s="2"/>
      <c r="L330" s="2"/>
      <c r="M330" s="26">
        <f>Таблица2[[#This Row],[Сумма Долл]]*Таблица2[[#This Row],[Курс ДОЛЛ]]</f>
        <v>148899.38099056602</v>
      </c>
      <c r="N33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156736.19051638528</v>
      </c>
      <c r="O33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2005.9191834913918</v>
      </c>
      <c r="P33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7836.8095258192625</v>
      </c>
      <c r="Q330" s="30">
        <v>156736.19</v>
      </c>
      <c r="R330" s="12">
        <f>Таблица2[[#This Row],[Сумма в руб]]-Таблица2[[#This Row],[Оплата от клиента]]</f>
        <v>5.1638527656905353E-4</v>
      </c>
      <c r="S330" s="32"/>
      <c r="T330" s="47" t="s">
        <v>382</v>
      </c>
      <c r="U330" s="24" t="s">
        <v>31</v>
      </c>
      <c r="V330" s="2">
        <v>6.3605</v>
      </c>
      <c r="W330" s="28">
        <v>74.23</v>
      </c>
      <c r="X330" s="9">
        <v>2001.89</v>
      </c>
      <c r="Y330" s="16">
        <v>12733</v>
      </c>
      <c r="Z330" s="10">
        <v>44560</v>
      </c>
      <c r="AA330" s="26">
        <f>Таблица2[[#This Row],[Сумма перевода Долл/Евро]]*Таблица2[[#This Row],[Курс ДОЛЛ перевод]]+Таблица2[[#This Row],[Сумма за перевод руб]]</f>
        <v>156437.10422581929</v>
      </c>
      <c r="AB33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4.0325393596410777</v>
      </c>
      <c r="AC330" s="9" t="s">
        <v>571</v>
      </c>
      <c r="AD330" s="41"/>
    </row>
    <row r="331" spans="1:30" ht="30" x14ac:dyDescent="0.25">
      <c r="A331" s="6">
        <v>44557</v>
      </c>
      <c r="B331" s="2" t="s">
        <v>453</v>
      </c>
      <c r="C331" s="2" t="s">
        <v>454</v>
      </c>
      <c r="D331" s="1" t="s">
        <v>507</v>
      </c>
      <c r="E331" s="1"/>
      <c r="F331" s="3"/>
      <c r="G331" s="5">
        <v>5261.5</v>
      </c>
      <c r="H331" s="2"/>
      <c r="I331" s="2">
        <v>74.040000000000006</v>
      </c>
      <c r="J331" s="2">
        <v>0.97</v>
      </c>
      <c r="K331" s="2"/>
      <c r="L331" s="2"/>
      <c r="M331" s="26">
        <f>Таблица2[[#This Row],[Сумма Долл]]*Таблица2[[#This Row],[Курс ДОЛЛ]]</f>
        <v>389561.46</v>
      </c>
      <c r="N33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401609.75257731962</v>
      </c>
      <c r="O33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5248.0326013741078</v>
      </c>
      <c r="P33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12048.292577319604</v>
      </c>
      <c r="Q331" s="30">
        <v>401609.75</v>
      </c>
      <c r="R331" s="12">
        <f>Таблица2[[#This Row],[Сумма в руб]]-Таблица2[[#This Row],[Оплата от клиента]]</f>
        <v>2.5773196248337626E-3</v>
      </c>
      <c r="S331" s="32">
        <v>44557</v>
      </c>
      <c r="T331" s="32" t="s">
        <v>130</v>
      </c>
      <c r="U331" s="24" t="s">
        <v>31</v>
      </c>
      <c r="V331" s="2"/>
      <c r="W331" s="28">
        <v>74.23</v>
      </c>
      <c r="X331" s="9">
        <v>5261.5</v>
      </c>
      <c r="Y331" s="16"/>
      <c r="Z331" s="10">
        <v>44557</v>
      </c>
      <c r="AA331" s="26">
        <f>Таблица2[[#This Row],[Сумма перевода Долл/Евро]]*Таблица2[[#This Row],[Курс ДОЛЛ перевод]]+Таблица2[[#This Row],[Сумма за перевод руб]]</f>
        <v>402609.43757731962</v>
      </c>
      <c r="AB33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-13.467398625892201</v>
      </c>
      <c r="AC331" s="9" t="s">
        <v>573</v>
      </c>
      <c r="AD331" s="41"/>
    </row>
    <row r="332" spans="1:30" x14ac:dyDescent="0.25">
      <c r="A332" s="6">
        <v>44557</v>
      </c>
      <c r="B332" s="2" t="s">
        <v>126</v>
      </c>
      <c r="C332" s="2" t="s">
        <v>52</v>
      </c>
      <c r="D332" s="1" t="s">
        <v>372</v>
      </c>
      <c r="E332" s="1"/>
      <c r="F332" s="3"/>
      <c r="G332" s="5">
        <v>3000</v>
      </c>
      <c r="H332" s="2"/>
      <c r="I332" s="2">
        <v>74.040000000000006</v>
      </c>
      <c r="J332" s="2"/>
      <c r="K332" s="38">
        <v>80</v>
      </c>
      <c r="L332" s="2"/>
      <c r="M332" s="26">
        <f>Таблица2[[#This Row],[Сумма Долл]]*Таблица2[[#This Row],[Курс ДОЛЛ]]</f>
        <v>222120.00000000003</v>
      </c>
      <c r="N33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228043.2</v>
      </c>
      <c r="O33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2984.2805320435309</v>
      </c>
      <c r="P3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5954.4000000000005</v>
      </c>
      <c r="Q332" s="30">
        <v>228043.2</v>
      </c>
      <c r="R332" s="12">
        <f>Таблица2[[#This Row],[Сумма в руб]]-Таблица2[[#This Row],[Оплата от клиента]]</f>
        <v>0</v>
      </c>
      <c r="S332" s="32">
        <v>44558</v>
      </c>
      <c r="T332" s="32" t="s">
        <v>130</v>
      </c>
      <c r="U332" s="24" t="s">
        <v>31</v>
      </c>
      <c r="V332" s="2"/>
      <c r="W332" s="28">
        <v>74.430000000000007</v>
      </c>
      <c r="X332" s="9">
        <v>3000</v>
      </c>
      <c r="Y332" s="16"/>
      <c r="Z332" s="10">
        <v>44558</v>
      </c>
      <c r="AA332" s="26">
        <f>Таблица2[[#This Row],[Сумма перевода Долл/Евро]]*Таблица2[[#This Row],[Курс ДОЛЛ перевод]]+Таблица2[[#This Row],[Сумма за перевод руб]]</f>
        <v>229244.40000000002</v>
      </c>
      <c r="AB33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-15.719467956469089</v>
      </c>
      <c r="AC332" s="9"/>
      <c r="AD332" s="41"/>
    </row>
    <row r="333" spans="1:30" x14ac:dyDescent="0.25">
      <c r="A333" s="6">
        <v>44557</v>
      </c>
      <c r="B333" s="38" t="s">
        <v>97</v>
      </c>
      <c r="C333" s="38" t="s">
        <v>98</v>
      </c>
      <c r="D333" s="1" t="s">
        <v>511</v>
      </c>
      <c r="E333" s="1"/>
      <c r="F333" s="3">
        <f>Таблица2[[#This Row],[Сумма Долл]]*Таблица2[[#This Row],[Курс ЮА]]</f>
        <v>3782.9915999999998</v>
      </c>
      <c r="G333" s="5">
        <v>594.80999999999995</v>
      </c>
      <c r="H333" s="2">
        <v>6.36</v>
      </c>
      <c r="I333" s="2">
        <v>74.430000000000007</v>
      </c>
      <c r="J333" s="2">
        <v>0.95</v>
      </c>
      <c r="K333" s="2"/>
      <c r="L333" s="2"/>
      <c r="M333" s="26">
        <f>Таблица2[[#This Row],[Сумма Долл]]*Таблица2[[#This Row],[Курс ДОЛЛ]]</f>
        <v>44271.708299999998</v>
      </c>
      <c r="N33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46601.798210526315</v>
      </c>
      <c r="O33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595.28987898346099</v>
      </c>
      <c r="P3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2330.0899105263161</v>
      </c>
      <c r="Q333" s="30">
        <v>46601.8</v>
      </c>
      <c r="R333" s="12">
        <f>Таблица2[[#This Row],[Сумма в руб]]-Таблица2[[#This Row],[Оплата от клиента]]</f>
        <v>-1.7894736884045415E-3</v>
      </c>
      <c r="S333" s="32"/>
      <c r="T333" s="47" t="s">
        <v>382</v>
      </c>
      <c r="U333" s="24" t="s">
        <v>31</v>
      </c>
      <c r="V333" s="2">
        <v>6.3605</v>
      </c>
      <c r="W333" s="28">
        <v>74.37</v>
      </c>
      <c r="X333" s="9">
        <v>594.80999999999995</v>
      </c>
      <c r="Y333" s="16">
        <v>3783</v>
      </c>
      <c r="Z333" s="2"/>
      <c r="AA333" s="26">
        <f>Таблица2[[#This Row],[Сумма перевода Долл/Евро]]*Таблица2[[#This Row],[Курс ДОЛЛ перевод]]+Таблица2[[#This Row],[Сумма за перевод руб]]</f>
        <v>46566.109610526313</v>
      </c>
      <c r="AB33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0.52531644906900965</v>
      </c>
      <c r="AC333" s="9"/>
      <c r="AD333" s="41"/>
    </row>
    <row r="334" spans="1:30" x14ac:dyDescent="0.25">
      <c r="A334" s="6">
        <v>44559</v>
      </c>
      <c r="B334" s="2" t="s">
        <v>55</v>
      </c>
      <c r="C334" s="2" t="s">
        <v>56</v>
      </c>
      <c r="D334" s="1" t="s">
        <v>515</v>
      </c>
      <c r="E334" s="1"/>
      <c r="F334" s="3"/>
      <c r="G334" s="5">
        <v>901.5</v>
      </c>
      <c r="H334" s="2"/>
      <c r="I334" s="2">
        <v>74.63</v>
      </c>
      <c r="J334" s="2">
        <v>0.97</v>
      </c>
      <c r="K334" s="2"/>
      <c r="L334" s="2"/>
      <c r="M334" s="26">
        <f>Таблица2[[#This Row],[Сумма Долл]]*Таблица2[[#This Row],[Курс ДОЛЛ]]</f>
        <v>67278.944999999992</v>
      </c>
      <c r="N33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69359.73711340205</v>
      </c>
      <c r="O33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907.09107455844673</v>
      </c>
      <c r="P3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2080.792113402058</v>
      </c>
      <c r="Q334" s="30">
        <v>69359.740000000005</v>
      </c>
      <c r="R334" s="12">
        <f>Таблица2[[#This Row],[Сумма в руб]]-Таблица2[[#This Row],[Оплата от клиента]]</f>
        <v>-2.88659795478452E-3</v>
      </c>
      <c r="S334" s="32">
        <v>44559</v>
      </c>
      <c r="T334" s="32" t="s">
        <v>130</v>
      </c>
      <c r="U334" s="24" t="s">
        <v>31</v>
      </c>
      <c r="V334" s="2"/>
      <c r="W334" s="28">
        <v>74.17</v>
      </c>
      <c r="X334" s="9">
        <v>901.5</v>
      </c>
      <c r="Y334" s="16"/>
      <c r="Z334" s="10">
        <v>44559</v>
      </c>
      <c r="AA334" s="26">
        <f>Таблица2[[#This Row],[Сумма перевода Долл/Евро]]*Таблица2[[#This Row],[Курс ДОЛЛ перевод]]+Таблица2[[#This Row],[Сумма за перевод руб]]</f>
        <v>68945.047113402063</v>
      </c>
      <c r="AB33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5.591074558446735</v>
      </c>
      <c r="AC334" s="9" t="s">
        <v>640</v>
      </c>
      <c r="AD334" s="41"/>
    </row>
    <row r="335" spans="1:30" x14ac:dyDescent="0.25">
      <c r="A335" s="6">
        <v>44559</v>
      </c>
      <c r="B335" s="2" t="s">
        <v>57</v>
      </c>
      <c r="C335" s="2" t="s">
        <v>58</v>
      </c>
      <c r="D335" s="1" t="s">
        <v>516</v>
      </c>
      <c r="E335" s="1"/>
      <c r="F335" s="3"/>
      <c r="G335" s="5">
        <v>8690.7999999999993</v>
      </c>
      <c r="H335" s="2"/>
      <c r="I335" s="2">
        <v>74.63</v>
      </c>
      <c r="J335" s="2">
        <v>0.99</v>
      </c>
      <c r="K335" s="2"/>
      <c r="L335" s="2"/>
      <c r="M335" s="26">
        <f>Таблица2[[#This Row],[Сумма Долл]]*Таблица2[[#This Row],[Курс ДОЛЛ]]</f>
        <v>648594.40399999986</v>
      </c>
      <c r="N33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655145.86262626247</v>
      </c>
      <c r="O33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8744.7000674126994</v>
      </c>
      <c r="P33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6551.4586262626108</v>
      </c>
      <c r="Q335" s="30">
        <v>655145.86</v>
      </c>
      <c r="R335" s="12">
        <f>Таблица2[[#This Row],[Сумма в руб]]-Таблица2[[#This Row],[Оплата от клиента]]</f>
        <v>2.6262624887749553E-3</v>
      </c>
      <c r="S335" s="32">
        <v>44559</v>
      </c>
      <c r="T335" s="32" t="s">
        <v>130</v>
      </c>
      <c r="U335" s="24" t="s">
        <v>31</v>
      </c>
      <c r="V335" s="2"/>
      <c r="W335" s="28">
        <v>74.17</v>
      </c>
      <c r="X335" s="9">
        <v>8690.7999999999993</v>
      </c>
      <c r="Y335" s="16"/>
      <c r="Z335" s="10">
        <v>44559</v>
      </c>
      <c r="AA335" s="26">
        <f>Таблица2[[#This Row],[Сумма перевода Долл/Евро]]*Таблица2[[#This Row],[Курс ДОЛЛ перевод]]+Таблица2[[#This Row],[Сумма за перевод руб]]</f>
        <v>651148.09462626255</v>
      </c>
      <c r="AB33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53.900067412700082</v>
      </c>
      <c r="AC335" s="9" t="s">
        <v>544</v>
      </c>
      <c r="AD335" s="41"/>
    </row>
    <row r="336" spans="1:30" x14ac:dyDescent="0.25">
      <c r="A336" s="6">
        <v>44559</v>
      </c>
      <c r="B336" s="2" t="s">
        <v>197</v>
      </c>
      <c r="C336" s="2" t="s">
        <v>198</v>
      </c>
      <c r="D336" s="1" t="s">
        <v>517</v>
      </c>
      <c r="E336" s="1"/>
      <c r="F336" s="3"/>
      <c r="G336" s="5">
        <v>5862.96</v>
      </c>
      <c r="H336" s="2"/>
      <c r="I336" s="2">
        <v>74.63</v>
      </c>
      <c r="J336" s="2">
        <v>0.97</v>
      </c>
      <c r="K336" s="2"/>
      <c r="L336" s="2"/>
      <c r="M336" s="26">
        <f>Таблица2[[#This Row],[Сумма Долл]]*Таблица2[[#This Row],[Курс ДОЛЛ]]</f>
        <v>437552.70479999995</v>
      </c>
      <c r="N33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451085.26268041233</v>
      </c>
      <c r="O33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5899.3218929486311</v>
      </c>
      <c r="P3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13532.55788041238</v>
      </c>
      <c r="Q336" s="30">
        <v>451085.26</v>
      </c>
      <c r="R336" s="12">
        <f>Таблица2[[#This Row],[Сумма в руб]]-Таблица2[[#This Row],[Оплата от клиента]]</f>
        <v>2.6804123190231621E-3</v>
      </c>
      <c r="S336" s="32">
        <v>44559</v>
      </c>
      <c r="T336" s="32" t="s">
        <v>130</v>
      </c>
      <c r="U336" s="24" t="s">
        <v>31</v>
      </c>
      <c r="V336" s="2"/>
      <c r="W336" s="28">
        <v>74.17</v>
      </c>
      <c r="X336" s="9">
        <v>5862.96</v>
      </c>
      <c r="Y336" s="16"/>
      <c r="Z336" s="10">
        <v>44549</v>
      </c>
      <c r="AA336" s="26">
        <f>Таблица2[[#This Row],[Сумма перевода Долл/Евро]]*Таблица2[[#This Row],[Курс ДОЛЛ перевод]]+Таблица2[[#This Row],[Сумма за перевод руб]]</f>
        <v>448388.30108041241</v>
      </c>
      <c r="AB33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36.361892948631066</v>
      </c>
      <c r="AC336" s="9" t="s">
        <v>604</v>
      </c>
      <c r="AD336" s="41"/>
    </row>
    <row r="337" spans="1:30" x14ac:dyDescent="0.25">
      <c r="A337" s="6">
        <v>44559</v>
      </c>
      <c r="B337" s="2" t="s">
        <v>416</v>
      </c>
      <c r="C337" s="2" t="s">
        <v>430</v>
      </c>
      <c r="D337" s="1" t="s">
        <v>417</v>
      </c>
      <c r="E337" s="1"/>
      <c r="F337" s="3"/>
      <c r="G337" s="5">
        <v>21399</v>
      </c>
      <c r="H337" s="2"/>
      <c r="I337" s="2">
        <v>74.63</v>
      </c>
      <c r="J337" s="2"/>
      <c r="K337" s="2"/>
      <c r="L337" s="2"/>
      <c r="M337" s="26">
        <f>Таблица2[[#This Row],[Сумма Долл]]*Таблица2[[#This Row],[Курс ДОЛЛ]]</f>
        <v>1597007.3699999999</v>
      </c>
      <c r="N33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1597007.3699999999</v>
      </c>
      <c r="O33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22239.345077287282</v>
      </c>
      <c r="P3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337" s="30"/>
      <c r="R337" s="12">
        <f>Таблица2[[#This Row],[Сумма в руб]]-Таблица2[[#This Row],[Оплата от клиента]]</f>
        <v>1597007.3699999999</v>
      </c>
      <c r="S337" s="32"/>
      <c r="T337" s="32"/>
      <c r="U337" s="24"/>
      <c r="V337" s="2"/>
      <c r="W337" s="28">
        <v>71.81</v>
      </c>
      <c r="X337" s="9">
        <v>17560.22</v>
      </c>
      <c r="Y337" s="16"/>
      <c r="Z337" s="2"/>
      <c r="AA337" s="26">
        <f>Таблица2[[#This Row],[Сумма перевода Долл/Евро]]*Таблица2[[#This Row],[Курс ДОЛЛ перевод]]+Таблица2[[#This Row],[Сумма за перевод руб]]</f>
        <v>1260999.3982000002</v>
      </c>
      <c r="AB33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4679.1250772872809</v>
      </c>
      <c r="AC337" s="9"/>
      <c r="AD337" s="41"/>
    </row>
    <row r="338" spans="1:30" ht="30" x14ac:dyDescent="0.25">
      <c r="A338" s="6">
        <v>44559</v>
      </c>
      <c r="B338" s="2" t="s">
        <v>186</v>
      </c>
      <c r="C338" s="2" t="s">
        <v>187</v>
      </c>
      <c r="D338" s="1" t="s">
        <v>519</v>
      </c>
      <c r="E338" s="1"/>
      <c r="F338" s="3"/>
      <c r="G338" s="5">
        <v>2100</v>
      </c>
      <c r="H338" s="2"/>
      <c r="I338" s="2">
        <v>74.63</v>
      </c>
      <c r="J338" s="2"/>
      <c r="K338" s="2">
        <v>80</v>
      </c>
      <c r="L338" s="2"/>
      <c r="M338" s="26">
        <f>Таблица2[[#This Row],[Сумма Долл]]*Таблица2[[#This Row],[Курс ДОЛЛ]]</f>
        <v>156723</v>
      </c>
      <c r="N33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162693.4</v>
      </c>
      <c r="O33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2105.6428859330913</v>
      </c>
      <c r="P33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5954.4000000000005</v>
      </c>
      <c r="Q338" s="30">
        <v>162693.4</v>
      </c>
      <c r="R338" s="12">
        <f>Таблица2[[#This Row],[Сумма в руб]]-Таблица2[[#This Row],[Оплата от клиента]]</f>
        <v>0</v>
      </c>
      <c r="S338" s="32">
        <v>44560</v>
      </c>
      <c r="T338" s="32" t="s">
        <v>130</v>
      </c>
      <c r="U338" s="24" t="s">
        <v>31</v>
      </c>
      <c r="V338" s="2"/>
      <c r="W338" s="28">
        <v>74.430000000000007</v>
      </c>
      <c r="X338" s="9">
        <v>2100</v>
      </c>
      <c r="Y338" s="16"/>
      <c r="Z338" s="10">
        <v>44560</v>
      </c>
      <c r="AA338" s="26">
        <f>Таблица2[[#This Row],[Сумма перевода Долл/Евро]]*Таблица2[[#This Row],[Курс ДОЛЛ перевод]]+Таблица2[[#This Row],[Сумма за перевод руб]]</f>
        <v>162257.4</v>
      </c>
      <c r="AB33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5.6428859330912928</v>
      </c>
      <c r="AC338" s="9"/>
      <c r="AD338" s="41"/>
    </row>
    <row r="339" spans="1:30" x14ac:dyDescent="0.25">
      <c r="A339" s="6">
        <v>44559</v>
      </c>
      <c r="B339" s="2" t="s">
        <v>521</v>
      </c>
      <c r="C339" s="2" t="s">
        <v>523</v>
      </c>
      <c r="D339" s="1" t="s">
        <v>522</v>
      </c>
      <c r="E339" s="1"/>
      <c r="F339" s="3"/>
      <c r="G339" s="5">
        <v>3800</v>
      </c>
      <c r="H339" s="2"/>
      <c r="I339" s="2">
        <v>74.959999999999994</v>
      </c>
      <c r="J339" s="2">
        <v>0.97</v>
      </c>
      <c r="K339" s="2"/>
      <c r="L339" s="2"/>
      <c r="M339" s="26">
        <f>Таблица2[[#This Row],[Сумма Долл]]*Таблица2[[#This Row],[Курс ДОЛЛ]]</f>
        <v>284848</v>
      </c>
      <c r="N33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293657.73195876292</v>
      </c>
      <c r="O33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3827.0589815934431</v>
      </c>
      <c r="P33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8809.7319587629172</v>
      </c>
      <c r="Q339" s="30">
        <v>293657.73</v>
      </c>
      <c r="R339" s="12">
        <f>Таблица2[[#This Row],[Сумма в руб]]-Таблица2[[#This Row],[Оплата от клиента]]</f>
        <v>1.9587629358284175E-3</v>
      </c>
      <c r="S339" s="32">
        <v>44560</v>
      </c>
      <c r="T339" s="32" t="s">
        <v>130</v>
      </c>
      <c r="U339" s="24" t="s">
        <v>31</v>
      </c>
      <c r="V339" s="2"/>
      <c r="W339" s="28">
        <v>74.430000000000007</v>
      </c>
      <c r="X339" s="9">
        <v>3800</v>
      </c>
      <c r="Y339" s="16"/>
      <c r="Z339" s="10">
        <v>44560</v>
      </c>
      <c r="AA339" s="26">
        <f>Таблица2[[#This Row],[Сумма перевода Долл/Евро]]*Таблица2[[#This Row],[Курс ДОЛЛ перевод]]+Таблица2[[#This Row],[Сумма за перевод руб]]</f>
        <v>291643.73195876292</v>
      </c>
      <c r="AB33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27.05898159344315</v>
      </c>
      <c r="AC339" s="9"/>
      <c r="AD339" s="41"/>
    </row>
    <row r="340" spans="1:30" ht="30" x14ac:dyDescent="0.25">
      <c r="A340" s="6">
        <v>44571</v>
      </c>
      <c r="B340" s="2" t="s">
        <v>453</v>
      </c>
      <c r="C340" s="2" t="s">
        <v>454</v>
      </c>
      <c r="D340" s="1" t="s">
        <v>534</v>
      </c>
      <c r="E340" s="1"/>
      <c r="F340" s="3"/>
      <c r="G340" s="5">
        <v>5261.5</v>
      </c>
      <c r="H340" s="2"/>
      <c r="I340" s="2">
        <v>76.12</v>
      </c>
      <c r="J340" s="2">
        <v>0.97</v>
      </c>
      <c r="K340" s="2"/>
      <c r="L340" s="2"/>
      <c r="M340" s="26">
        <f>Таблица2[[#This Row],[Сумма Долл]]*Таблица2[[#This Row],[Курс ДОЛЛ]]</f>
        <v>400505.38</v>
      </c>
      <c r="N34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412892.1443298969</v>
      </c>
      <c r="O34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5395.4651758049304</v>
      </c>
      <c r="P3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12386.764329896891</v>
      </c>
      <c r="Q340" s="30">
        <v>412892.14</v>
      </c>
      <c r="R340" s="12">
        <f>Таблица2[[#This Row],[Сумма в руб]]-Таблица2[[#This Row],[Оплата от клиента]]</f>
        <v>4.3298968812450767E-3</v>
      </c>
      <c r="S340" s="32">
        <v>44557</v>
      </c>
      <c r="T340" s="32" t="s">
        <v>130</v>
      </c>
      <c r="U340" s="24" t="s">
        <v>31</v>
      </c>
      <c r="V340" s="2"/>
      <c r="W340" s="28">
        <v>74.23</v>
      </c>
      <c r="X340" s="9">
        <v>5261.5</v>
      </c>
      <c r="Y340" s="16"/>
      <c r="Z340" s="10">
        <v>44547</v>
      </c>
      <c r="AA340" s="26">
        <f>Таблица2[[#This Row],[Сумма перевода Долл/Евро]]*Таблица2[[#This Row],[Курс ДОЛЛ перевод]]+Таблица2[[#This Row],[Сумма за перевод руб]]</f>
        <v>402947.90932989691</v>
      </c>
      <c r="AB34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133.96517580493037</v>
      </c>
      <c r="AC340" s="9" t="s">
        <v>573</v>
      </c>
      <c r="AD340" s="41"/>
    </row>
    <row r="341" spans="1:30" ht="30" x14ac:dyDescent="0.25">
      <c r="A341" s="6">
        <v>44571</v>
      </c>
      <c r="B341" s="2" t="s">
        <v>535</v>
      </c>
      <c r="C341" s="2" t="s">
        <v>536</v>
      </c>
      <c r="D341" s="1" t="s">
        <v>537</v>
      </c>
      <c r="E341" s="1"/>
      <c r="F341" s="3"/>
      <c r="G341" s="5">
        <v>4060</v>
      </c>
      <c r="H341" s="2"/>
      <c r="I341" s="2">
        <v>76</v>
      </c>
      <c r="J341" s="2"/>
      <c r="K341" s="2"/>
      <c r="L341" s="2">
        <v>4500</v>
      </c>
      <c r="M341" s="26">
        <f>Таблица2[[#This Row],[Сумма Долл]]*Таблица2[[#This Row],[Курс ДОЛЛ]]</f>
        <v>308560</v>
      </c>
      <c r="N34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313060</v>
      </c>
      <c r="O34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4165.2267818574519</v>
      </c>
      <c r="P3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4500</v>
      </c>
      <c r="Q341" s="30">
        <v>313060</v>
      </c>
      <c r="R341" s="12">
        <f>Таблица2[[#This Row],[Сумма в руб]]-Таблица2[[#This Row],[Оплата от клиента]]</f>
        <v>0</v>
      </c>
      <c r="S341" s="32">
        <v>44572</v>
      </c>
      <c r="T341" s="32" t="s">
        <v>130</v>
      </c>
      <c r="U341" s="24" t="s">
        <v>31</v>
      </c>
      <c r="V341" s="2"/>
      <c r="W341" s="28">
        <v>74.08</v>
      </c>
      <c r="X341" s="9">
        <v>4060</v>
      </c>
      <c r="Y341" s="16"/>
      <c r="Z341" s="10">
        <v>44572</v>
      </c>
      <c r="AA341" s="26">
        <f>Таблица2[[#This Row],[Сумма перевода Долл/Евро]]*Таблица2[[#This Row],[Курс ДОЛЛ перевод]]+Таблица2[[#This Row],[Сумма за перевод руб]]</f>
        <v>305264.8</v>
      </c>
      <c r="AB34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105.2267818574519</v>
      </c>
      <c r="AC341" s="9" t="s">
        <v>592</v>
      </c>
      <c r="AD341" s="41"/>
    </row>
    <row r="342" spans="1:30" x14ac:dyDescent="0.25">
      <c r="A342" s="6">
        <v>44572</v>
      </c>
      <c r="B342" s="2" t="s">
        <v>539</v>
      </c>
      <c r="C342" s="2" t="s">
        <v>540</v>
      </c>
      <c r="D342" s="1" t="s">
        <v>649</v>
      </c>
      <c r="E342" s="1"/>
      <c r="F342" s="3">
        <v>53122</v>
      </c>
      <c r="G342" s="5">
        <f>Таблица2[[#This Row],[Сумма ЮА]]/Таблица2[[#This Row],[Курс ЮА]]</f>
        <v>8352.5157232704405</v>
      </c>
      <c r="H342" s="2">
        <v>6.36</v>
      </c>
      <c r="I342" s="2">
        <v>75.92</v>
      </c>
      <c r="J342" s="2">
        <v>0.94</v>
      </c>
      <c r="K342" s="2"/>
      <c r="L342" s="2"/>
      <c r="M342" s="26">
        <f>Таблица2[[#This Row],[Сумма Долл]]*Таблица2[[#This Row],[Курс ДОЛЛ]]</f>
        <v>634122.99371069181</v>
      </c>
      <c r="N34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674598.92947945942</v>
      </c>
      <c r="O34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8239.6438891721918</v>
      </c>
      <c r="P34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40475.935768767609</v>
      </c>
      <c r="Q342" s="30">
        <v>674598.93</v>
      </c>
      <c r="R342" s="12">
        <f>Таблица2[[#This Row],[Сумма в руб]]-Таблица2[[#This Row],[Оплата от клиента]]</f>
        <v>-5.205406341701746E-4</v>
      </c>
      <c r="S342" s="32">
        <v>44623</v>
      </c>
      <c r="T342" s="32" t="s">
        <v>107</v>
      </c>
      <c r="U342" s="24" t="s">
        <v>31</v>
      </c>
      <c r="V342" s="2">
        <v>6.2843</v>
      </c>
      <c r="W342" s="28">
        <v>76.959999999999994</v>
      </c>
      <c r="X342" s="9">
        <v>8239.64</v>
      </c>
      <c r="Y342" s="16">
        <v>38477</v>
      </c>
      <c r="Z342" s="10">
        <v>44579</v>
      </c>
      <c r="AA342" s="26">
        <f>Таблица2[[#This Row],[Сумма перевода Долл/Евро]]*Таблица2[[#This Row],[Курс ДОЛЛ перевод]]+Таблица2[[#This Row],[Сумма за перевод руб]]</f>
        <v>674598.63016876753</v>
      </c>
      <c r="AB34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2116.9253684141122</v>
      </c>
      <c r="AC342" s="9" t="s">
        <v>700</v>
      </c>
      <c r="AD342" s="41" t="s">
        <v>633</v>
      </c>
    </row>
    <row r="343" spans="1:30" ht="60" x14ac:dyDescent="0.25">
      <c r="A343" s="6">
        <v>44573</v>
      </c>
      <c r="B343" s="2" t="s">
        <v>220</v>
      </c>
      <c r="C343" s="2" t="s">
        <v>221</v>
      </c>
      <c r="D343" s="1" t="s">
        <v>542</v>
      </c>
      <c r="E343" s="1"/>
      <c r="F343" s="3"/>
      <c r="G343" s="5">
        <v>20359.03</v>
      </c>
      <c r="H343" s="2"/>
      <c r="I343" s="2">
        <v>75.52</v>
      </c>
      <c r="J343" s="2">
        <v>0.97</v>
      </c>
      <c r="K343" s="2"/>
      <c r="L343" s="2"/>
      <c r="M343" s="26">
        <f>Таблица2[[#This Row],[Сумма Долл]]*Таблица2[[#This Row],[Курс ДОЛЛ]]</f>
        <v>1537513.9455999997</v>
      </c>
      <c r="N34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1585065.9232989689</v>
      </c>
      <c r="O34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19887.646431250803</v>
      </c>
      <c r="P34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47551.977698969189</v>
      </c>
      <c r="Q343" s="30">
        <v>1585065.92</v>
      </c>
      <c r="R343" s="12">
        <f>Таблица2[[#This Row],[Сумма в руб]]-Таблица2[[#This Row],[Оплата от клиента]]</f>
        <v>3.2989690080285072E-3</v>
      </c>
      <c r="S343" s="32">
        <v>44578</v>
      </c>
      <c r="T343" s="32" t="s">
        <v>130</v>
      </c>
      <c r="U343" s="24" t="s">
        <v>31</v>
      </c>
      <c r="V343" s="2"/>
      <c r="W343" s="28">
        <v>77.31</v>
      </c>
      <c r="X343" s="9">
        <v>20359.03</v>
      </c>
      <c r="Y343" s="16"/>
      <c r="Z343" s="2"/>
      <c r="AA343" s="26">
        <f>Таблица2[[#This Row],[Сумма перевода Долл/Евро]]*Таблица2[[#This Row],[Курс ДОЛЛ перевод]]+Таблица2[[#This Row],[Сумма за перевод руб]]</f>
        <v>1621508.5869989691</v>
      </c>
      <c r="AB34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-471.38356874919555</v>
      </c>
      <c r="AC343" s="9"/>
      <c r="AD343" s="41"/>
    </row>
    <row r="344" spans="1:30" ht="75" x14ac:dyDescent="0.25">
      <c r="A344" s="6">
        <v>44573</v>
      </c>
      <c r="B344" s="2" t="s">
        <v>220</v>
      </c>
      <c r="C344" s="2" t="s">
        <v>221</v>
      </c>
      <c r="D344" s="1" t="s">
        <v>570</v>
      </c>
      <c r="E344" s="1"/>
      <c r="F344" s="3"/>
      <c r="G344" s="5">
        <v>4214.7</v>
      </c>
      <c r="H344" s="2"/>
      <c r="I344" s="2">
        <v>75.52</v>
      </c>
      <c r="J344" s="2">
        <v>0.97</v>
      </c>
      <c r="K344" s="2"/>
      <c r="L344" s="2"/>
      <c r="M344" s="26">
        <f>Таблица2[[#This Row],[Сумма Долл]]*Таблица2[[#This Row],[Курс ДОЛЛ]]</f>
        <v>318294.14399999997</v>
      </c>
      <c r="N34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328138.29278350511</v>
      </c>
      <c r="O34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4291.4135634353506</v>
      </c>
      <c r="P34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9844.1487835051375</v>
      </c>
      <c r="Q344" s="30">
        <v>328138.28999999998</v>
      </c>
      <c r="R344" s="12">
        <f>Таблица2[[#This Row],[Сумма в руб]]-Таблица2[[#This Row],[Оплата от клиента]]</f>
        <v>2.7835051296278834E-3</v>
      </c>
      <c r="S344" s="32">
        <v>44587</v>
      </c>
      <c r="T344" s="32" t="s">
        <v>130</v>
      </c>
      <c r="U344" s="24" t="s">
        <v>31</v>
      </c>
      <c r="V344" s="2"/>
      <c r="W344" s="28">
        <v>74.17</v>
      </c>
      <c r="X344" s="9">
        <v>4214.7</v>
      </c>
      <c r="Y344" s="16"/>
      <c r="Z344" s="2"/>
      <c r="AA344" s="26">
        <f>Таблица2[[#This Row],[Сумма перевода Долл/Евро]]*Таблица2[[#This Row],[Курс ДОЛЛ перевод]]+Таблица2[[#This Row],[Сумма за перевод руб]]</f>
        <v>322448.44778350514</v>
      </c>
      <c r="AB34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76.713563435350807</v>
      </c>
      <c r="AC344" s="9"/>
      <c r="AD344" s="41"/>
    </row>
    <row r="345" spans="1:30" ht="60" x14ac:dyDescent="0.25">
      <c r="A345" s="6">
        <v>44573</v>
      </c>
      <c r="B345" s="2" t="s">
        <v>220</v>
      </c>
      <c r="C345" s="2" t="s">
        <v>221</v>
      </c>
      <c r="D345" s="1" t="s">
        <v>542</v>
      </c>
      <c r="E345" s="1"/>
      <c r="F345" s="3"/>
      <c r="G345" s="5">
        <v>16673.29</v>
      </c>
      <c r="H345" s="2"/>
      <c r="I345" s="2">
        <v>75.52</v>
      </c>
      <c r="J345" s="2">
        <v>0.97</v>
      </c>
      <c r="K345" s="2"/>
      <c r="L345" s="2"/>
      <c r="M345" s="26">
        <f>Таблица2[[#This Row],[Сумма Долл]]*Таблица2[[#This Row],[Курс ДОЛЛ]]</f>
        <v>1259166.8607999999</v>
      </c>
      <c r="N34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1298110.1657731959</v>
      </c>
      <c r="O34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16287.244351312895</v>
      </c>
      <c r="P34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38943.304973196005</v>
      </c>
      <c r="Q345" s="30">
        <v>1298110.17</v>
      </c>
      <c r="R345" s="12">
        <f>Таблица2[[#This Row],[Сумма в руб]]-Таблица2[[#This Row],[Оплата от клиента]]</f>
        <v>-4.2268040124326944E-3</v>
      </c>
      <c r="S345" s="32">
        <v>44578</v>
      </c>
      <c r="T345" s="32" t="s">
        <v>130</v>
      </c>
      <c r="U345" s="24" t="s">
        <v>31</v>
      </c>
      <c r="V345" s="2"/>
      <c r="W345" s="28">
        <v>77.31</v>
      </c>
      <c r="X345" s="9">
        <v>16673.29</v>
      </c>
      <c r="Y345" s="16"/>
      <c r="Z345" s="2"/>
      <c r="AA345" s="26">
        <f>Таблица2[[#This Row],[Сумма перевода Долл/Евро]]*Таблица2[[#This Row],[Курс ДОЛЛ перевод]]+Таблица2[[#This Row],[Сумма за перевод руб]]</f>
        <v>1327955.3548731962</v>
      </c>
      <c r="AB34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-386.04564868710622</v>
      </c>
      <c r="AC345" s="9"/>
      <c r="AD345" s="41"/>
    </row>
    <row r="346" spans="1:30" ht="45" x14ac:dyDescent="0.25">
      <c r="A346" s="6">
        <v>44578</v>
      </c>
      <c r="B346" s="2" t="s">
        <v>59</v>
      </c>
      <c r="C346" s="2" t="s">
        <v>435</v>
      </c>
      <c r="D346" s="1" t="s">
        <v>546</v>
      </c>
      <c r="E346" s="1"/>
      <c r="F346" s="3"/>
      <c r="G346" s="5">
        <v>3620</v>
      </c>
      <c r="H346" s="2"/>
      <c r="I346" s="2">
        <v>77.510000000000005</v>
      </c>
      <c r="J346" s="2">
        <v>0.99</v>
      </c>
      <c r="K346" s="2"/>
      <c r="L346" s="2"/>
      <c r="M346" s="26">
        <f>Таблица2[[#This Row],[Сумма Долл]]*Таблица2[[#This Row],[Курс ДОЛЛ]]</f>
        <v>280586.2</v>
      </c>
      <c r="N34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283420.40404040407</v>
      </c>
      <c r="O34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3561.6425488702716</v>
      </c>
      <c r="P34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2834.2040404040599</v>
      </c>
      <c r="Q346" s="30">
        <v>283420.40000000002</v>
      </c>
      <c r="R346" s="12">
        <f>Таблица2[[#This Row],[Сумма в руб]]-Таблица2[[#This Row],[Оплата от клиента]]</f>
        <v>4.0404040482826531E-3</v>
      </c>
      <c r="S346" s="32">
        <v>44589</v>
      </c>
      <c r="T346" s="32" t="s">
        <v>164</v>
      </c>
      <c r="U346" s="24" t="s">
        <v>31</v>
      </c>
      <c r="V346" s="2"/>
      <c r="W346" s="28">
        <v>78.78</v>
      </c>
      <c r="X346" s="9">
        <v>3620</v>
      </c>
      <c r="Y346" s="16"/>
      <c r="Z346" s="2"/>
      <c r="AA346" s="26">
        <f>Таблица2[[#This Row],[Сумма перевода Долл/Евро]]*Таблица2[[#This Row],[Курс ДОЛЛ перевод]]+Таблица2[[#This Row],[Сумма за перевод руб]]</f>
        <v>288017.80404040404</v>
      </c>
      <c r="AB34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-58.357451129728361</v>
      </c>
      <c r="AC346" s="9" t="s">
        <v>627</v>
      </c>
      <c r="AD346" s="41" t="s">
        <v>626</v>
      </c>
    </row>
    <row r="347" spans="1:30" ht="45" x14ac:dyDescent="0.25">
      <c r="A347" s="6">
        <v>44579</v>
      </c>
      <c r="B347" s="2" t="s">
        <v>547</v>
      </c>
      <c r="C347" s="2" t="s">
        <v>110</v>
      </c>
      <c r="D347" s="1" t="s">
        <v>134</v>
      </c>
      <c r="E347" s="1"/>
      <c r="F347" s="3"/>
      <c r="G347" s="5">
        <v>1732</v>
      </c>
      <c r="H347" s="2"/>
      <c r="I347" s="2">
        <v>77.16</v>
      </c>
      <c r="J347" s="2">
        <v>0.97</v>
      </c>
      <c r="K347" s="2"/>
      <c r="L347" s="2"/>
      <c r="M347" s="26">
        <f>Таблица2[[#This Row],[Сумма Долл]]*Таблица2[[#This Row],[Курс ДОЛЛ]]</f>
        <v>133641.12</v>
      </c>
      <c r="N34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137774.35051546391</v>
      </c>
      <c r="O34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1718.193880174852</v>
      </c>
      <c r="P34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4133.230515463918</v>
      </c>
      <c r="Q347" s="30">
        <v>137774.35</v>
      </c>
      <c r="R347" s="12">
        <f>Таблица2[[#This Row],[Сумма в руб]]-Таблица2[[#This Row],[Оплата от клиента]]</f>
        <v>5.1546390750445426E-4</v>
      </c>
      <c r="S347" s="32">
        <v>44580</v>
      </c>
      <c r="T347" s="32" t="s">
        <v>130</v>
      </c>
      <c r="U347" s="24" t="s">
        <v>31</v>
      </c>
      <c r="V347" s="2"/>
      <c r="W347" s="28">
        <v>77.78</v>
      </c>
      <c r="X347" s="9">
        <v>1732</v>
      </c>
      <c r="Y347" s="16"/>
      <c r="Z347" s="2"/>
      <c r="AA347" s="26">
        <f>Таблица2[[#This Row],[Сумма перевода Долл/Евро]]*Таблица2[[#This Row],[Курс ДОЛЛ перевод]]+Таблица2[[#This Row],[Сумма за перевод руб]]</f>
        <v>138848.19051546391</v>
      </c>
      <c r="AB34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-13.806119825148016</v>
      </c>
      <c r="AC347" s="9"/>
      <c r="AD347" s="41" t="s">
        <v>548</v>
      </c>
    </row>
    <row r="348" spans="1:30" x14ac:dyDescent="0.25">
      <c r="A348" s="6">
        <v>44579</v>
      </c>
      <c r="B348" s="2" t="s">
        <v>552</v>
      </c>
      <c r="C348" s="2" t="s">
        <v>553</v>
      </c>
      <c r="D348" s="1"/>
      <c r="E348" s="1"/>
      <c r="F348" s="3"/>
      <c r="G348" s="5">
        <v>24850</v>
      </c>
      <c r="H348" s="2"/>
      <c r="I348" s="2">
        <v>77.209999999999994</v>
      </c>
      <c r="J348" s="2">
        <v>0.99</v>
      </c>
      <c r="K348" s="2"/>
      <c r="L348" s="2"/>
      <c r="M348" s="26">
        <f>Таблица2[[#This Row],[Сумма Долл]]*Таблица2[[#This Row],[Курс ДОЛЛ]]</f>
        <v>1918668.4999999998</v>
      </c>
      <c r="N34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1938048.9898989897</v>
      </c>
      <c r="O34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24850</v>
      </c>
      <c r="P34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19380.489898989908</v>
      </c>
      <c r="Q348" s="30"/>
      <c r="R348" s="12">
        <f>Таблица2[[#This Row],[Сумма в руб]]-Таблица2[[#This Row],[Оплата от клиента]]</f>
        <v>1938048.9898989897</v>
      </c>
      <c r="S348" s="32"/>
      <c r="T348" s="32"/>
      <c r="U348" s="24"/>
      <c r="V348" s="2"/>
      <c r="W348" s="28"/>
      <c r="X348" s="9"/>
      <c r="Y348" s="16"/>
      <c r="Z348" s="2"/>
      <c r="AA348" s="26">
        <f>Таблица2[[#This Row],[Сумма перевода Долл/Евро]]*Таблица2[[#This Row],[Курс ДОЛЛ перевод]]+Таблица2[[#This Row],[Сумма за перевод руб]]</f>
        <v>19380.489898989908</v>
      </c>
      <c r="AB34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24850</v>
      </c>
      <c r="AC348" s="9"/>
      <c r="AD348" s="41"/>
    </row>
    <row r="349" spans="1:30" ht="30" x14ac:dyDescent="0.25">
      <c r="A349" s="6">
        <v>44581</v>
      </c>
      <c r="B349" s="2" t="s">
        <v>59</v>
      </c>
      <c r="C349" s="2" t="s">
        <v>435</v>
      </c>
      <c r="D349" s="1" t="s">
        <v>561</v>
      </c>
      <c r="E349" s="1"/>
      <c r="F349" s="3"/>
      <c r="G349" s="5">
        <v>4617</v>
      </c>
      <c r="H349" s="2"/>
      <c r="I349" s="2">
        <v>77.42</v>
      </c>
      <c r="J349" s="2">
        <v>0.99</v>
      </c>
      <c r="K349" s="2"/>
      <c r="L349" s="2"/>
      <c r="M349" s="26">
        <f>Таблица2[[#This Row],[Сумма Долл]]*Таблица2[[#This Row],[Курс ДОЛЛ]]</f>
        <v>357448.14</v>
      </c>
      <c r="N34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361058.72727272729</v>
      </c>
      <c r="O34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4537.2955064737243</v>
      </c>
      <c r="P34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3610.5872727272799</v>
      </c>
      <c r="Q349" s="30">
        <v>361058.73</v>
      </c>
      <c r="R349" s="12">
        <f>Таблица2[[#This Row],[Сумма в руб]]-Таблица2[[#This Row],[Оплата от клиента]]</f>
        <v>-2.7272726874798536E-3</v>
      </c>
      <c r="S349" s="32">
        <v>44589</v>
      </c>
      <c r="T349" s="32" t="s">
        <v>130</v>
      </c>
      <c r="U349" s="24" t="s">
        <v>31</v>
      </c>
      <c r="V349" s="2"/>
      <c r="W349" s="28">
        <v>78.78</v>
      </c>
      <c r="X349" s="9">
        <v>4617</v>
      </c>
      <c r="Y349" s="16"/>
      <c r="Z349" s="2"/>
      <c r="AA349" s="26">
        <f>Таблица2[[#This Row],[Сумма перевода Долл/Евро]]*Таблица2[[#This Row],[Курс ДОЛЛ перевод]]+Таблица2[[#This Row],[Сумма за перевод руб]]</f>
        <v>367337.84727272729</v>
      </c>
      <c r="AB34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-79.704493526275655</v>
      </c>
      <c r="AC349" s="9" t="s">
        <v>628</v>
      </c>
      <c r="AD349" s="41" t="s">
        <v>562</v>
      </c>
    </row>
    <row r="350" spans="1:30" ht="30" x14ac:dyDescent="0.25">
      <c r="A350" s="6">
        <v>44586</v>
      </c>
      <c r="B350" s="2" t="s">
        <v>38</v>
      </c>
      <c r="C350" s="2" t="s">
        <v>567</v>
      </c>
      <c r="D350" s="1" t="s">
        <v>568</v>
      </c>
      <c r="E350" s="1"/>
      <c r="F350" s="3"/>
      <c r="G350" s="5">
        <v>2905.08</v>
      </c>
      <c r="H350" s="2"/>
      <c r="I350" s="2">
        <v>79.45</v>
      </c>
      <c r="J350" s="2">
        <v>0.96499999999999997</v>
      </c>
      <c r="K350" s="2"/>
      <c r="L350" s="2"/>
      <c r="M350" s="26">
        <f>Таблица2[[#This Row],[Сумма Долл]]*Таблица2[[#This Row],[Курс ДОЛЛ]]</f>
        <v>230808.606</v>
      </c>
      <c r="N35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239179.90259067359</v>
      </c>
      <c r="O35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2890.8893537074146</v>
      </c>
      <c r="P35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8371.2965906735917</v>
      </c>
      <c r="Q350" s="30">
        <v>239179.9</v>
      </c>
      <c r="R350" s="12">
        <f>Таблица2[[#This Row],[Сумма в руб]]-Таблица2[[#This Row],[Оплата от клиента]]</f>
        <v>2.5906735972966999E-3</v>
      </c>
      <c r="S350" s="32">
        <v>44587</v>
      </c>
      <c r="T350" s="32" t="s">
        <v>164</v>
      </c>
      <c r="U350" s="24" t="s">
        <v>31</v>
      </c>
      <c r="V350" s="2"/>
      <c r="W350" s="28">
        <v>79.84</v>
      </c>
      <c r="X350" s="9">
        <v>2905.08</v>
      </c>
      <c r="Y350" s="16"/>
      <c r="Z350" s="2"/>
      <c r="AA350" s="26">
        <f>Таблица2[[#This Row],[Сумма перевода Долл/Евро]]*Таблица2[[#This Row],[Курс ДОЛЛ перевод]]+Таблица2[[#This Row],[Сумма за перевод руб]]</f>
        <v>240312.8837906736</v>
      </c>
      <c r="AB35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-14.19064629258537</v>
      </c>
      <c r="AC350" s="9" t="s">
        <v>683</v>
      </c>
      <c r="AD350" s="41"/>
    </row>
    <row r="351" spans="1:30" x14ac:dyDescent="0.25">
      <c r="A351" s="6">
        <v>44586</v>
      </c>
      <c r="B351" s="2" t="s">
        <v>32</v>
      </c>
      <c r="C351" s="2" t="s">
        <v>33</v>
      </c>
      <c r="D351" s="1" t="s">
        <v>569</v>
      </c>
      <c r="E351" s="1"/>
      <c r="F351" s="3"/>
      <c r="G351" s="5">
        <v>13875</v>
      </c>
      <c r="H351" s="2"/>
      <c r="I351" s="2">
        <v>76.25</v>
      </c>
      <c r="J351" s="2">
        <v>0.99</v>
      </c>
      <c r="K351" s="2"/>
      <c r="L351" s="2"/>
      <c r="M351" s="26">
        <f>Таблица2[[#This Row],[Сумма Долл]]*Таблица2[[#This Row],[Курс ДОЛЛ]]</f>
        <v>1057968.75</v>
      </c>
      <c r="N35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1068655.303030303</v>
      </c>
      <c r="O35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13962.897584796094</v>
      </c>
      <c r="P35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10686.553030302981</v>
      </c>
      <c r="Q351" s="30">
        <v>1068655.3</v>
      </c>
      <c r="R351" s="12">
        <f>Таблица2[[#This Row],[Сумма в руб]]-Таблица2[[#This Row],[Оплата от клиента]]</f>
        <v>3.0303029343485832E-3</v>
      </c>
      <c r="S351" s="32">
        <v>44601</v>
      </c>
      <c r="T351" s="32" t="s">
        <v>130</v>
      </c>
      <c r="U351" s="24" t="s">
        <v>31</v>
      </c>
      <c r="V351" s="2"/>
      <c r="W351" s="28">
        <v>75.77</v>
      </c>
      <c r="X351" s="9">
        <v>13875</v>
      </c>
      <c r="Y351" s="16"/>
      <c r="Z351" s="2"/>
      <c r="AA351" s="26">
        <f>Таблица2[[#This Row],[Сумма перевода Долл/Евро]]*Таблица2[[#This Row],[Курс ДОЛЛ перевод]]+Таблица2[[#This Row],[Сумма за перевод руб]]</f>
        <v>1061995.303030303</v>
      </c>
      <c r="AB35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87.897584796093724</v>
      </c>
      <c r="AC351" s="9" t="s">
        <v>640</v>
      </c>
      <c r="AD351" s="41"/>
    </row>
    <row r="352" spans="1:30" x14ac:dyDescent="0.25">
      <c r="A352" s="6">
        <v>44600</v>
      </c>
      <c r="B352" s="2" t="s">
        <v>35</v>
      </c>
      <c r="C352" s="2" t="s">
        <v>36</v>
      </c>
      <c r="D352" s="1" t="s">
        <v>574</v>
      </c>
      <c r="E352" s="1"/>
      <c r="F352" s="3"/>
      <c r="G352" s="5">
        <v>4651.6000000000004</v>
      </c>
      <c r="H352" s="2"/>
      <c r="I352" s="2">
        <v>76.23</v>
      </c>
      <c r="J352" s="2">
        <v>0.97</v>
      </c>
      <c r="K352" s="2"/>
      <c r="L352" s="2"/>
      <c r="M352" s="26">
        <f>Таблица2[[#This Row],[Сумма Долл]]*Таблица2[[#This Row],[Курс ДОЛЛ]]</f>
        <v>354591.46800000005</v>
      </c>
      <c r="N35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365558.21443298977</v>
      </c>
      <c r="O35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4679.8398838590483</v>
      </c>
      <c r="P35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10966.746432989719</v>
      </c>
      <c r="Q352" s="30">
        <v>365558.21</v>
      </c>
      <c r="R352" s="12">
        <f>Таблица2[[#This Row],[Сумма в руб]]-Таблица2[[#This Row],[Оплата от клиента]]</f>
        <v>4.4329897500574589E-3</v>
      </c>
      <c r="S352" s="32">
        <v>44601</v>
      </c>
      <c r="T352" s="32" t="s">
        <v>130</v>
      </c>
      <c r="U352" s="24" t="s">
        <v>31</v>
      </c>
      <c r="V352" s="2"/>
      <c r="W352" s="28">
        <v>75.77</v>
      </c>
      <c r="X352" s="9">
        <v>4651.6000000000004</v>
      </c>
      <c r="Y352" s="16"/>
      <c r="Z352" s="2"/>
      <c r="AA352" s="26">
        <f>Таблица2[[#This Row],[Сумма перевода Долл/Евро]]*Таблица2[[#This Row],[Курс ДОЛЛ перевод]]+Таблица2[[#This Row],[Сумма за перевод руб]]</f>
        <v>363418.47843298974</v>
      </c>
      <c r="AB35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28.23988385904795</v>
      </c>
      <c r="AC352" s="9" t="s">
        <v>640</v>
      </c>
      <c r="AD352" s="41"/>
    </row>
    <row r="353" spans="1:30" x14ac:dyDescent="0.25">
      <c r="A353" s="6">
        <v>44602</v>
      </c>
      <c r="B353" s="2" t="s">
        <v>239</v>
      </c>
      <c r="C353" s="2" t="s">
        <v>240</v>
      </c>
      <c r="D353" s="1" t="s">
        <v>576</v>
      </c>
      <c r="E353" s="1"/>
      <c r="F353" s="3">
        <v>5850</v>
      </c>
      <c r="G353" s="5">
        <f>Таблица2[[#This Row],[Сумма ЮА]]/Таблица2[[#This Row],[Курс ЮА]]</f>
        <v>919.81132075471692</v>
      </c>
      <c r="H353" s="2">
        <v>6.36</v>
      </c>
      <c r="I353" s="2">
        <v>75.680000000000007</v>
      </c>
      <c r="J353" s="26">
        <v>0.94</v>
      </c>
      <c r="K353" s="2"/>
      <c r="L353" s="2"/>
      <c r="M353" s="26">
        <f>Таблица2[[#This Row],[Сумма Долл]]*Таблица2[[#This Row],[Курс ДОЛЛ]]</f>
        <v>69611.320754716988</v>
      </c>
      <c r="N35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74054.596547571273</v>
      </c>
      <c r="O35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920.78466606768507</v>
      </c>
      <c r="P35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4443.2757928542851</v>
      </c>
      <c r="Q353" s="30">
        <v>74054.600000000006</v>
      </c>
      <c r="R353" s="12">
        <f>Таблица2[[#This Row],[Сумма в руб]]-Таблица2[[#This Row],[Оплата от клиента]]</f>
        <v>-3.4524287329986691E-3</v>
      </c>
      <c r="S353" s="32">
        <v>44610</v>
      </c>
      <c r="T353" s="32" t="s">
        <v>107</v>
      </c>
      <c r="U353" s="24" t="s">
        <v>375</v>
      </c>
      <c r="V353" s="2">
        <v>6.3140999999999998</v>
      </c>
      <c r="W353" s="28">
        <v>75.599999999999994</v>
      </c>
      <c r="X353" s="9">
        <v>978.13</v>
      </c>
      <c r="Y353" s="16">
        <v>5850</v>
      </c>
      <c r="Z353" s="10"/>
      <c r="AA353" s="26">
        <f>Таблица2[[#This Row],[Сумма перевода Долл/Евро]]*Таблица2[[#This Row],[Курс ДОЛЛ перевод]]+Таблица2[[#This Row],[Сумма за перевод руб]]</f>
        <v>78389.903792854282</v>
      </c>
      <c r="AB35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-5.7131721040259436</v>
      </c>
      <c r="AC353" s="9" t="s">
        <v>640</v>
      </c>
      <c r="AD353" s="41"/>
    </row>
    <row r="354" spans="1:30" x14ac:dyDescent="0.25">
      <c r="A354" s="6">
        <v>44603</v>
      </c>
      <c r="B354" s="2" t="s">
        <v>35</v>
      </c>
      <c r="C354" s="2" t="s">
        <v>36</v>
      </c>
      <c r="D354" s="1" t="s">
        <v>580</v>
      </c>
      <c r="E354" s="1"/>
      <c r="F354" s="3"/>
      <c r="G354" s="5">
        <v>2671</v>
      </c>
      <c r="H354" s="2"/>
      <c r="I354" s="2">
        <v>75.91</v>
      </c>
      <c r="J354" s="2">
        <v>0.97</v>
      </c>
      <c r="K354" s="2"/>
      <c r="L354" s="2"/>
      <c r="M354" s="26">
        <f>Таблица2[[#This Row],[Сумма Долл]]*Таблица2[[#This Row],[Курс ДОЛЛ]]</f>
        <v>202755.61</v>
      </c>
      <c r="N35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209026.40206185565</v>
      </c>
      <c r="O35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2633.8738633411272</v>
      </c>
      <c r="P35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6270.7920618556673</v>
      </c>
      <c r="Q354" s="30">
        <v>209026.4</v>
      </c>
      <c r="R354" s="12">
        <f>Таблица2[[#This Row],[Сумма в руб]]-Таблица2[[#This Row],[Оплата от клиента]]</f>
        <v>2.0618556591216475E-3</v>
      </c>
      <c r="S354" s="32">
        <v>44606</v>
      </c>
      <c r="T354" s="32" t="s">
        <v>164</v>
      </c>
      <c r="U354" s="24" t="s">
        <v>31</v>
      </c>
      <c r="V354" s="2"/>
      <c r="W354" s="28">
        <v>76.98</v>
      </c>
      <c r="X354" s="9">
        <v>2671</v>
      </c>
      <c r="Y354" s="16"/>
      <c r="Z354" s="2"/>
      <c r="AA354" s="26">
        <f>Таблица2[[#This Row],[Сумма перевода Долл/Евро]]*Таблица2[[#This Row],[Курс ДОЛЛ перевод]]+Таблица2[[#This Row],[Сумма за перевод руб]]</f>
        <v>211884.37206185568</v>
      </c>
      <c r="AB35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-37.126136658872838</v>
      </c>
      <c r="AC354" s="9" t="s">
        <v>640</v>
      </c>
      <c r="AD354" s="41"/>
    </row>
    <row r="355" spans="1:30" x14ac:dyDescent="0.25">
      <c r="A355" s="6">
        <v>44606</v>
      </c>
      <c r="B355" s="2" t="s">
        <v>581</v>
      </c>
      <c r="C355" s="1" t="s">
        <v>582</v>
      </c>
      <c r="D355" s="1" t="s">
        <v>583</v>
      </c>
      <c r="E355" s="1"/>
      <c r="F355" s="3">
        <f>Таблица2[[#This Row],[Сумма Долл]]*Таблица2[[#This Row],[Курс ЮА]]</f>
        <v>39089.200000000004</v>
      </c>
      <c r="G355" s="5">
        <v>6185</v>
      </c>
      <c r="H355" s="2">
        <v>6.32</v>
      </c>
      <c r="I355" s="2">
        <v>78.22</v>
      </c>
      <c r="J355" s="2">
        <v>0.96</v>
      </c>
      <c r="K355" s="2"/>
      <c r="L355" s="2"/>
      <c r="M355" s="26">
        <f>Таблица2[[#This Row],[Сумма Долл]]*Таблица2[[#This Row],[Курс ДОЛЛ]]</f>
        <v>483790.7</v>
      </c>
      <c r="N35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503948.64583333337</v>
      </c>
      <c r="O35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6351.459892346068</v>
      </c>
      <c r="P35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20157.94583333336</v>
      </c>
      <c r="Q355" s="30">
        <v>503948.65</v>
      </c>
      <c r="R355" s="12">
        <f>Таблица2[[#This Row],[Сумма в руб]]-Таблица2[[#This Row],[Оплата от клиента]]</f>
        <v>-4.1666666511446238E-3</v>
      </c>
      <c r="S355" s="32">
        <v>44613</v>
      </c>
      <c r="T355" s="32" t="s">
        <v>107</v>
      </c>
      <c r="U355" s="24" t="s">
        <v>375</v>
      </c>
      <c r="V355" s="2">
        <v>6.32</v>
      </c>
      <c r="W355" s="28">
        <v>76.17</v>
      </c>
      <c r="X355" s="9">
        <v>6185</v>
      </c>
      <c r="Y355" s="16">
        <v>29500</v>
      </c>
      <c r="Z355" s="2"/>
      <c r="AA355" s="26">
        <f>Таблица2[[#This Row],[Сумма перевода Долл/Евро]]*Таблица2[[#This Row],[Курс ДОЛЛ перевод]]+Таблица2[[#This Row],[Сумма за перевод руб]]</f>
        <v>491269.39583333337</v>
      </c>
      <c r="AB35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1683.7383733587267</v>
      </c>
      <c r="AC355" s="9" t="s">
        <v>648</v>
      </c>
      <c r="AD355" s="41" t="s">
        <v>602</v>
      </c>
    </row>
    <row r="356" spans="1:30" x14ac:dyDescent="0.25">
      <c r="A356" s="6">
        <v>44607</v>
      </c>
      <c r="B356" s="2" t="s">
        <v>35</v>
      </c>
      <c r="C356" s="2" t="s">
        <v>36</v>
      </c>
      <c r="D356" s="1" t="s">
        <v>254</v>
      </c>
      <c r="E356" s="1"/>
      <c r="F356" s="3"/>
      <c r="G356" s="5">
        <v>2705</v>
      </c>
      <c r="H356" s="2"/>
      <c r="I356" s="2">
        <v>76.73</v>
      </c>
      <c r="J356" s="2">
        <v>0.97</v>
      </c>
      <c r="K356" s="2"/>
      <c r="L356" s="2"/>
      <c r="M356" s="26">
        <f>Таблица2[[#This Row],[Сумма Долл]]*Таблица2[[#This Row],[Курс ДОЛЛ]]</f>
        <v>207554.65000000002</v>
      </c>
      <c r="N35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213973.86597938149</v>
      </c>
      <c r="O35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2726.6769574356281</v>
      </c>
      <c r="P35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6419.2159793814644</v>
      </c>
      <c r="Q356" s="30">
        <v>213973.87</v>
      </c>
      <c r="R356" s="12">
        <f>Таблица2[[#This Row],[Сумма в руб]]-Таблица2[[#This Row],[Оплата от клиента]]</f>
        <v>-4.0206185076385736E-3</v>
      </c>
      <c r="S356" s="32">
        <v>44607</v>
      </c>
      <c r="T356" s="32" t="s">
        <v>164</v>
      </c>
      <c r="U356" s="24" t="s">
        <v>31</v>
      </c>
      <c r="V356" s="2"/>
      <c r="W356" s="28">
        <v>76.12</v>
      </c>
      <c r="X356" s="9">
        <v>2705</v>
      </c>
      <c r="Y356" s="16"/>
      <c r="Z356" s="2"/>
      <c r="AA356" s="26">
        <f>Таблица2[[#This Row],[Сумма перевода Долл/Евро]]*Таблица2[[#This Row],[Курс ДОЛЛ перевод]]+Таблица2[[#This Row],[Сумма за перевод руб]]</f>
        <v>212323.81597938147</v>
      </c>
      <c r="AB35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21.676957435628083</v>
      </c>
      <c r="AC356" s="9" t="s">
        <v>640</v>
      </c>
      <c r="AD356" s="41"/>
    </row>
    <row r="357" spans="1:30" ht="30" x14ac:dyDescent="0.25">
      <c r="A357" s="6">
        <v>44607</v>
      </c>
      <c r="B357" s="2" t="s">
        <v>584</v>
      </c>
      <c r="C357" s="2" t="s">
        <v>585</v>
      </c>
      <c r="D357" s="1" t="s">
        <v>601</v>
      </c>
      <c r="E357" s="1"/>
      <c r="F357" s="3">
        <v>10650</v>
      </c>
      <c r="G357" s="5">
        <f>Таблица2[[#This Row],[Сумма ЮА]]/Таблица2[[#This Row],[Курс ЮА]]</f>
        <v>1685.126582278481</v>
      </c>
      <c r="H357" s="2">
        <v>6.32</v>
      </c>
      <c r="I357" s="2">
        <v>80.2</v>
      </c>
      <c r="J357" s="2">
        <v>0.9</v>
      </c>
      <c r="K357" s="2"/>
      <c r="L357" s="2"/>
      <c r="M357" s="26">
        <f>Таблица2[[#This Row],[Сумма Долл]]*Таблица2[[#This Row],[Курс ДОЛЛ]]</f>
        <v>135147.15189873418</v>
      </c>
      <c r="N35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перевод]]))))+1475.47</f>
        <v>151638.97210970466</v>
      </c>
      <c r="O35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1685.126582278481</v>
      </c>
      <c r="P35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16491.820210970473</v>
      </c>
      <c r="Q357" s="30">
        <f>132836+18802.97</f>
        <v>151638.97</v>
      </c>
      <c r="R357" s="12">
        <f>Таблица2[[#This Row],[Сумма в руб]]-Таблица2[[#This Row],[Оплата от клиента]]</f>
        <v>2.1097046555951238E-3</v>
      </c>
      <c r="S357" s="32">
        <v>44616</v>
      </c>
      <c r="T357" s="32" t="s">
        <v>382</v>
      </c>
      <c r="U357" s="24" t="s">
        <v>31</v>
      </c>
      <c r="V357" s="2">
        <v>6.2946</v>
      </c>
      <c r="W357" s="28">
        <v>80.2</v>
      </c>
      <c r="X357" s="9">
        <v>1650</v>
      </c>
      <c r="Y357" s="16">
        <v>10650</v>
      </c>
      <c r="Z357" s="2"/>
      <c r="AA357" s="26">
        <f>Таблица2[[#This Row],[Сумма перевода Долл/Евро]]*Таблица2[[#This Row],[Курс ДОЛЛ перевод]]+Таблица2[[#This Row],[Сумма за перевод руб]]</f>
        <v>148821.82021097047</v>
      </c>
      <c r="AB35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-6.7998308375231318</v>
      </c>
      <c r="AC357" s="9" t="s">
        <v>666</v>
      </c>
      <c r="AD357" s="41" t="s">
        <v>637</v>
      </c>
    </row>
    <row r="358" spans="1:30" x14ac:dyDescent="0.25">
      <c r="A358" s="6">
        <v>44607</v>
      </c>
      <c r="B358" s="2" t="s">
        <v>178</v>
      </c>
      <c r="C358" s="2" t="s">
        <v>586</v>
      </c>
      <c r="D358" s="1" t="s">
        <v>587</v>
      </c>
      <c r="E358" s="1"/>
      <c r="F358" s="3"/>
      <c r="G358" s="5">
        <v>1672</v>
      </c>
      <c r="H358" s="2"/>
      <c r="I358" s="2">
        <v>76.739999999999995</v>
      </c>
      <c r="J358" s="2">
        <v>0.97</v>
      </c>
      <c r="K358" s="2"/>
      <c r="L358" s="2"/>
      <c r="M358" s="26">
        <f>Таблица2[[#This Row],[Сумма Долл]]*Таблица2[[#This Row],[Курс ДОЛЛ]]</f>
        <v>128309.27999999998</v>
      </c>
      <c r="N35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132277.60824742267</v>
      </c>
      <c r="O35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1684.5120126033869</v>
      </c>
      <c r="P35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3968.3282474226871</v>
      </c>
      <c r="Q358" s="30">
        <v>132277.60999999999</v>
      </c>
      <c r="R358" s="12">
        <f>Таблица2[[#This Row],[Сумма в руб]]-Таблица2[[#This Row],[Оплата от клиента]]</f>
        <v>-1.7525773146189749E-3</v>
      </c>
      <c r="S358" s="32">
        <v>44608</v>
      </c>
      <c r="T358" s="32" t="s">
        <v>164</v>
      </c>
      <c r="U358" s="24" t="s">
        <v>31</v>
      </c>
      <c r="V358" s="2"/>
      <c r="W358" s="28">
        <v>76.17</v>
      </c>
      <c r="X358" s="9">
        <v>1672</v>
      </c>
      <c r="Y358" s="16"/>
      <c r="Z358" s="2"/>
      <c r="AA358" s="26">
        <f>Таблица2[[#This Row],[Сумма перевода Долл/Евро]]*Таблица2[[#This Row],[Курс ДОЛЛ перевод]]+Таблица2[[#This Row],[Сумма за перевод руб]]</f>
        <v>131324.56824742269</v>
      </c>
      <c r="AB35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12.512012603386893</v>
      </c>
      <c r="AC358" s="9"/>
      <c r="AD358" s="41"/>
    </row>
    <row r="359" spans="1:30" x14ac:dyDescent="0.25">
      <c r="A359" s="6">
        <v>44595</v>
      </c>
      <c r="B359" s="2" t="s">
        <v>178</v>
      </c>
      <c r="C359" s="2" t="s">
        <v>586</v>
      </c>
      <c r="D359" s="1" t="s">
        <v>588</v>
      </c>
      <c r="E359" s="1"/>
      <c r="F359" s="3"/>
      <c r="G359" s="5">
        <v>3808</v>
      </c>
      <c r="H359" s="2"/>
      <c r="I359" s="2">
        <v>77.36</v>
      </c>
      <c r="J359" s="2">
        <v>0.97</v>
      </c>
      <c r="K359" s="2"/>
      <c r="L359" s="2"/>
      <c r="M359" s="26">
        <f>Таблица2[[#This Row],[Сумма Долл]]*Таблица2[[#This Row],[Курс ДОЛЛ]]</f>
        <v>294586.88</v>
      </c>
      <c r="N35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303697.81443298969</v>
      </c>
      <c r="O35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3867.4921885256663</v>
      </c>
      <c r="P35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9110.9344329896849</v>
      </c>
      <c r="Q359" s="30">
        <v>303697.81</v>
      </c>
      <c r="R359" s="12">
        <f>Таблица2[[#This Row],[Сумма в руб]]-Таблица2[[#This Row],[Оплата от клиента]]</f>
        <v>4.432989691849798E-3</v>
      </c>
      <c r="S359" s="32">
        <v>44607</v>
      </c>
      <c r="T359" s="32" t="s">
        <v>164</v>
      </c>
      <c r="U359" s="24" t="s">
        <v>31</v>
      </c>
      <c r="V359" s="2"/>
      <c r="W359" s="28">
        <v>76.17</v>
      </c>
      <c r="X359" s="9">
        <v>3808</v>
      </c>
      <c r="Y359" s="16"/>
      <c r="Z359" s="2"/>
      <c r="AA359" s="26">
        <f>Таблица2[[#This Row],[Сумма перевода Долл/Евро]]*Таблица2[[#This Row],[Курс ДОЛЛ перевод]]+Таблица2[[#This Row],[Сумма за перевод руб]]</f>
        <v>299166.29443298967</v>
      </c>
      <c r="AB35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59.492188525666279</v>
      </c>
      <c r="AC359" s="9"/>
      <c r="AD359" s="41"/>
    </row>
    <row r="360" spans="1:30" x14ac:dyDescent="0.25">
      <c r="A360" s="6">
        <v>44595</v>
      </c>
      <c r="B360" s="2" t="s">
        <v>178</v>
      </c>
      <c r="C360" s="2" t="s">
        <v>586</v>
      </c>
      <c r="D360" s="1" t="s">
        <v>589</v>
      </c>
      <c r="E360" s="1"/>
      <c r="F360" s="3"/>
      <c r="G360" s="5">
        <v>7028</v>
      </c>
      <c r="H360" s="2"/>
      <c r="I360" s="2">
        <v>77.36</v>
      </c>
      <c r="J360" s="2">
        <v>0.97</v>
      </c>
      <c r="K360" s="2"/>
      <c r="L360" s="2"/>
      <c r="M360" s="26">
        <f>Таблица2[[#This Row],[Сумма Долл]]*Таблица2[[#This Row],[Курс ДОЛЛ]]</f>
        <v>543686.07999999996</v>
      </c>
      <c r="N36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560501.11340206186</v>
      </c>
      <c r="O36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7137.7980832348685</v>
      </c>
      <c r="P36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16815.033402061905</v>
      </c>
      <c r="Q360" s="30">
        <v>560501.11</v>
      </c>
      <c r="R360" s="12">
        <f>Таблица2[[#This Row],[Сумма в руб]]-Таблица2[[#This Row],[Оплата от клиента]]</f>
        <v>3.4020618768408895E-3</v>
      </c>
      <c r="S360" s="32">
        <v>44607</v>
      </c>
      <c r="T360" s="32" t="s">
        <v>164</v>
      </c>
      <c r="U360" s="24" t="s">
        <v>31</v>
      </c>
      <c r="V360" s="2"/>
      <c r="W360" s="28">
        <v>76.17</v>
      </c>
      <c r="X360" s="9">
        <v>7028</v>
      </c>
      <c r="Y360" s="16"/>
      <c r="Z360" s="2"/>
      <c r="AA360" s="26">
        <f>Таблица2[[#This Row],[Сумма перевода Долл/Евро]]*Таблица2[[#This Row],[Курс ДОЛЛ перевод]]+Таблица2[[#This Row],[Сумма за перевод руб]]</f>
        <v>552137.79340206191</v>
      </c>
      <c r="AB36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109.7980832348685</v>
      </c>
      <c r="AC360" s="9" t="s">
        <v>710</v>
      </c>
      <c r="AD360" s="41"/>
    </row>
    <row r="361" spans="1:30" x14ac:dyDescent="0.25">
      <c r="A361" s="6">
        <v>44608</v>
      </c>
      <c r="B361" s="2" t="s">
        <v>239</v>
      </c>
      <c r="C361" s="2" t="s">
        <v>240</v>
      </c>
      <c r="D361" s="1" t="s">
        <v>590</v>
      </c>
      <c r="E361" s="1"/>
      <c r="F361" s="3">
        <v>150</v>
      </c>
      <c r="G361" s="5">
        <f>Таблица2[[#This Row],[Сумма ЮА]]/Таблица2[[#This Row],[Курс ЮА]]</f>
        <v>23.584905660377359</v>
      </c>
      <c r="H361" s="2">
        <v>6.36</v>
      </c>
      <c r="I361" s="2">
        <v>76.180000000000007</v>
      </c>
      <c r="J361" s="2">
        <v>0.94</v>
      </c>
      <c r="K361" s="2"/>
      <c r="L361" s="2"/>
      <c r="M361" s="26">
        <f>Таблица2[[#This Row],[Сумма Долл]]*Таблица2[[#This Row],[Курс ДОЛЛ]]</f>
        <v>1796.6981132075473</v>
      </c>
      <c r="N36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1911.3809714973909</v>
      </c>
      <c r="O36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23.646987538925337</v>
      </c>
      <c r="P36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114.68285828984358</v>
      </c>
      <c r="Q361" s="30">
        <v>1911.38</v>
      </c>
      <c r="R361" s="12">
        <f>Таблица2[[#This Row],[Сумма в руб]]-Таблица2[[#This Row],[Оплата от клиента]]</f>
        <v>9.7149739076485275E-4</v>
      </c>
      <c r="S361" s="32">
        <v>44610</v>
      </c>
      <c r="T361" s="32" t="s">
        <v>107</v>
      </c>
      <c r="U361" s="24" t="s">
        <v>375</v>
      </c>
      <c r="V361" s="2">
        <v>6.3140999999999998</v>
      </c>
      <c r="W361" s="28">
        <v>75.98</v>
      </c>
      <c r="X361" s="9">
        <v>23.64</v>
      </c>
      <c r="Y361" s="16">
        <v>150</v>
      </c>
      <c r="Z361" s="2"/>
      <c r="AA361" s="26">
        <f>Таблица2[[#This Row],[Сумма перевода Долл/Евро]]*Таблица2[[#This Row],[Курс ДОЛЛ перевод]]+Таблица2[[#This Row],[Сумма за перевод руб]]</f>
        <v>1910.8500582898437</v>
      </c>
      <c r="AB36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-0.10936728599032719</v>
      </c>
      <c r="AC361" s="9" t="s">
        <v>640</v>
      </c>
      <c r="AD361" s="41"/>
    </row>
    <row r="362" spans="1:30" ht="30" x14ac:dyDescent="0.25">
      <c r="A362" s="6">
        <v>44609</v>
      </c>
      <c r="B362" s="2" t="s">
        <v>173</v>
      </c>
      <c r="C362" s="2" t="s">
        <v>315</v>
      </c>
      <c r="D362" s="1" t="s">
        <v>591</v>
      </c>
      <c r="E362" s="1"/>
      <c r="F362" s="3"/>
      <c r="G362" s="5">
        <v>2960</v>
      </c>
      <c r="H362" s="2"/>
      <c r="I362" s="2">
        <v>76.88</v>
      </c>
      <c r="J362" s="2">
        <v>0.99</v>
      </c>
      <c r="K362" s="2"/>
      <c r="L362" s="2"/>
      <c r="M362" s="26">
        <f>Таблица2[[#This Row],[Сумма Долл]]*Таблица2[[#This Row],[Курс ДОЛЛ]]</f>
        <v>227564.79999999999</v>
      </c>
      <c r="N36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229863.43434343435</v>
      </c>
      <c r="O36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2968.1074735881048</v>
      </c>
      <c r="P36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2298.634343434358</v>
      </c>
      <c r="Q362" s="30">
        <v>229863.43</v>
      </c>
      <c r="R362" s="12">
        <f>Таблица2[[#This Row],[Сумма в руб]]-Таблица2[[#This Row],[Оплата от клиента]]</f>
        <v>4.3434343533590436E-3</v>
      </c>
      <c r="S362" s="32">
        <v>44610</v>
      </c>
      <c r="T362" s="32" t="s">
        <v>164</v>
      </c>
      <c r="U362" s="24" t="s">
        <v>31</v>
      </c>
      <c r="V362" s="2"/>
      <c r="W362" s="28">
        <v>76.67</v>
      </c>
      <c r="X362" s="9">
        <v>2960</v>
      </c>
      <c r="Y362" s="16"/>
      <c r="Z362" s="2"/>
      <c r="AA362" s="26">
        <f>Таблица2[[#This Row],[Сумма перевода Долл/Евро]]*Таблица2[[#This Row],[Курс ДОЛЛ перевод]]+Таблица2[[#This Row],[Сумма за перевод руб]]</f>
        <v>229241.83434343437</v>
      </c>
      <c r="AB36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8.1074735881047673</v>
      </c>
      <c r="AC362" s="9" t="s">
        <v>671</v>
      </c>
      <c r="AD362" s="41"/>
    </row>
    <row r="363" spans="1:30" ht="45" x14ac:dyDescent="0.25">
      <c r="A363" s="6">
        <v>44610</v>
      </c>
      <c r="B363" s="2" t="s">
        <v>250</v>
      </c>
      <c r="C363" s="2" t="s">
        <v>354</v>
      </c>
      <c r="D363" s="1" t="s">
        <v>593</v>
      </c>
      <c r="E363" s="1"/>
      <c r="F363" s="3"/>
      <c r="G363" s="5">
        <v>22749.83</v>
      </c>
      <c r="H363" s="2"/>
      <c r="I363" s="2">
        <v>76.87</v>
      </c>
      <c r="J363" s="2">
        <v>0.97</v>
      </c>
      <c r="K363" s="2"/>
      <c r="L363" s="2"/>
      <c r="M363" s="26">
        <f>Таблица2[[#This Row],[Сумма Долл]]*Таблица2[[#This Row],[Курс ДОЛЛ]]</f>
        <v>1748779.4321000003</v>
      </c>
      <c r="N36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1802865.3939175261</v>
      </c>
      <c r="O36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22749.83</v>
      </c>
      <c r="P36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54085.961817525793</v>
      </c>
      <c r="Q363" s="30"/>
      <c r="R363" s="12">
        <f>Таблица2[[#This Row],[Сумма в руб]]-Таблица2[[#This Row],[Оплата от клиента]]</f>
        <v>1802865.3939175261</v>
      </c>
      <c r="S363" s="32"/>
      <c r="T363" s="32" t="s">
        <v>164</v>
      </c>
      <c r="U363" s="24"/>
      <c r="V363" s="2"/>
      <c r="W363" s="28"/>
      <c r="X363" s="9"/>
      <c r="Y363" s="16"/>
      <c r="Z363" s="2"/>
      <c r="AA363" s="26">
        <f>Таблица2[[#This Row],[Сумма перевода Долл/Евро]]*Таблица2[[#This Row],[Курс ДОЛЛ перевод]]+Таблица2[[#This Row],[Сумма за перевод руб]]</f>
        <v>54085.961817525793</v>
      </c>
      <c r="AB36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22749.83</v>
      </c>
      <c r="AC363" s="9"/>
      <c r="AD363" s="41"/>
    </row>
    <row r="364" spans="1:30" ht="45" x14ac:dyDescent="0.25">
      <c r="A364" s="6">
        <v>44610</v>
      </c>
      <c r="B364" s="2" t="s">
        <v>250</v>
      </c>
      <c r="C364" s="2" t="s">
        <v>354</v>
      </c>
      <c r="D364" s="1" t="s">
        <v>594</v>
      </c>
      <c r="E364" s="1"/>
      <c r="F364" s="3"/>
      <c r="G364" s="5">
        <v>1030.2</v>
      </c>
      <c r="H364" s="2"/>
      <c r="I364" s="2">
        <v>76.87</v>
      </c>
      <c r="J364" s="2"/>
      <c r="K364" s="2">
        <v>80</v>
      </c>
      <c r="L364" s="2"/>
      <c r="M364" s="26">
        <f>Таблица2[[#This Row],[Сумма Долл]]*Таблица2[[#This Row],[Курс ДОЛЛ]]</f>
        <v>79191.474000000002</v>
      </c>
      <c r="N36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85341.074000000008</v>
      </c>
      <c r="O36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1008.6800917080626</v>
      </c>
      <c r="P36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6280.8</v>
      </c>
      <c r="Q364" s="30">
        <v>85341.07</v>
      </c>
      <c r="R364" s="12">
        <f>Таблица2[[#This Row],[Сумма в руб]]-Таблица2[[#This Row],[Оплата от клиента]]</f>
        <v>4.0000000008149073E-3</v>
      </c>
      <c r="S364" s="32">
        <v>44613</v>
      </c>
      <c r="T364" s="32" t="s">
        <v>164</v>
      </c>
      <c r="U364" s="24" t="s">
        <v>31</v>
      </c>
      <c r="V364" s="2"/>
      <c r="W364" s="28">
        <v>78.510000000000005</v>
      </c>
      <c r="X364" s="9">
        <v>1030.2</v>
      </c>
      <c r="Y364" s="16"/>
      <c r="Z364" s="2"/>
      <c r="AA364" s="26">
        <f>Таблица2[[#This Row],[Сумма перевода Долл/Евро]]*Таблица2[[#This Row],[Курс ДОЛЛ перевод]]+Таблица2[[#This Row],[Сумма за перевод руб]]</f>
        <v>87161.802000000011</v>
      </c>
      <c r="AB36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-21.51990829193744</v>
      </c>
      <c r="AC364" s="9" t="s">
        <v>667</v>
      </c>
      <c r="AD364" s="41"/>
    </row>
    <row r="365" spans="1:30" ht="45" x14ac:dyDescent="0.25">
      <c r="A365" s="6">
        <v>44610</v>
      </c>
      <c r="B365" s="2" t="s">
        <v>250</v>
      </c>
      <c r="C365" s="2" t="s">
        <v>354</v>
      </c>
      <c r="D365" s="1" t="s">
        <v>594</v>
      </c>
      <c r="E365" s="1"/>
      <c r="F365" s="3"/>
      <c r="G365" s="5">
        <v>337.45</v>
      </c>
      <c r="H365" s="2"/>
      <c r="I365" s="2">
        <v>76.87</v>
      </c>
      <c r="J365" s="2"/>
      <c r="K365" s="2">
        <v>80</v>
      </c>
      <c r="L365" s="2"/>
      <c r="M365" s="26">
        <f>Таблица2[[#This Row],[Сумма Долл]]*Таблица2[[#This Row],[Курс ДОЛЛ]]</f>
        <v>25939.781500000001</v>
      </c>
      <c r="N36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32089.3815</v>
      </c>
      <c r="O36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330.40098713539675</v>
      </c>
      <c r="P36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6280.8</v>
      </c>
      <c r="Q365" s="30">
        <v>32089.38</v>
      </c>
      <c r="R365" s="12">
        <f>Таблица2[[#This Row],[Сумма в руб]]-Таблица2[[#This Row],[Оплата от клиента]]</f>
        <v>1.4999999984866008E-3</v>
      </c>
      <c r="S365" s="32">
        <v>44613</v>
      </c>
      <c r="T365" s="32" t="s">
        <v>164</v>
      </c>
      <c r="U365" s="24" t="s">
        <v>31</v>
      </c>
      <c r="V365" s="2"/>
      <c r="W365" s="28">
        <v>78.510000000000005</v>
      </c>
      <c r="X365" s="9">
        <v>337.45</v>
      </c>
      <c r="Y365" s="16"/>
      <c r="Z365" s="2"/>
      <c r="AA365" s="26">
        <f>Таблица2[[#This Row],[Сумма перевода Долл/Евро]]*Таблица2[[#This Row],[Курс ДОЛЛ перевод]]+Таблица2[[#This Row],[Сумма за перевод руб]]</f>
        <v>32773.999500000005</v>
      </c>
      <c r="AB36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-7.0490128646032417</v>
      </c>
      <c r="AC365" s="9" t="s">
        <v>667</v>
      </c>
      <c r="AD365" s="41"/>
    </row>
    <row r="366" spans="1:30" ht="45" x14ac:dyDescent="0.25">
      <c r="A366" s="6">
        <v>44610</v>
      </c>
      <c r="B366" s="2" t="s">
        <v>250</v>
      </c>
      <c r="C366" s="2" t="s">
        <v>354</v>
      </c>
      <c r="D366" s="1" t="s">
        <v>594</v>
      </c>
      <c r="E366" s="1"/>
      <c r="F366" s="3"/>
      <c r="G366" s="5">
        <v>5387.5</v>
      </c>
      <c r="H366" s="2"/>
      <c r="I366" s="2">
        <v>76.87</v>
      </c>
      <c r="J366" s="2">
        <v>0.97</v>
      </c>
      <c r="K366" s="2"/>
      <c r="L366" s="2"/>
      <c r="M366" s="26">
        <f>Таблица2[[#This Row],[Сумма Долл]]*Таблица2[[#This Row],[Курс ДОЛЛ]]</f>
        <v>414137.125</v>
      </c>
      <c r="N36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426945.48969072168</v>
      </c>
      <c r="O36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5387.5</v>
      </c>
      <c r="P36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12808.364690721675</v>
      </c>
      <c r="Q366" s="30"/>
      <c r="R366" s="12">
        <f>Таблица2[[#This Row],[Сумма в руб]]-Таблица2[[#This Row],[Оплата от клиента]]</f>
        <v>426945.48969072168</v>
      </c>
      <c r="S366" s="32"/>
      <c r="T366" s="32" t="s">
        <v>164</v>
      </c>
      <c r="U366" s="24"/>
      <c r="V366" s="2"/>
      <c r="W366" s="28"/>
      <c r="X366" s="9"/>
      <c r="Y366" s="16"/>
      <c r="Z366" s="2"/>
      <c r="AA366" s="26">
        <f>Таблица2[[#This Row],[Сумма перевода Долл/Евро]]*Таблица2[[#This Row],[Курс ДОЛЛ перевод]]+Таблица2[[#This Row],[Сумма за перевод руб]]</f>
        <v>12808.364690721675</v>
      </c>
      <c r="AB36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5387.5</v>
      </c>
      <c r="AC366" s="9"/>
      <c r="AD366" s="41"/>
    </row>
    <row r="367" spans="1:30" x14ac:dyDescent="0.25">
      <c r="A367" s="6">
        <v>44610</v>
      </c>
      <c r="B367" s="2" t="s">
        <v>55</v>
      </c>
      <c r="C367" s="2" t="s">
        <v>595</v>
      </c>
      <c r="D367" s="1" t="s">
        <v>599</v>
      </c>
      <c r="E367" s="1"/>
      <c r="F367" s="3"/>
      <c r="G367" s="5">
        <v>5145</v>
      </c>
      <c r="H367" s="2"/>
      <c r="I367" s="2">
        <v>76.87</v>
      </c>
      <c r="J367" s="2">
        <v>0.97</v>
      </c>
      <c r="K367" s="2"/>
      <c r="L367" s="2"/>
      <c r="M367" s="26">
        <f>Таблица2[[#This Row],[Сумма Долл]]*Таблица2[[#This Row],[Курс ДОЛЛ]]</f>
        <v>395496.15</v>
      </c>
      <c r="N36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407727.98969072168</v>
      </c>
      <c r="O36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5145</v>
      </c>
      <c r="P36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12231.839690721652</v>
      </c>
      <c r="Q367" s="30"/>
      <c r="R367" s="12">
        <f>Таблица2[[#This Row],[Сумма в руб]]-Таблица2[[#This Row],[Оплата от клиента]]</f>
        <v>407727.98969072168</v>
      </c>
      <c r="S367" s="32"/>
      <c r="T367" s="32" t="s">
        <v>164</v>
      </c>
      <c r="U367" s="24"/>
      <c r="V367" s="2"/>
      <c r="W367" s="28"/>
      <c r="X367" s="9"/>
      <c r="Y367" s="16"/>
      <c r="Z367" s="2"/>
      <c r="AA367" s="26">
        <f>Таблица2[[#This Row],[Сумма перевода Долл/Евро]]*Таблица2[[#This Row],[Курс ДОЛЛ перевод]]+Таблица2[[#This Row],[Сумма за перевод руб]]</f>
        <v>12231.839690721652</v>
      </c>
      <c r="AB36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5145</v>
      </c>
      <c r="AC367" s="9"/>
      <c r="AD367" s="41"/>
    </row>
    <row r="368" spans="1:30" ht="30" x14ac:dyDescent="0.25">
      <c r="A368" s="6">
        <v>44610</v>
      </c>
      <c r="B368" s="2" t="s">
        <v>535</v>
      </c>
      <c r="C368" s="2" t="s">
        <v>600</v>
      </c>
      <c r="D368" s="1" t="s">
        <v>537</v>
      </c>
      <c r="E368" s="1"/>
      <c r="F368" s="3"/>
      <c r="G368" s="5">
        <v>56925</v>
      </c>
      <c r="H368" s="2"/>
      <c r="I368" s="2">
        <v>76.87</v>
      </c>
      <c r="J368" s="2">
        <v>0.97</v>
      </c>
      <c r="K368" s="2"/>
      <c r="L368" s="2"/>
      <c r="M368" s="26">
        <f>Таблица2[[#This Row],[Сумма Долл]]*Таблица2[[#This Row],[Курс ДОЛЛ]]</f>
        <v>4375824.75</v>
      </c>
      <c r="N36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4511159.5360824745</v>
      </c>
      <c r="O36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56895.393966974385</v>
      </c>
      <c r="P36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135334.78608247451</v>
      </c>
      <c r="Q368" s="30">
        <v>4511159.54</v>
      </c>
      <c r="R368" s="12">
        <f>Таблица2[[#This Row],[Сумма в руб]]-Таблица2[[#This Row],[Оплата от клиента]]</f>
        <v>-3.9175255224108696E-3</v>
      </c>
      <c r="S368" s="32">
        <v>44610</v>
      </c>
      <c r="T368" s="32" t="s">
        <v>164</v>
      </c>
      <c r="U368" s="24" t="s">
        <v>31</v>
      </c>
      <c r="V368" s="2"/>
      <c r="W368" s="28">
        <v>76.91</v>
      </c>
      <c r="X368" s="9">
        <v>56925</v>
      </c>
      <c r="Y368" s="16"/>
      <c r="Z368" s="2"/>
      <c r="AA368" s="26">
        <f>Таблица2[[#This Row],[Сумма перевода Долл/Евро]]*Таблица2[[#This Row],[Курс ДОЛЛ перевод]]+Таблица2[[#This Row],[Сумма за перевод руб]]</f>
        <v>4513436.5360824745</v>
      </c>
      <c r="AB36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-29.606033025615034</v>
      </c>
      <c r="AC368" s="9"/>
      <c r="AD368" s="41"/>
    </row>
    <row r="369" spans="1:30" ht="30" x14ac:dyDescent="0.25">
      <c r="A369" s="6">
        <v>44614</v>
      </c>
      <c r="B369" s="2" t="s">
        <v>165</v>
      </c>
      <c r="C369" s="2" t="s">
        <v>378</v>
      </c>
      <c r="D369" s="1" t="s">
        <v>370</v>
      </c>
      <c r="E369" s="1"/>
      <c r="F369" s="3"/>
      <c r="G369" s="5">
        <v>845</v>
      </c>
      <c r="H369" s="2"/>
      <c r="I369" s="2">
        <v>90.31</v>
      </c>
      <c r="J369" s="2"/>
      <c r="K369" s="2">
        <v>80</v>
      </c>
      <c r="L369" s="2"/>
      <c r="M369" s="26">
        <f>Таблица2[[#This Row],[Сумма Долл]]*Таблица2[[#This Row],[Курс ДОЛЛ]]</f>
        <v>76311.95</v>
      </c>
      <c r="N36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83536.75</v>
      </c>
      <c r="O36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845</v>
      </c>
      <c r="P36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7224.8</v>
      </c>
      <c r="Q369" s="30">
        <v>75174.75</v>
      </c>
      <c r="R369" s="12">
        <f>Таблица2[[#This Row],[Сумма в руб]]-Таблица2[[#This Row],[Оплата от клиента]]</f>
        <v>8362</v>
      </c>
      <c r="S369" s="32"/>
      <c r="T369" s="32" t="s">
        <v>130</v>
      </c>
      <c r="U369" s="24"/>
      <c r="V369" s="2"/>
      <c r="W369" s="28"/>
      <c r="X369" s="9"/>
      <c r="Y369" s="16"/>
      <c r="Z369" s="2"/>
      <c r="AA369" s="26">
        <f>Таблица2[[#This Row],[Сумма перевода Долл/Евро]]*Таблица2[[#This Row],[Курс ДОЛЛ перевод]]+Таблица2[[#This Row],[Сумма за перевод руб]]</f>
        <v>7224.8</v>
      </c>
      <c r="AB36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845</v>
      </c>
      <c r="AC369" s="9"/>
      <c r="AD369" s="41" t="s">
        <v>619</v>
      </c>
    </row>
    <row r="370" spans="1:30" ht="30" x14ac:dyDescent="0.25">
      <c r="A370" s="6">
        <v>44614</v>
      </c>
      <c r="B370" s="2" t="s">
        <v>165</v>
      </c>
      <c r="C370" s="2" t="s">
        <v>378</v>
      </c>
      <c r="D370" s="1" t="s">
        <v>370</v>
      </c>
      <c r="E370" s="1"/>
      <c r="F370" s="3"/>
      <c r="G370" s="5">
        <v>1600</v>
      </c>
      <c r="H370" s="2"/>
      <c r="I370" s="2">
        <v>90.31</v>
      </c>
      <c r="J370" s="2"/>
      <c r="K370" s="2">
        <v>80</v>
      </c>
      <c r="L370" s="2"/>
      <c r="M370" s="26">
        <f>Таблица2[[#This Row],[Сумма Долл]]*Таблица2[[#This Row],[Курс ДОЛЛ]]</f>
        <v>144496</v>
      </c>
      <c r="N37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151720.80000000002</v>
      </c>
      <c r="O37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1600</v>
      </c>
      <c r="P37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7224.8</v>
      </c>
      <c r="Q370" s="30">
        <v>136533.6</v>
      </c>
      <c r="R370" s="12">
        <f>Таблица2[[#This Row],[Сумма в руб]]-Таблица2[[#This Row],[Оплата от клиента]]</f>
        <v>15187.200000000012</v>
      </c>
      <c r="S370" s="32"/>
      <c r="T370" s="32" t="s">
        <v>130</v>
      </c>
      <c r="U370" s="24"/>
      <c r="V370" s="2"/>
      <c r="W370" s="28"/>
      <c r="X370" s="9"/>
      <c r="Y370" s="16"/>
      <c r="Z370" s="2"/>
      <c r="AA370" s="26">
        <f>Таблица2[[#This Row],[Сумма перевода Долл/Евро]]*Таблица2[[#This Row],[Курс ДОЛЛ перевод]]+Таблица2[[#This Row],[Сумма за перевод руб]]</f>
        <v>7224.8</v>
      </c>
      <c r="AB37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1600</v>
      </c>
      <c r="AC370" s="9"/>
      <c r="AD370" s="41" t="s">
        <v>619</v>
      </c>
    </row>
    <row r="371" spans="1:30" ht="30" x14ac:dyDescent="0.25">
      <c r="A371" s="6">
        <v>44614</v>
      </c>
      <c r="B371" s="2" t="s">
        <v>165</v>
      </c>
      <c r="C371" s="2" t="s">
        <v>378</v>
      </c>
      <c r="D371" s="1" t="s">
        <v>370</v>
      </c>
      <c r="E371" s="1"/>
      <c r="F371" s="3"/>
      <c r="G371" s="5">
        <v>250</v>
      </c>
      <c r="H371" s="2"/>
      <c r="I371" s="2">
        <v>90.31</v>
      </c>
      <c r="J371" s="2"/>
      <c r="K371" s="2">
        <v>80</v>
      </c>
      <c r="L371" s="2"/>
      <c r="M371" s="26">
        <f>Таблица2[[#This Row],[Сумма Долл]]*Таблица2[[#This Row],[Курс ДОЛЛ]]</f>
        <v>22577.5</v>
      </c>
      <c r="N37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29802.3</v>
      </c>
      <c r="O37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250</v>
      </c>
      <c r="P37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7224.8</v>
      </c>
      <c r="Q371" s="30">
        <v>26819.1</v>
      </c>
      <c r="R371" s="12">
        <f>Таблица2[[#This Row],[Сумма в руб]]-Таблица2[[#This Row],[Оплата от клиента]]</f>
        <v>2983.2000000000007</v>
      </c>
      <c r="S371" s="32"/>
      <c r="T371" s="32" t="s">
        <v>130</v>
      </c>
      <c r="U371" s="24"/>
      <c r="V371" s="2"/>
      <c r="W371" s="28"/>
      <c r="X371" s="9"/>
      <c r="Y371" s="16"/>
      <c r="Z371" s="2"/>
      <c r="AA371" s="26">
        <f>Таблица2[[#This Row],[Сумма перевода Долл/Евро]]*Таблица2[[#This Row],[Курс ДОЛЛ перевод]]+Таблица2[[#This Row],[Сумма за перевод руб]]</f>
        <v>7224.8</v>
      </c>
      <c r="AB37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250</v>
      </c>
      <c r="AC371" s="9"/>
      <c r="AD371" s="41" t="s">
        <v>619</v>
      </c>
    </row>
    <row r="372" spans="1:30" ht="45" x14ac:dyDescent="0.25">
      <c r="A372" s="6">
        <v>44614</v>
      </c>
      <c r="B372" s="2" t="s">
        <v>535</v>
      </c>
      <c r="C372" s="2" t="s">
        <v>536</v>
      </c>
      <c r="D372" s="1" t="s">
        <v>603</v>
      </c>
      <c r="E372" s="1"/>
      <c r="F372" s="3"/>
      <c r="G372" s="5">
        <v>465</v>
      </c>
      <c r="H372" s="2"/>
      <c r="I372" s="2">
        <v>81.27</v>
      </c>
      <c r="J372" s="2"/>
      <c r="K372" s="2">
        <v>80</v>
      </c>
      <c r="L372" s="2"/>
      <c r="M372" s="26">
        <f>Таблица2[[#This Row],[Сумма Долл]]*Таблица2[[#This Row],[Курс ДОЛЛ]]</f>
        <v>37790.549999999996</v>
      </c>
      <c r="N37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44292.15</v>
      </c>
      <c r="O37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471.20386533665828</v>
      </c>
      <c r="P37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6416</v>
      </c>
      <c r="Q372" s="30">
        <v>44292.15</v>
      </c>
      <c r="R372" s="12">
        <f>Таблица2[[#This Row],[Сумма в руб]]-Таблица2[[#This Row],[Оплата от клиента]]</f>
        <v>0</v>
      </c>
      <c r="S372" s="32">
        <v>44614</v>
      </c>
      <c r="T372" s="32" t="s">
        <v>164</v>
      </c>
      <c r="U372" s="24" t="s">
        <v>31</v>
      </c>
      <c r="V372" s="2"/>
      <c r="W372" s="28">
        <v>80.2</v>
      </c>
      <c r="X372" s="9">
        <v>465</v>
      </c>
      <c r="Y372" s="16"/>
      <c r="Z372" s="2"/>
      <c r="AA372" s="26">
        <f>Таблица2[[#This Row],[Сумма перевода Долл/Евро]]*Таблица2[[#This Row],[Курс ДОЛЛ перевод]]+Таблица2[[#This Row],[Сумма за перевод руб]]</f>
        <v>43709</v>
      </c>
      <c r="AB37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6.2038653366582821</v>
      </c>
      <c r="AC372" s="9"/>
      <c r="AD372" s="41"/>
    </row>
    <row r="373" spans="1:30" x14ac:dyDescent="0.25">
      <c r="A373" s="6">
        <v>44616</v>
      </c>
      <c r="B373" s="2" t="s">
        <v>397</v>
      </c>
      <c r="C373" s="2" t="s">
        <v>396</v>
      </c>
      <c r="D373" s="1" t="s">
        <v>606</v>
      </c>
      <c r="E373" s="1"/>
      <c r="F373" s="3"/>
      <c r="G373" s="5">
        <v>9604.2999999999993</v>
      </c>
      <c r="H373" s="2"/>
      <c r="I373" s="2">
        <v>92.33</v>
      </c>
      <c r="J373" s="2">
        <v>0.97</v>
      </c>
      <c r="K373" s="2"/>
      <c r="L373" s="2"/>
      <c r="M373" s="26">
        <f>Таблица2[[#This Row],[Сумма Долл]]*Таблица2[[#This Row],[Курс ДОЛЛ]]</f>
        <v>886765.01899999997</v>
      </c>
      <c r="N37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914190.74123711337</v>
      </c>
      <c r="O37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9961.4133790159522</v>
      </c>
      <c r="P37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27425.722237113398</v>
      </c>
      <c r="Q373" s="30">
        <v>914190.74</v>
      </c>
      <c r="R373" s="12">
        <f>Таблица2[[#This Row],[Сумма в руб]]-Таблица2[[#This Row],[Оплата от клиента]]</f>
        <v>1.2371133780106902E-3</v>
      </c>
      <c r="S373" s="32">
        <v>44616</v>
      </c>
      <c r="T373" s="32" t="s">
        <v>130</v>
      </c>
      <c r="U373" s="24" t="s">
        <v>31</v>
      </c>
      <c r="V373" s="2"/>
      <c r="W373" s="28">
        <v>89.02</v>
      </c>
      <c r="X373" s="9">
        <v>9604.2999999999993</v>
      </c>
      <c r="Y373" s="16"/>
      <c r="Z373" s="2"/>
      <c r="AA373" s="26">
        <f>Таблица2[[#This Row],[Сумма перевода Долл/Евро]]*Таблица2[[#This Row],[Курс ДОЛЛ перевод]]+Таблица2[[#This Row],[Сумма за перевод руб]]</f>
        <v>882400.50823711324</v>
      </c>
      <c r="AB37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357.11337901595289</v>
      </c>
      <c r="AC373" s="9" t="s">
        <v>640</v>
      </c>
      <c r="AD373" s="41" t="s">
        <v>607</v>
      </c>
    </row>
    <row r="374" spans="1:30" ht="30" x14ac:dyDescent="0.25">
      <c r="A374" s="6">
        <v>44616</v>
      </c>
      <c r="B374" s="2" t="s">
        <v>165</v>
      </c>
      <c r="C374" s="2" t="s">
        <v>378</v>
      </c>
      <c r="D374" s="1" t="s">
        <v>370</v>
      </c>
      <c r="E374" s="1"/>
      <c r="F374" s="3"/>
      <c r="G374" s="5">
        <v>110</v>
      </c>
      <c r="H374" s="2"/>
      <c r="I374" s="2">
        <v>91.95</v>
      </c>
      <c r="J374" s="2"/>
      <c r="K374" s="2">
        <v>80</v>
      </c>
      <c r="L374" s="2"/>
      <c r="M374" s="26">
        <f>Таблица2[[#This Row],[Сумма Долл]]*Таблица2[[#This Row],[Курс ДОЛЛ]]</f>
        <v>10114.5</v>
      </c>
      <c r="N37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17470.5</v>
      </c>
      <c r="O37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110</v>
      </c>
      <c r="P37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7356</v>
      </c>
      <c r="Q374" s="30"/>
      <c r="R374" s="12">
        <f>Таблица2[[#This Row],[Сумма в руб]]-Таблица2[[#This Row],[Оплата от клиента]]</f>
        <v>17470.5</v>
      </c>
      <c r="S374" s="32"/>
      <c r="T374" s="32" t="s">
        <v>130</v>
      </c>
      <c r="U374" s="24"/>
      <c r="V374" s="2"/>
      <c r="W374" s="28"/>
      <c r="X374" s="9"/>
      <c r="Y374" s="16"/>
      <c r="Z374" s="2"/>
      <c r="AA374" s="26">
        <f>Таблица2[[#This Row],[Сумма перевода Долл/Евро]]*Таблица2[[#This Row],[Курс ДОЛЛ перевод]]+Таблица2[[#This Row],[Сумма за перевод руб]]</f>
        <v>7356</v>
      </c>
      <c r="AB37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110</v>
      </c>
      <c r="AC374" s="9"/>
      <c r="AD374" s="41"/>
    </row>
    <row r="375" spans="1:30" x14ac:dyDescent="0.25">
      <c r="A375" s="6">
        <v>44617</v>
      </c>
      <c r="B375" s="28" t="s">
        <v>610</v>
      </c>
      <c r="C375" s="28" t="s">
        <v>611</v>
      </c>
      <c r="D375" s="40" t="s">
        <v>612</v>
      </c>
      <c r="E375" s="1"/>
      <c r="F375" s="3"/>
      <c r="G375" s="5">
        <v>2130</v>
      </c>
      <c r="H375" s="2"/>
      <c r="I375" s="2">
        <v>96.99</v>
      </c>
      <c r="J375" s="2"/>
      <c r="K375" s="2"/>
      <c r="L375" s="2"/>
      <c r="M375" s="26">
        <f>Таблица2[[#This Row],[Сумма Долл]]*Таблица2[[#This Row],[Курс ДОЛЛ]]</f>
        <v>206588.69999999998</v>
      </c>
      <c r="N37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206588.69999999998</v>
      </c>
      <c r="O37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2130</v>
      </c>
      <c r="P37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375" s="30"/>
      <c r="R375" s="12">
        <f>Таблица2[[#This Row],[Сумма в руб]]-Таблица2[[#This Row],[Оплата от клиента]]</f>
        <v>206588.69999999998</v>
      </c>
      <c r="S375" s="32"/>
      <c r="T375" s="42" t="s">
        <v>277</v>
      </c>
      <c r="U375" s="24"/>
      <c r="V375" s="2"/>
      <c r="W375" s="28"/>
      <c r="X375" s="9"/>
      <c r="Y375" s="16"/>
      <c r="Z375" s="2"/>
      <c r="AA375" s="26">
        <f>Таблица2[[#This Row],[Сумма перевода Долл/Евро]]*Таблица2[[#This Row],[Курс ДОЛЛ перевод]]+Таблица2[[#This Row],[Сумма за перевод руб]]</f>
        <v>0</v>
      </c>
      <c r="AB37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2130</v>
      </c>
      <c r="AC375" s="9"/>
      <c r="AD375" s="41"/>
    </row>
    <row r="376" spans="1:30" x14ac:dyDescent="0.25">
      <c r="A376" s="6">
        <v>44617</v>
      </c>
      <c r="B376" s="38" t="s">
        <v>500</v>
      </c>
      <c r="C376" s="2" t="s">
        <v>504</v>
      </c>
      <c r="D376" s="54" t="s">
        <v>501</v>
      </c>
      <c r="E376" s="1"/>
      <c r="F376" s="3">
        <f>Таблица2[[#This Row],[Сумма Долл]]*Таблица2[[#This Row],[Курс ЮА]]</f>
        <v>49276.408000000003</v>
      </c>
      <c r="G376" s="5">
        <v>7796.9</v>
      </c>
      <c r="H376" s="2">
        <v>6.32</v>
      </c>
      <c r="I376" s="2">
        <v>96.7577</v>
      </c>
      <c r="J376" s="2">
        <v>0.9</v>
      </c>
      <c r="K376" s="2"/>
      <c r="L376" s="2"/>
      <c r="M376" s="26">
        <f>Таблица2[[#This Row],[Сумма Долл]]*Таблица2[[#This Row],[Курс ДОЛЛ]]</f>
        <v>754410.11112999998</v>
      </c>
      <c r="N37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перевод]]))))+5478.81</f>
        <v>843712.26681111113</v>
      </c>
      <c r="O37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7796.9</v>
      </c>
      <c r="P37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89302.155681111151</v>
      </c>
      <c r="Q376" s="30">
        <f>779279.64+64432.63</f>
        <v>843712.27</v>
      </c>
      <c r="R376" s="12">
        <f>Таблица2[[#This Row],[Сумма в руб]]-Таблица2[[#This Row],[Оплата от клиента]]</f>
        <v>-3.1888888916000724E-3</v>
      </c>
      <c r="S376" s="32"/>
      <c r="T376" s="32" t="s">
        <v>382</v>
      </c>
      <c r="U376" s="24" t="s">
        <v>31</v>
      </c>
      <c r="V376" s="2"/>
      <c r="W376" s="28">
        <v>96.7577</v>
      </c>
      <c r="X376" s="9">
        <v>7807.63</v>
      </c>
      <c r="Y376" s="16"/>
      <c r="Z376" s="2"/>
      <c r="AA376" s="26">
        <f>Таблица2[[#This Row],[Сумма перевода Долл/Евро]]*Таблица2[[#This Row],[Курс ДОЛЛ перевод]]+Таблица2[[#This Row],[Сумма за перевод руб]]</f>
        <v>844750.4769321112</v>
      </c>
      <c r="AB37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-10.730000000000473</v>
      </c>
      <c r="AC376" s="9"/>
      <c r="AD376" s="9" t="s">
        <v>623</v>
      </c>
    </row>
    <row r="377" spans="1:30" ht="30" x14ac:dyDescent="0.25">
      <c r="A377" s="6">
        <v>44620</v>
      </c>
      <c r="B377" s="2" t="s">
        <v>70</v>
      </c>
      <c r="C377" s="2" t="s">
        <v>71</v>
      </c>
      <c r="D377" s="1" t="s">
        <v>617</v>
      </c>
      <c r="E377" s="1"/>
      <c r="F377" s="3"/>
      <c r="G377" s="5">
        <v>275</v>
      </c>
      <c r="H377" s="2"/>
      <c r="I377" s="2">
        <v>115.71</v>
      </c>
      <c r="J377" s="2"/>
      <c r="K377" s="2">
        <v>80</v>
      </c>
      <c r="L377" s="2"/>
      <c r="M377" s="26">
        <f>Таблица2[[#This Row],[Сумма Долл]]*Таблица2[[#This Row],[Курс ДОЛЛ]]</f>
        <v>31820.25</v>
      </c>
      <c r="N37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перевод]]))))+212.69</f>
        <v>41289.74</v>
      </c>
      <c r="O37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275</v>
      </c>
      <c r="P37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9256.7999999999993</v>
      </c>
      <c r="Q377" s="30">
        <f>34733.2+6556.54</f>
        <v>41289.74</v>
      </c>
      <c r="R377" s="12">
        <f>Таблица2[[#This Row],[Сумма в руб]]-Таблица2[[#This Row],[Оплата от клиента]]</f>
        <v>0</v>
      </c>
      <c r="S377" s="32">
        <v>44623</v>
      </c>
      <c r="T377" s="32" t="s">
        <v>130</v>
      </c>
      <c r="U377" s="24" t="s">
        <v>31</v>
      </c>
      <c r="V377" s="2"/>
      <c r="W377" s="28">
        <v>115.71</v>
      </c>
      <c r="X377" s="9">
        <v>275</v>
      </c>
      <c r="Y377" s="16"/>
      <c r="Z377" s="2"/>
      <c r="AA377" s="26">
        <f>Таблица2[[#This Row],[Сумма перевода Долл/Евро]]*Таблица2[[#This Row],[Курс ДОЛЛ перевод]]+Таблица2[[#This Row],[Сумма за перевод руб]]</f>
        <v>41077.050000000003</v>
      </c>
      <c r="AB37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377" s="9" t="s">
        <v>679</v>
      </c>
      <c r="AD377" s="41" t="s">
        <v>625</v>
      </c>
    </row>
    <row r="378" spans="1:30" ht="45" x14ac:dyDescent="0.25">
      <c r="A378" s="6">
        <v>44620</v>
      </c>
      <c r="B378" s="2" t="s">
        <v>453</v>
      </c>
      <c r="C378" s="2" t="s">
        <v>454</v>
      </c>
      <c r="D378" s="1" t="s">
        <v>618</v>
      </c>
      <c r="E378" s="1"/>
      <c r="F378" s="3"/>
      <c r="G378" s="5">
        <v>2321.25</v>
      </c>
      <c r="H378" s="2"/>
      <c r="I378" s="2">
        <v>97.84</v>
      </c>
      <c r="J378" s="2">
        <v>0.97</v>
      </c>
      <c r="K378" s="2"/>
      <c r="L378" s="2"/>
      <c r="M378" s="26">
        <f>Таблица2[[#This Row],[Сумма Долл]]*Таблица2[[#This Row],[Курс ДОЛЛ]]</f>
        <v>227111.1</v>
      </c>
      <c r="N37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234135.15463917528</v>
      </c>
      <c r="O37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2257.1168753726893</v>
      </c>
      <c r="P37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7024.0546391752723</v>
      </c>
      <c r="Q378" s="30">
        <v>234135.15</v>
      </c>
      <c r="R378" s="12">
        <f>Таблица2[[#This Row],[Сумма в руб]]-Таблица2[[#This Row],[Оплата от клиента]]</f>
        <v>4.6391752839554101E-3</v>
      </c>
      <c r="S378" s="32"/>
      <c r="T378" s="32" t="s">
        <v>130</v>
      </c>
      <c r="U378" s="24" t="s">
        <v>31</v>
      </c>
      <c r="V378" s="2"/>
      <c r="W378" s="28">
        <v>100.62</v>
      </c>
      <c r="X378" s="9">
        <v>2321.25</v>
      </c>
      <c r="Y378" s="16"/>
      <c r="Z378" s="10">
        <v>44620</v>
      </c>
      <c r="AA378" s="26">
        <f>Таблица2[[#This Row],[Сумма перевода Долл/Евро]]*Таблица2[[#This Row],[Курс ДОЛЛ перевод]]+Таблица2[[#This Row],[Сумма за перевод руб]]</f>
        <v>240588.22963917529</v>
      </c>
      <c r="AB37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-64.133124627310735</v>
      </c>
      <c r="AC378" s="9" t="s">
        <v>673</v>
      </c>
      <c r="AD378" s="41"/>
    </row>
    <row r="379" spans="1:30" x14ac:dyDescent="0.25">
      <c r="A379" s="6">
        <v>44621</v>
      </c>
      <c r="B379" s="2" t="s">
        <v>178</v>
      </c>
      <c r="C379" s="2" t="s">
        <v>620</v>
      </c>
      <c r="D379" s="1" t="s">
        <v>621</v>
      </c>
      <c r="E379" s="1"/>
      <c r="F379" s="3"/>
      <c r="G379" s="5">
        <v>2874</v>
      </c>
      <c r="H379" s="2"/>
      <c r="I379" s="2">
        <v>100</v>
      </c>
      <c r="J379" s="2">
        <v>0.97</v>
      </c>
      <c r="K379" s="2"/>
      <c r="L379" s="2"/>
      <c r="M379" s="26">
        <f>Таблица2[[#This Row],[Сумма Долл]]*Таблица2[[#This Row],[Курс ДОЛЛ]]</f>
        <v>287400</v>
      </c>
      <c r="N37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296288.65979381447</v>
      </c>
      <c r="O37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2874</v>
      </c>
      <c r="P37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8888.6597938144696</v>
      </c>
      <c r="Q379" s="30">
        <v>331241.8</v>
      </c>
      <c r="R379" s="12">
        <f>Таблица2[[#This Row],[Сумма в руб]]-Таблица2[[#This Row],[Оплата от клиента]]</f>
        <v>-34953.140206185519</v>
      </c>
      <c r="S379" s="32">
        <v>44595</v>
      </c>
      <c r="T379" s="32" t="s">
        <v>632</v>
      </c>
      <c r="U379" s="24" t="s">
        <v>31</v>
      </c>
      <c r="V379" s="2">
        <v>19.504375</v>
      </c>
      <c r="W379" s="28"/>
      <c r="X379" s="9"/>
      <c r="Y379" s="16">
        <v>18099.86</v>
      </c>
      <c r="Z379" s="10">
        <v>44623</v>
      </c>
      <c r="AA379" s="26">
        <f>Таблица2[[#This Row],[Сумма перевода Долл/Евро]]*Таблица2[[#This Row],[Курс ДОЛЛ перевод]]+Таблица2[[#This Row],[Сумма за перевод руб]]</f>
        <v>8888.6597938144696</v>
      </c>
      <c r="AB37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1946.0102541096549</v>
      </c>
      <c r="AC379" s="9"/>
      <c r="AD379" s="41" t="s">
        <v>631</v>
      </c>
    </row>
    <row r="380" spans="1:30" x14ac:dyDescent="0.25">
      <c r="A380" s="6">
        <v>44621</v>
      </c>
      <c r="B380" s="2" t="s">
        <v>337</v>
      </c>
      <c r="C380" s="2" t="s">
        <v>338</v>
      </c>
      <c r="D380" s="1" t="s">
        <v>622</v>
      </c>
      <c r="E380" s="1"/>
      <c r="F380" s="3">
        <f>Таблица2[[#This Row],[Сумма Долл]]*Таблица2[[#This Row],[Курс ЮА]]</f>
        <v>4487.2</v>
      </c>
      <c r="G380" s="5">
        <v>710</v>
      </c>
      <c r="H380" s="2">
        <v>6.32</v>
      </c>
      <c r="I380" s="2">
        <v>115.6397</v>
      </c>
      <c r="J380" s="38">
        <v>0.9</v>
      </c>
      <c r="K380" s="2"/>
      <c r="L380" s="2"/>
      <c r="M380" s="26">
        <f>Таблица2[[#This Row],[Сумма Долл]]*Таблица2[[#This Row],[Курс ДОЛЛ]]</f>
        <v>82104.187000000005</v>
      </c>
      <c r="N38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перевод]]))))+550.32</f>
        <v>91777.194444444453</v>
      </c>
      <c r="O38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710</v>
      </c>
      <c r="P38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9673.0074444444472</v>
      </c>
      <c r="Q380" s="30">
        <f>75086.28+16690.91</f>
        <v>91777.19</v>
      </c>
      <c r="R380" s="12">
        <f>Таблица2[[#This Row],[Сумма в руб]]-Таблица2[[#This Row],[Оплата от клиента]]</f>
        <v>4.4444444502005354E-3</v>
      </c>
      <c r="S380" s="32">
        <v>44630</v>
      </c>
      <c r="T380" s="32" t="s">
        <v>382</v>
      </c>
      <c r="U380" s="24" t="s">
        <v>31</v>
      </c>
      <c r="V380" s="2">
        <v>6.2843</v>
      </c>
      <c r="W380" s="28">
        <v>115.6397</v>
      </c>
      <c r="X380" s="9">
        <v>710</v>
      </c>
      <c r="Y380" s="16">
        <v>4462</v>
      </c>
      <c r="Z380" s="2"/>
      <c r="AA380" s="26">
        <f>Таблица2[[#This Row],[Сумма перевода Долл/Евро]]*Таблица2[[#This Row],[Курс ДОЛЛ перевод]]+Таблица2[[#This Row],[Сумма за перевод руб]]</f>
        <v>91777.194444444453</v>
      </c>
      <c r="AB38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-2.3391626752413686E-2</v>
      </c>
      <c r="AC380" s="9" t="s">
        <v>678</v>
      </c>
      <c r="AD380" s="41" t="s">
        <v>634</v>
      </c>
    </row>
    <row r="381" spans="1:30" ht="45" x14ac:dyDescent="0.25">
      <c r="A381" s="6">
        <v>44630</v>
      </c>
      <c r="B381" s="2" t="s">
        <v>158</v>
      </c>
      <c r="C381" s="2" t="s">
        <v>322</v>
      </c>
      <c r="D381" s="1" t="s">
        <v>636</v>
      </c>
      <c r="E381" s="1"/>
      <c r="F381" s="3">
        <v>10300.799999999999</v>
      </c>
      <c r="G381" s="5">
        <f>Таблица2[[#This Row],[Сумма ЮА]]/Таблица2[[#This Row],[Курс ЮА]]</f>
        <v>1629.8734177215188</v>
      </c>
      <c r="H381" s="2">
        <v>6.32</v>
      </c>
      <c r="I381" s="2">
        <v>138.19999999999999</v>
      </c>
      <c r="J381" s="2">
        <v>0.93</v>
      </c>
      <c r="K381" s="2"/>
      <c r="L381" s="2"/>
      <c r="M381" s="26">
        <f>Таблица2[[#This Row],[Сумма Долл]]*Таблица2[[#This Row],[Курс ДОЛЛ]]</f>
        <v>225248.50632911388</v>
      </c>
      <c r="N38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242202.6949775418</v>
      </c>
      <c r="O38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1920.9321706388698</v>
      </c>
      <c r="P38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16954.188648427924</v>
      </c>
      <c r="Q381" s="30">
        <v>242202.69</v>
      </c>
      <c r="R381" s="12">
        <f>Таблица2[[#This Row],[Сумма в руб]]-Таблица2[[#This Row],[Оплата от клиента]]</f>
        <v>4.9775418010540307E-3</v>
      </c>
      <c r="S381" s="32"/>
      <c r="T381" s="32" t="s">
        <v>465</v>
      </c>
      <c r="U381" s="24" t="s">
        <v>31</v>
      </c>
      <c r="V381" s="2"/>
      <c r="W381" s="28">
        <v>117.26</v>
      </c>
      <c r="X381" s="9">
        <v>1632.45</v>
      </c>
      <c r="Y381" s="16">
        <v>10300.799999999999</v>
      </c>
      <c r="Z381" s="2"/>
      <c r="AA381" s="26">
        <f>Таблица2[[#This Row],[Сумма перевода Долл/Евро]]*Таблица2[[#This Row],[Курс ДОЛЛ перевод]]+Таблица2[[#This Row],[Сумма за перевод руб]]</f>
        <v>208375.27564842792</v>
      </c>
      <c r="AB38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381" s="9" t="s">
        <v>671</v>
      </c>
      <c r="AD381" s="41"/>
    </row>
    <row r="382" spans="1:30" x14ac:dyDescent="0.25">
      <c r="A382" s="6">
        <v>44634</v>
      </c>
      <c r="B382" s="2" t="s">
        <v>72</v>
      </c>
      <c r="C382" s="2" t="s">
        <v>73</v>
      </c>
      <c r="D382" s="1" t="s">
        <v>638</v>
      </c>
      <c r="E382" s="1"/>
      <c r="F382" s="3">
        <v>100000</v>
      </c>
      <c r="G382" s="5">
        <f>Таблица2[[#This Row],[Сумма ЮА]]/Таблица2[[#This Row],[Курс ЮА]]</f>
        <v>15822.784810126581</v>
      </c>
      <c r="H382" s="2">
        <v>6.32</v>
      </c>
      <c r="I382" s="2">
        <v>133.19999999999999</v>
      </c>
      <c r="J382" s="2">
        <v>0.9</v>
      </c>
      <c r="K382" s="2"/>
      <c r="L382" s="2"/>
      <c r="M382" s="26">
        <f>Таблица2[[#This Row],[Сумма Долл]]*Таблица2[[#This Row],[Курс ДОЛЛ]]</f>
        <v>2107594.9367088606</v>
      </c>
      <c r="N38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2341772.1518987338</v>
      </c>
      <c r="O38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18922.5108633112</v>
      </c>
      <c r="P38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234177.21518987324</v>
      </c>
      <c r="Q382" s="30">
        <v>2341722.15</v>
      </c>
      <c r="R382" s="12">
        <f>Таблица2[[#This Row],[Сумма в руб]]-Таблица2[[#This Row],[Оплата от клиента]]</f>
        <v>50.001898733898997</v>
      </c>
      <c r="S382" s="32"/>
      <c r="T382" s="32" t="s">
        <v>382</v>
      </c>
      <c r="U382" s="24" t="s">
        <v>31</v>
      </c>
      <c r="V382" s="2"/>
      <c r="W382" s="28">
        <v>111.38030000000001</v>
      </c>
      <c r="X382" s="9">
        <v>16187.36</v>
      </c>
      <c r="Y382" s="16">
        <f>23000+22900+38000</f>
        <v>83900</v>
      </c>
      <c r="Z382" s="10">
        <v>44634</v>
      </c>
      <c r="AA382" s="26">
        <f>Таблица2[[#This Row],[Сумма перевода Долл/Евро]]*Таблица2[[#This Row],[Курс ДОЛЛ перевод]]+Таблица2[[#This Row],[Сумма за перевод руб]]</f>
        <v>2037130.2281978733</v>
      </c>
      <c r="AB38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382" s="9"/>
      <c r="AD382" s="41"/>
    </row>
    <row r="383" spans="1:30" ht="30" x14ac:dyDescent="0.25">
      <c r="A383" s="6">
        <v>44634</v>
      </c>
      <c r="B383" s="2" t="s">
        <v>89</v>
      </c>
      <c r="C383" s="2" t="s">
        <v>330</v>
      </c>
      <c r="D383" s="1" t="s">
        <v>30</v>
      </c>
      <c r="E383" s="1"/>
      <c r="F383" s="3"/>
      <c r="G383" s="5">
        <v>8065</v>
      </c>
      <c r="H383" s="2"/>
      <c r="I383" s="2">
        <v>87</v>
      </c>
      <c r="J383" s="2">
        <v>0.99</v>
      </c>
      <c r="K383" s="2"/>
      <c r="L383" s="2"/>
      <c r="M383" s="26">
        <f>Таблица2[[#This Row],[Сумма Долл]]*Таблица2[[#This Row],[Курс ДОЛЛ]]</f>
        <v>701655</v>
      </c>
      <c r="N38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перевод]]))))+17000+7500</f>
        <v>733242.4242424242</v>
      </c>
      <c r="O38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8065</v>
      </c>
      <c r="P38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31587.424242424197</v>
      </c>
      <c r="Q383" s="30">
        <v>733242.42</v>
      </c>
      <c r="R383" s="12">
        <f>Таблица2[[#This Row],[Сумма в руб]]-Таблица2[[#This Row],[Оплата от клиента]]</f>
        <v>4.2424241546541452E-3</v>
      </c>
      <c r="S383" s="32"/>
      <c r="T383" s="32"/>
      <c r="U383" s="24"/>
      <c r="V383" s="2"/>
      <c r="W383" s="28"/>
      <c r="X383" s="9"/>
      <c r="Y383" s="16"/>
      <c r="Z383" s="2"/>
      <c r="AA383" s="26">
        <f>Таблица2[[#This Row],[Сумма перевода Долл/Евро]]*Таблица2[[#This Row],[Курс ДОЛЛ перевод]]+Таблица2[[#This Row],[Сумма за перевод руб]]</f>
        <v>31587.424242424197</v>
      </c>
      <c r="AB38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8065</v>
      </c>
      <c r="AC383" s="9"/>
      <c r="AD383" s="41" t="s">
        <v>641</v>
      </c>
    </row>
    <row r="384" spans="1:30" x14ac:dyDescent="0.25">
      <c r="A384" s="6">
        <v>44634</v>
      </c>
      <c r="B384" s="2" t="s">
        <v>200</v>
      </c>
      <c r="C384" s="2" t="s">
        <v>255</v>
      </c>
      <c r="D384" s="1" t="s">
        <v>639</v>
      </c>
      <c r="E384" s="1"/>
      <c r="F384" s="3"/>
      <c r="G384" s="5"/>
      <c r="H384" s="2"/>
      <c r="I384" s="2"/>
      <c r="J384" s="2"/>
      <c r="K384" s="2">
        <v>80</v>
      </c>
      <c r="L384" s="2"/>
      <c r="M384" s="26">
        <f>Таблица2[[#This Row],[Сумма Долл]]*Таблица2[[#This Row],[Курс ДОЛЛ]]</f>
        <v>0</v>
      </c>
      <c r="N384" s="24">
        <v>50000</v>
      </c>
      <c r="O38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38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8967.6</v>
      </c>
      <c r="Q384" s="30">
        <v>50000</v>
      </c>
      <c r="R384" s="12">
        <f>Таблица2[[#This Row],[Сумма в руб]]-Таблица2[[#This Row],[Оплата от клиента]]</f>
        <v>0</v>
      </c>
      <c r="S384" s="32"/>
      <c r="T384" s="32" t="s">
        <v>130</v>
      </c>
      <c r="U384" s="24" t="s">
        <v>31</v>
      </c>
      <c r="V384" s="2"/>
      <c r="W384" s="28">
        <v>112.095</v>
      </c>
      <c r="X384" s="9">
        <v>362.47</v>
      </c>
      <c r="Y384" s="16"/>
      <c r="Z384" s="10">
        <v>44635</v>
      </c>
      <c r="AA384" s="26">
        <f>Таблица2[[#This Row],[Сумма перевода Долл/Евро]]*Таблица2[[#This Row],[Курс ДОЛЛ перевод]]+Таблица2[[#This Row],[Сумма за перевод руб]]</f>
        <v>49598.674650000001</v>
      </c>
      <c r="AB38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-362.47</v>
      </c>
      <c r="AC384" s="9"/>
      <c r="AD384" s="41"/>
    </row>
    <row r="385" spans="1:30" ht="30" x14ac:dyDescent="0.25">
      <c r="A385" s="6">
        <v>44641</v>
      </c>
      <c r="B385" s="2" t="s">
        <v>45</v>
      </c>
      <c r="C385" s="2" t="s">
        <v>642</v>
      </c>
      <c r="D385" s="1" t="s">
        <v>515</v>
      </c>
      <c r="E385" s="1"/>
      <c r="F385" s="3"/>
      <c r="G385" s="5"/>
      <c r="H385" s="2"/>
      <c r="I385" s="2"/>
      <c r="J385" s="2">
        <v>0.98499999999999999</v>
      </c>
      <c r="K385" s="2"/>
      <c r="L385" s="2"/>
      <c r="M385" s="26">
        <f>Таблица2[[#This Row],[Сумма Долл]]*Таблица2[[#This Row],[Курс ДОЛЛ]]</f>
        <v>0</v>
      </c>
      <c r="N385" s="24">
        <v>2784262.94</v>
      </c>
      <c r="O38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38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2784262.94</v>
      </c>
      <c r="Q385" s="30">
        <v>2784262.94</v>
      </c>
      <c r="R385" s="12">
        <f>Таблица2[[#This Row],[Сумма в руб]]-Таблица2[[#This Row],[Оплата от клиента]]</f>
        <v>0</v>
      </c>
      <c r="S385" s="32"/>
      <c r="T385" s="32" t="s">
        <v>643</v>
      </c>
      <c r="U385" s="24"/>
      <c r="V385" s="2"/>
      <c r="W385" s="28"/>
      <c r="X385" s="9"/>
      <c r="Y385" s="16"/>
      <c r="Z385" s="2"/>
      <c r="AA385" s="26">
        <f>Таблица2[[#This Row],[Сумма перевода Долл/Евро]]*Таблица2[[#This Row],[Курс ДОЛЛ перевод]]+Таблица2[[#This Row],[Сумма за перевод руб]]</f>
        <v>2784262.94</v>
      </c>
      <c r="AB38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385" s="9"/>
      <c r="AD385" s="41" t="s">
        <v>644</v>
      </c>
    </row>
    <row r="386" spans="1:30" ht="30" x14ac:dyDescent="0.25">
      <c r="A386" s="6">
        <v>44641</v>
      </c>
      <c r="B386" s="2" t="s">
        <v>173</v>
      </c>
      <c r="C386" s="2" t="s">
        <v>315</v>
      </c>
      <c r="D386" s="1" t="s">
        <v>645</v>
      </c>
      <c r="E386" s="1"/>
      <c r="F386" s="3"/>
      <c r="G386" s="5">
        <v>3750</v>
      </c>
      <c r="H386" s="2"/>
      <c r="I386" s="2">
        <v>104.795</v>
      </c>
      <c r="J386" s="2"/>
      <c r="K386" s="2"/>
      <c r="L386" s="2">
        <v>6000</v>
      </c>
      <c r="M386" s="26">
        <f>Таблица2[[#This Row],[Сумма Долл]]*Таблица2[[#This Row],[Курс ДОЛЛ]]</f>
        <v>392981.25</v>
      </c>
      <c r="N38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перевод]]))))+2924.18</f>
        <v>401905.43</v>
      </c>
      <c r="O38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3750</v>
      </c>
      <c r="P38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6000</v>
      </c>
      <c r="Q386" s="30">
        <v>401905.43</v>
      </c>
      <c r="R386" s="12">
        <f>Таблица2[[#This Row],[Сумма в руб]]-Таблица2[[#This Row],[Оплата от клиента]]</f>
        <v>0</v>
      </c>
      <c r="S386" s="32">
        <v>44642</v>
      </c>
      <c r="T386" s="32" t="s">
        <v>130</v>
      </c>
      <c r="U386" s="24" t="s">
        <v>31</v>
      </c>
      <c r="V386" s="2"/>
      <c r="W386" s="28">
        <v>104.795</v>
      </c>
      <c r="X386" s="9">
        <v>3750</v>
      </c>
      <c r="Y386" s="16"/>
      <c r="Z386" s="10">
        <v>44642</v>
      </c>
      <c r="AA386" s="26">
        <f>Таблица2[[#This Row],[Сумма перевода Долл/Евро]]*Таблица2[[#This Row],[Курс ДОЛЛ перевод]]+Таблица2[[#This Row],[Сумма за перевод руб]]</f>
        <v>398981.25</v>
      </c>
      <c r="AB38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386" s="9" t="s">
        <v>671</v>
      </c>
      <c r="AD386" s="41"/>
    </row>
    <row r="387" spans="1:30" ht="30" x14ac:dyDescent="0.25">
      <c r="A387" s="6">
        <v>44642</v>
      </c>
      <c r="B387" s="2" t="s">
        <v>646</v>
      </c>
      <c r="C387" s="2" t="s">
        <v>187</v>
      </c>
      <c r="D387" s="1" t="s">
        <v>519</v>
      </c>
      <c r="E387" s="1"/>
      <c r="F387" s="3"/>
      <c r="G387" s="5">
        <v>1939.17</v>
      </c>
      <c r="H387" s="2"/>
      <c r="I387" s="2">
        <v>114.22</v>
      </c>
      <c r="J387" s="2"/>
      <c r="K387" s="2">
        <v>80</v>
      </c>
      <c r="L387" s="2"/>
      <c r="M387" s="26">
        <f>Таблица2[[#This Row],[Сумма Долл]]*Таблица2[[#This Row],[Курс ДОЛЛ]]</f>
        <v>221491.99739999999</v>
      </c>
      <c r="N38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перевод]]))))+1522.07</f>
        <v>232151.66740000001</v>
      </c>
      <c r="O38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1939.1699999999998</v>
      </c>
      <c r="P38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9137.6</v>
      </c>
      <c r="Q387" s="30">
        <v>232151.67</v>
      </c>
      <c r="R387" s="12">
        <f>Таблица2[[#This Row],[Сумма в руб]]-Таблица2[[#This Row],[Оплата от клиента]]</f>
        <v>-2.6000000070780516E-3</v>
      </c>
      <c r="S387" s="32"/>
      <c r="T387" s="32" t="s">
        <v>130</v>
      </c>
      <c r="U387" s="24" t="s">
        <v>31</v>
      </c>
      <c r="V387" s="2"/>
      <c r="W387" s="28">
        <v>114.22</v>
      </c>
      <c r="X387" s="9">
        <v>1939.17</v>
      </c>
      <c r="Y387" s="16"/>
      <c r="Z387" s="10">
        <v>44643</v>
      </c>
      <c r="AA387" s="26">
        <f>Таблица2[[#This Row],[Сумма перевода Долл/Евро]]*Таблица2[[#This Row],[Курс ДОЛЛ перевод]]+Таблица2[[#This Row],[Сумма за перевод руб]]</f>
        <v>230629.5974</v>
      </c>
      <c r="AB38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-2.2737367544323206E-13</v>
      </c>
      <c r="AC387" s="9" t="s">
        <v>682</v>
      </c>
      <c r="AD387" s="41"/>
    </row>
    <row r="388" spans="1:30" x14ac:dyDescent="0.25">
      <c r="A388" s="6">
        <v>44643</v>
      </c>
      <c r="B388" s="2" t="s">
        <v>646</v>
      </c>
      <c r="C388" s="2" t="s">
        <v>187</v>
      </c>
      <c r="D388" s="1" t="s">
        <v>515</v>
      </c>
      <c r="E388" s="1"/>
      <c r="F388" s="3"/>
      <c r="G388" s="5">
        <v>620</v>
      </c>
      <c r="H388" s="2"/>
      <c r="I388" s="2">
        <v>113.96299999999999</v>
      </c>
      <c r="J388" s="2"/>
      <c r="K388" s="2">
        <v>80</v>
      </c>
      <c r="L388" s="2"/>
      <c r="M388" s="26">
        <f>Таблица2[[#This Row],[Сумма Долл]]*Таблица2[[#This Row],[Курс ДОЛЛ]]</f>
        <v>70657.06</v>
      </c>
      <c r="N38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перевод]]))))+483.94</f>
        <v>80258.039999999994</v>
      </c>
      <c r="O38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620</v>
      </c>
      <c r="P38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9117.0399999999991</v>
      </c>
      <c r="Q388" s="30">
        <v>80258.039999999994</v>
      </c>
      <c r="R388" s="12">
        <f>Таблица2[[#This Row],[Сумма в руб]]-Таблица2[[#This Row],[Оплата от клиента]]</f>
        <v>0</v>
      </c>
      <c r="S388" s="32"/>
      <c r="T388" s="32" t="s">
        <v>130</v>
      </c>
      <c r="U388" s="24" t="s">
        <v>31</v>
      </c>
      <c r="V388" s="2"/>
      <c r="W388" s="57">
        <v>113.96299999999999</v>
      </c>
      <c r="X388" s="9">
        <v>620</v>
      </c>
      <c r="Y388" s="16"/>
      <c r="Z388" s="10">
        <v>44643</v>
      </c>
      <c r="AA388" s="26">
        <f>Таблица2[[#This Row],[Сумма перевода Долл/Евро]]*Таблица2[[#This Row],[Курс ДОЛЛ перевод]]+Таблица2[[#This Row],[Сумма за перевод руб]]</f>
        <v>79774.099999999991</v>
      </c>
      <c r="AB38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388" s="9" t="s">
        <v>671</v>
      </c>
      <c r="AD388" s="41"/>
    </row>
    <row r="389" spans="1:30" x14ac:dyDescent="0.25">
      <c r="A389" s="6">
        <v>44644</v>
      </c>
      <c r="B389" s="2" t="s">
        <v>650</v>
      </c>
      <c r="C389" s="2" t="s">
        <v>651</v>
      </c>
      <c r="D389" s="1" t="s">
        <v>652</v>
      </c>
      <c r="E389" s="1"/>
      <c r="F389" s="3"/>
      <c r="G389" s="5">
        <v>1731</v>
      </c>
      <c r="H389" s="2"/>
      <c r="I389" s="2">
        <v>105.9734</v>
      </c>
      <c r="J389" s="2"/>
      <c r="K389" s="2">
        <v>80</v>
      </c>
      <c r="L389" s="2"/>
      <c r="M389" s="26">
        <f>Таблица2[[#This Row],[Сумма Долл]]*Таблица2[[#This Row],[Курс ДОЛЛ]]</f>
        <v>183439.95540000001</v>
      </c>
      <c r="N38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перевод]]))))+1339.04</f>
        <v>193256.86740000002</v>
      </c>
      <c r="O38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1731</v>
      </c>
      <c r="P38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8477.8719999999994</v>
      </c>
      <c r="Q389" s="30">
        <v>193256.87</v>
      </c>
      <c r="R389" s="12">
        <f>Таблица2[[#This Row],[Сумма в руб]]-Таблица2[[#This Row],[Оплата от клиента]]</f>
        <v>-2.5999999779742211E-3</v>
      </c>
      <c r="S389" s="32"/>
      <c r="T389" s="32" t="s">
        <v>130</v>
      </c>
      <c r="U389" s="24" t="s">
        <v>31</v>
      </c>
      <c r="V389" s="2"/>
      <c r="W389" s="28">
        <v>105.9734</v>
      </c>
      <c r="X389" s="9">
        <v>1731</v>
      </c>
      <c r="Y389" s="16"/>
      <c r="Z389" s="10">
        <v>44645</v>
      </c>
      <c r="AA389" s="26">
        <f>Таблица2[[#This Row],[Сумма перевода Долл/Евро]]*Таблица2[[#This Row],[Курс ДОЛЛ перевод]]+Таблица2[[#This Row],[Сумма за перевод руб]]</f>
        <v>191917.82740000001</v>
      </c>
      <c r="AB38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389" s="9" t="s">
        <v>679</v>
      </c>
      <c r="AD389" s="41"/>
    </row>
    <row r="390" spans="1:30" x14ac:dyDescent="0.25">
      <c r="A390" s="6">
        <v>44645</v>
      </c>
      <c r="B390" s="2" t="s">
        <v>55</v>
      </c>
      <c r="C390" s="2" t="s">
        <v>595</v>
      </c>
      <c r="D390" s="1" t="s">
        <v>599</v>
      </c>
      <c r="E390" s="3"/>
      <c r="F390" s="3"/>
      <c r="G390" s="5">
        <v>5145</v>
      </c>
      <c r="H390" s="2"/>
      <c r="I390" s="2">
        <v>113.52</v>
      </c>
      <c r="J390" s="2">
        <v>0.97</v>
      </c>
      <c r="K390" s="2"/>
      <c r="L390" s="2"/>
      <c r="M390" s="26">
        <f>Таблица2[[#This Row],[Сумма Долл]]*Таблица2[[#This Row],[Курс ДОЛЛ]]</f>
        <v>584060.4</v>
      </c>
      <c r="N39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602124.12371134025</v>
      </c>
      <c r="O39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5145</v>
      </c>
      <c r="P39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18063.723711340223</v>
      </c>
      <c r="Q390" s="30"/>
      <c r="R390" s="12">
        <f>Таблица2[[#This Row],[Сумма в руб]]-Таблица2[[#This Row],[Оплата от клиента]]</f>
        <v>602124.12371134025</v>
      </c>
      <c r="S390" s="32"/>
      <c r="T390" s="32"/>
      <c r="U390" s="24"/>
      <c r="V390" s="2"/>
      <c r="W390" s="28"/>
      <c r="X390" s="9"/>
      <c r="Y390" s="16"/>
      <c r="Z390" s="2"/>
      <c r="AA390" s="26">
        <f>Таблица2[[#This Row],[Сумма перевода Долл/Евро]]*Таблица2[[#This Row],[Курс ДОЛЛ перевод]]+Таблица2[[#This Row],[Сумма за перевод руб]]</f>
        <v>18063.723711340223</v>
      </c>
      <c r="AB39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5145</v>
      </c>
      <c r="AC390" s="9"/>
      <c r="AD390" s="41"/>
    </row>
    <row r="391" spans="1:30" x14ac:dyDescent="0.25">
      <c r="A391" s="6">
        <v>44648</v>
      </c>
      <c r="B391" s="2" t="s">
        <v>35</v>
      </c>
      <c r="C391" s="2" t="s">
        <v>36</v>
      </c>
      <c r="D391" s="1" t="s">
        <v>269</v>
      </c>
      <c r="E391" s="1"/>
      <c r="F391" s="3"/>
      <c r="G391" s="5">
        <v>2097</v>
      </c>
      <c r="H391" s="2"/>
      <c r="I391" s="2">
        <v>96</v>
      </c>
      <c r="J391" s="2">
        <v>0.97</v>
      </c>
      <c r="K391" s="2"/>
      <c r="L391" s="2"/>
      <c r="M391" s="26">
        <f>Таблица2[[#This Row],[Сумма Долл]]*Таблица2[[#This Row],[Курс ДОЛЛ]]</f>
        <v>201312</v>
      </c>
      <c r="N39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207538.14432989692</v>
      </c>
      <c r="O39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2265.328031003774</v>
      </c>
      <c r="P39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6226.1443298969243</v>
      </c>
      <c r="Q391" s="30">
        <v>207538.14</v>
      </c>
      <c r="R391" s="12">
        <f>Таблица2[[#This Row],[Сумма в руб]]-Таблица2[[#This Row],[Оплата от клиента]]</f>
        <v>4.3298969103489071E-3</v>
      </c>
      <c r="S391" s="32"/>
      <c r="T391" s="32" t="s">
        <v>164</v>
      </c>
      <c r="U391" s="24" t="s">
        <v>31</v>
      </c>
      <c r="V391" s="2"/>
      <c r="W391" s="28">
        <v>88.866600000000005</v>
      </c>
      <c r="X391" s="9">
        <v>2097</v>
      </c>
      <c r="Y391" s="16"/>
      <c r="Z391" s="2"/>
      <c r="AA391" s="26">
        <f>Таблица2[[#This Row],[Сумма перевода Долл/Евро]]*Таблица2[[#This Row],[Курс ДОЛЛ перевод]]+Таблица2[[#This Row],[Сумма за перевод руб]]</f>
        <v>192579.40452989694</v>
      </c>
      <c r="AB39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168.32803100377396</v>
      </c>
      <c r="AC391" s="9"/>
      <c r="AD391" s="41"/>
    </row>
    <row r="392" spans="1:30" ht="60" x14ac:dyDescent="0.25">
      <c r="A392" s="6">
        <v>44650</v>
      </c>
      <c r="B392" s="2" t="s">
        <v>89</v>
      </c>
      <c r="C392" s="2" t="s">
        <v>330</v>
      </c>
      <c r="D392" s="1" t="s">
        <v>653</v>
      </c>
      <c r="E392" s="1"/>
      <c r="F392" s="3"/>
      <c r="G392" s="5">
        <v>20300</v>
      </c>
      <c r="H392" s="2"/>
      <c r="I392" s="2">
        <v>85.6</v>
      </c>
      <c r="J392" s="2">
        <v>0.97</v>
      </c>
      <c r="K392" s="2"/>
      <c r="L392" s="2"/>
      <c r="M392" s="26">
        <f>Таблица2[[#This Row],[Сумма Долл]]*Таблица2[[#This Row],[Курс ДОЛЛ]]</f>
        <v>1737680</v>
      </c>
      <c r="N39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1791422.6804123712</v>
      </c>
      <c r="O39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20447.792632026103</v>
      </c>
      <c r="P39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53742.680412371177</v>
      </c>
      <c r="Q392" s="30">
        <v>1200000</v>
      </c>
      <c r="R392" s="12">
        <f>Таблица2[[#This Row],[Сумма в руб]]-Таблица2[[#This Row],[Оплата от клиента]]</f>
        <v>591422.68041237118</v>
      </c>
      <c r="S392" s="32"/>
      <c r="T392" s="32" t="s">
        <v>130</v>
      </c>
      <c r="U392" s="24" t="s">
        <v>31</v>
      </c>
      <c r="V392" s="2"/>
      <c r="W392" s="28">
        <v>84.981300000000005</v>
      </c>
      <c r="X392" s="9">
        <v>13599.67</v>
      </c>
      <c r="Y392" s="16"/>
      <c r="Z392" s="2"/>
      <c r="AA392" s="26">
        <f>Таблица2[[#This Row],[Сумма перевода Долл/Евро]]*Таблица2[[#This Row],[Курс ДОЛЛ перевод]]+Таблица2[[#This Row],[Сумма за перевод руб]]</f>
        <v>1209460.3165833713</v>
      </c>
      <c r="AB39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6848.122632026103</v>
      </c>
      <c r="AC392" s="9"/>
      <c r="AD392" s="41"/>
    </row>
    <row r="393" spans="1:30" x14ac:dyDescent="0.25">
      <c r="A393" s="6">
        <v>44650</v>
      </c>
      <c r="B393" s="2" t="s">
        <v>200</v>
      </c>
      <c r="C393" s="2" t="s">
        <v>255</v>
      </c>
      <c r="D393" s="1" t="s">
        <v>639</v>
      </c>
      <c r="E393" s="1"/>
      <c r="F393" s="3"/>
      <c r="G393" s="5"/>
      <c r="H393" s="2"/>
      <c r="I393" s="2"/>
      <c r="J393" s="2">
        <v>0.97</v>
      </c>
      <c r="K393" s="2"/>
      <c r="L393" s="2"/>
      <c r="M393" s="26">
        <v>1940000</v>
      </c>
      <c r="N393" s="24">
        <v>2000000</v>
      </c>
      <c r="O39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39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60000</v>
      </c>
      <c r="Q393" s="30">
        <v>2000000</v>
      </c>
      <c r="R393" s="12">
        <f>Таблица2[[#This Row],[Сумма в руб]]-Таблица2[[#This Row],[Оплата от клиента]]</f>
        <v>0</v>
      </c>
      <c r="S393" s="32"/>
      <c r="T393" s="32" t="s">
        <v>107</v>
      </c>
      <c r="U393" s="24" t="s">
        <v>31</v>
      </c>
      <c r="V393" s="2">
        <v>13.5435</v>
      </c>
      <c r="W393" s="28"/>
      <c r="X393" s="9"/>
      <c r="Y393" s="16">
        <v>140583.94</v>
      </c>
      <c r="Z393" s="10">
        <v>44650</v>
      </c>
      <c r="AA393" s="26">
        <f>Таблица2[[#This Row],[Сумма перевода Долл/Евро]]*Таблица2[[#This Row],[Курс ДОЛЛ перевод]]+Таблица2[[#This Row],[Сумма за перевод руб]]</f>
        <v>60000</v>
      </c>
      <c r="AB39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393" s="9"/>
      <c r="AD393" s="41"/>
    </row>
    <row r="394" spans="1:30" x14ac:dyDescent="0.25">
      <c r="A394" s="6">
        <v>44650</v>
      </c>
      <c r="B394" s="2" t="s">
        <v>178</v>
      </c>
      <c r="C394" s="2" t="s">
        <v>654</v>
      </c>
      <c r="D394" s="1"/>
      <c r="E394" s="1"/>
      <c r="F394" s="3"/>
      <c r="G394" s="5"/>
      <c r="H394" s="2"/>
      <c r="I394" s="2"/>
      <c r="J394" s="2">
        <v>0.99</v>
      </c>
      <c r="K394" s="2"/>
      <c r="L394" s="2"/>
      <c r="M394" s="26">
        <v>1649000</v>
      </c>
      <c r="N394" s="24">
        <v>1700000</v>
      </c>
      <c r="O39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19541.966640002371</v>
      </c>
      <c r="P39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51000</v>
      </c>
      <c r="Q394" s="30">
        <v>1769325.22</v>
      </c>
      <c r="R394" s="12">
        <f>Таблица2[[#This Row],[Сумма в руб]]-Таблица2[[#This Row],[Оплата от клиента]]</f>
        <v>-69325.219999999972</v>
      </c>
      <c r="S394" s="32"/>
      <c r="T394" s="32"/>
      <c r="U394" s="24" t="s">
        <v>31</v>
      </c>
      <c r="V394" s="2"/>
      <c r="W394" s="28">
        <v>84.382499999999993</v>
      </c>
      <c r="X394" s="9">
        <v>20208.55</v>
      </c>
      <c r="Y394" s="16"/>
      <c r="Z394" s="10">
        <v>44650</v>
      </c>
      <c r="AA394" s="26">
        <f>Таблица2[[#This Row],[Сумма перевода Долл/Евро]]*Таблица2[[#This Row],[Курс ДОЛЛ перевод]]+Таблица2[[#This Row],[Сумма за перевод руб]]</f>
        <v>1756247.9703749998</v>
      </c>
      <c r="AB39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-666.58335999762858</v>
      </c>
      <c r="AC394" s="9" t="s">
        <v>711</v>
      </c>
      <c r="AD394" s="41" t="s">
        <v>665</v>
      </c>
    </row>
    <row r="395" spans="1:30" x14ac:dyDescent="0.25">
      <c r="A395" s="6">
        <v>44650</v>
      </c>
      <c r="B395" s="2" t="s">
        <v>89</v>
      </c>
      <c r="C395" s="2" t="s">
        <v>330</v>
      </c>
      <c r="D395" s="1"/>
      <c r="E395" s="1"/>
      <c r="F395" s="3"/>
      <c r="G395" s="5"/>
      <c r="H395" s="2"/>
      <c r="I395" s="2"/>
      <c r="J395" s="2"/>
      <c r="K395" s="2"/>
      <c r="L395" s="2"/>
      <c r="M395" s="26">
        <f>Таблица2[[#This Row],[Сумма Долл]]*Таблица2[[#This Row],[Курс ДОЛЛ]]</f>
        <v>0</v>
      </c>
      <c r="N395" s="24">
        <v>1200000</v>
      </c>
      <c r="O39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39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395" s="30">
        <v>1200000</v>
      </c>
      <c r="R395" s="12">
        <f>Таблица2[[#This Row],[Сумма в руб]]-Таблица2[[#This Row],[Оплата от клиента]]</f>
        <v>0</v>
      </c>
      <c r="S395" s="32"/>
      <c r="T395" s="32"/>
      <c r="U395" s="24" t="s">
        <v>31</v>
      </c>
      <c r="V395" s="2"/>
      <c r="W395" s="28">
        <v>84.981300000000005</v>
      </c>
      <c r="X395" s="9">
        <v>13599.67</v>
      </c>
      <c r="Y395" s="16"/>
      <c r="Z395" s="2"/>
      <c r="AA395" s="26">
        <f>Таблица2[[#This Row],[Сумма перевода Долл/Евро]]*Таблица2[[#This Row],[Курс ДОЛЛ перевод]]+Таблица2[[#This Row],[Сумма за перевод руб]]</f>
        <v>1155717.6361710001</v>
      </c>
      <c r="AB39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-13599.67</v>
      </c>
      <c r="AC395" s="9"/>
      <c r="AD395" s="41"/>
    </row>
    <row r="396" spans="1:30" x14ac:dyDescent="0.25">
      <c r="A396" s="6">
        <v>44651</v>
      </c>
      <c r="B396" s="2" t="s">
        <v>452</v>
      </c>
      <c r="C396" s="2" t="s">
        <v>447</v>
      </c>
      <c r="D396" s="1" t="s">
        <v>490</v>
      </c>
      <c r="E396" s="1"/>
      <c r="F396" s="3"/>
      <c r="G396" s="5"/>
      <c r="H396" s="2"/>
      <c r="I396" s="2"/>
      <c r="J396" s="2">
        <v>0.97</v>
      </c>
      <c r="K396" s="2"/>
      <c r="L396" s="2"/>
      <c r="M396" s="26">
        <f>Таблица2[[#This Row],[Сумма Долл]]*Таблица2[[#This Row],[Курс ДОЛЛ]]</f>
        <v>0</v>
      </c>
      <c r="N396" s="24">
        <v>31410.2</v>
      </c>
      <c r="O39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39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31410.2</v>
      </c>
      <c r="Q396" s="30">
        <v>31410.2</v>
      </c>
      <c r="R396" s="12">
        <f>Таблица2[[#This Row],[Сумма в руб]]-Таблица2[[#This Row],[Оплата от клиента]]</f>
        <v>0</v>
      </c>
      <c r="S396" s="32"/>
      <c r="T396" s="32"/>
      <c r="U396" s="24" t="s">
        <v>31</v>
      </c>
      <c r="V396" s="2"/>
      <c r="W396" s="28">
        <v>84.396199999999993</v>
      </c>
      <c r="X396" s="9">
        <v>369.4</v>
      </c>
      <c r="Y396" s="16"/>
      <c r="Z396" s="10">
        <v>44664</v>
      </c>
      <c r="AA396" s="26">
        <f>Таблица2[[#This Row],[Сумма перевода Долл/Евро]]*Таблица2[[#This Row],[Курс ДОЛЛ перевод]]+Таблица2[[#This Row],[Сумма за перевод руб]]</f>
        <v>62586.156279999996</v>
      </c>
      <c r="AB39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-369.4</v>
      </c>
      <c r="AC396" s="9"/>
      <c r="AD396" s="41" t="s">
        <v>657</v>
      </c>
    </row>
    <row r="397" spans="1:30" x14ac:dyDescent="0.25">
      <c r="A397" s="6">
        <v>44652</v>
      </c>
      <c r="B397" s="2" t="s">
        <v>655</v>
      </c>
      <c r="C397" s="2" t="s">
        <v>656</v>
      </c>
      <c r="D397" s="1"/>
      <c r="E397" s="1"/>
      <c r="F397" s="3"/>
      <c r="G397" s="5">
        <v>200</v>
      </c>
      <c r="H397" s="2"/>
      <c r="I397" s="2">
        <v>84.25</v>
      </c>
      <c r="J397" s="2">
        <v>0.9</v>
      </c>
      <c r="K397" s="2"/>
      <c r="L397" s="2"/>
      <c r="M397" s="26">
        <f>Таблица2[[#This Row],[Сумма Долл]]*Таблица2[[#This Row],[Курс ДОЛЛ]]</f>
        <v>16850</v>
      </c>
      <c r="N39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18722.222222222223</v>
      </c>
      <c r="O39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200.80728102174558</v>
      </c>
      <c r="P39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1872.2222222222226</v>
      </c>
      <c r="Q397" s="30">
        <v>18722.22</v>
      </c>
      <c r="R397" s="12">
        <f>Таблица2[[#This Row],[Сумма в руб]]-Таблица2[[#This Row],[Оплата от клиента]]</f>
        <v>2.2222222214622889E-3</v>
      </c>
      <c r="S397" s="32"/>
      <c r="T397" s="32" t="s">
        <v>107</v>
      </c>
      <c r="U397" s="24" t="s">
        <v>31</v>
      </c>
      <c r="V397" s="2"/>
      <c r="W397" s="28">
        <v>83.911299999999997</v>
      </c>
      <c r="X397" s="9">
        <v>199.48</v>
      </c>
      <c r="Y397" s="16"/>
      <c r="Z397" s="2"/>
      <c r="AA397" s="26">
        <f>Таблица2[[#This Row],[Сумма перевода Долл/Евро]]*Таблица2[[#This Row],[Курс ДОЛЛ перевод]]+Таблица2[[#This Row],[Сумма за перевод руб]]</f>
        <v>18610.848346222221</v>
      </c>
      <c r="AB39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1.3272810217455913</v>
      </c>
      <c r="AC397" s="9"/>
      <c r="AD397" s="41"/>
    </row>
    <row r="398" spans="1:30" ht="30" x14ac:dyDescent="0.25">
      <c r="A398" s="6">
        <v>44655</v>
      </c>
      <c r="B398" s="2" t="s">
        <v>658</v>
      </c>
      <c r="C398" s="2" t="s">
        <v>659</v>
      </c>
      <c r="D398" s="1" t="s">
        <v>660</v>
      </c>
      <c r="E398" s="1"/>
      <c r="F398" s="3"/>
      <c r="G398" s="5">
        <v>1795</v>
      </c>
      <c r="H398" s="2"/>
      <c r="I398" s="2">
        <v>84.14</v>
      </c>
      <c r="J398" s="2"/>
      <c r="K398" s="2"/>
      <c r="L398" s="2">
        <v>5500</v>
      </c>
      <c r="M398" s="26">
        <f>Таблица2[[#This Row],[Сумма Долл]]*Таблица2[[#This Row],[Курс ДОЛЛ]]</f>
        <v>151031.29999999999</v>
      </c>
      <c r="N39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156531.29999999999</v>
      </c>
      <c r="O39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1801.5432805626328</v>
      </c>
      <c r="P39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5500</v>
      </c>
      <c r="Q398" s="30">
        <v>156531.29999999999</v>
      </c>
      <c r="R398" s="12">
        <f>Таблица2[[#This Row],[Сумма в руб]]-Таблица2[[#This Row],[Оплата от клиента]]</f>
        <v>0</v>
      </c>
      <c r="S398" s="32"/>
      <c r="T398" s="32" t="s">
        <v>164</v>
      </c>
      <c r="U398" s="24" t="s">
        <v>31</v>
      </c>
      <c r="V398" s="2"/>
      <c r="W398" s="28">
        <v>83.834400000000002</v>
      </c>
      <c r="X398" s="9">
        <v>1795</v>
      </c>
      <c r="Y398" s="16"/>
      <c r="Z398" s="2"/>
      <c r="AA398" s="26">
        <f>Таблица2[[#This Row],[Сумма перевода Долл/Евро]]*Таблица2[[#This Row],[Курс ДОЛЛ перевод]]+Таблица2[[#This Row],[Сумма за перевод руб]]</f>
        <v>155982.74799999999</v>
      </c>
      <c r="AB39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6.5432805626328445</v>
      </c>
      <c r="AC398" s="9"/>
      <c r="AD398" s="41"/>
    </row>
    <row r="399" spans="1:30" x14ac:dyDescent="0.25">
      <c r="A399" s="6">
        <v>44655</v>
      </c>
      <c r="B399" s="2" t="s">
        <v>200</v>
      </c>
      <c r="C399" s="2" t="s">
        <v>255</v>
      </c>
      <c r="D399" s="1"/>
      <c r="E399" s="1"/>
      <c r="F399" s="3"/>
      <c r="G399" s="5"/>
      <c r="H399" s="2"/>
      <c r="I399" s="2"/>
      <c r="J399" s="2">
        <v>0.97</v>
      </c>
      <c r="K399" s="2"/>
      <c r="L399" s="2"/>
      <c r="M399" s="26">
        <v>970000</v>
      </c>
      <c r="N399" s="24">
        <v>1000000</v>
      </c>
      <c r="O39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39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30000</v>
      </c>
      <c r="Q399" s="30">
        <v>1000000</v>
      </c>
      <c r="R399" s="12">
        <f>Таблица2[[#This Row],[Сумма в руб]]-Таблица2[[#This Row],[Оплата от клиента]]</f>
        <v>0</v>
      </c>
      <c r="S399" s="32"/>
      <c r="T399" s="32" t="s">
        <v>107</v>
      </c>
      <c r="U399" s="24" t="s">
        <v>31</v>
      </c>
      <c r="V399" s="2">
        <v>13.5532</v>
      </c>
      <c r="W399" s="28"/>
      <c r="X399" s="9"/>
      <c r="Y399" s="16">
        <v>70075.02</v>
      </c>
      <c r="Z399" s="10">
        <v>44655</v>
      </c>
      <c r="AA399" s="26">
        <f>Таблица2[[#This Row],[Сумма перевода Долл/Евро]]*Таблица2[[#This Row],[Курс ДОЛЛ перевод]]+Таблица2[[#This Row],[Сумма за перевод руб]]</f>
        <v>30000</v>
      </c>
      <c r="AB39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399" s="9"/>
      <c r="AD399" s="41" t="s">
        <v>661</v>
      </c>
    </row>
    <row r="400" spans="1:30" x14ac:dyDescent="0.25">
      <c r="A400" s="6">
        <v>44655</v>
      </c>
      <c r="B400" s="2" t="s">
        <v>452</v>
      </c>
      <c r="C400" s="2" t="s">
        <v>447</v>
      </c>
      <c r="D400" s="1" t="s">
        <v>662</v>
      </c>
      <c r="E400" s="1"/>
      <c r="F400" s="3">
        <v>1084.5</v>
      </c>
      <c r="G400" s="5">
        <f>Таблица2[[#This Row],[Сумма ЮА]]/Таблица2[[#This Row],[Курс ЮА]]</f>
        <v>170.67988668555242</v>
      </c>
      <c r="H400" s="2">
        <v>6.3540000000000001</v>
      </c>
      <c r="I400" s="2">
        <v>84.22</v>
      </c>
      <c r="J400" s="2">
        <v>0.9</v>
      </c>
      <c r="K400" s="2"/>
      <c r="L400" s="2"/>
      <c r="M400" s="26">
        <f>Таблица2[[#This Row],[Сумма Долл]]*Таблица2[[#This Row],[Курс ДОЛЛ]]</f>
        <v>14374.660056657225</v>
      </c>
      <c r="N40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15971.844507396916</v>
      </c>
      <c r="O40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178.76706947714496</v>
      </c>
      <c r="P40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1597.1844507396909</v>
      </c>
      <c r="Q400" s="30">
        <v>15971.84</v>
      </c>
      <c r="R400" s="12">
        <f>Таблица2[[#This Row],[Сумма в руб]]-Таблица2[[#This Row],[Оплата от клиента]]</f>
        <v>4.5073969158693217E-3</v>
      </c>
      <c r="S400" s="32"/>
      <c r="T400" s="32" t="s">
        <v>382</v>
      </c>
      <c r="U400" s="24" t="s">
        <v>31</v>
      </c>
      <c r="V400" s="2">
        <v>6.7762000000000002</v>
      </c>
      <c r="W400" s="28">
        <v>80.41</v>
      </c>
      <c r="X400" s="9">
        <v>179.67</v>
      </c>
      <c r="Y400" s="16">
        <v>1084.5</v>
      </c>
      <c r="Z400" s="10">
        <v>44694</v>
      </c>
      <c r="AA400" s="26">
        <f>Таблица2[[#This Row],[Сумма перевода Долл/Евро]]*Таблица2[[#This Row],[Курс ДОЛЛ перевод]]+Таблица2[[#This Row],[Сумма за перевод руб]]</f>
        <v>16044.449150739689</v>
      </c>
      <c r="AB40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18.721616273284383</v>
      </c>
      <c r="AC400" s="9"/>
      <c r="AD400" s="41" t="s">
        <v>669</v>
      </c>
    </row>
    <row r="401" spans="1:30" ht="60" x14ac:dyDescent="0.25">
      <c r="A401" s="6">
        <v>44655</v>
      </c>
      <c r="B401" s="2" t="s">
        <v>89</v>
      </c>
      <c r="C401" s="2" t="s">
        <v>330</v>
      </c>
      <c r="D401" s="1" t="s">
        <v>663</v>
      </c>
      <c r="E401" s="1"/>
      <c r="F401" s="3"/>
      <c r="G401" s="5">
        <v>6700.33</v>
      </c>
      <c r="H401" s="2"/>
      <c r="I401" s="2">
        <v>83.965699999999998</v>
      </c>
      <c r="J401" s="2">
        <v>0.97</v>
      </c>
      <c r="K401" s="2"/>
      <c r="L401" s="2"/>
      <c r="M401" s="26">
        <f>Таблица2[[#This Row],[Сумма Долл]]*Таблица2[[#This Row],[Курс ДОЛЛ]]</f>
        <v>562597.89868099999</v>
      </c>
      <c r="N40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перевод]]))))+4192.28</f>
        <v>584190.11369175266</v>
      </c>
      <c r="O40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6700.33</v>
      </c>
      <c r="P40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21592.215010752669</v>
      </c>
      <c r="Q401" s="30"/>
      <c r="R401" s="12">
        <f>Таблица2[[#This Row],[Сумма в руб]]-Таблица2[[#This Row],[Оплата от клиента]]</f>
        <v>584190.11369175266</v>
      </c>
      <c r="S401" s="32"/>
      <c r="T401" s="32"/>
      <c r="U401" s="24"/>
      <c r="V401" s="2"/>
      <c r="W401" s="28"/>
      <c r="X401" s="9"/>
      <c r="Y401" s="16"/>
      <c r="Z401" s="2"/>
      <c r="AA401" s="26">
        <f>Таблица2[[#This Row],[Сумма перевода Долл/Евро]]*Таблица2[[#This Row],[Курс ДОЛЛ перевод]]+Таблица2[[#This Row],[Сумма за перевод руб]]</f>
        <v>21592.215010752669</v>
      </c>
      <c r="AB40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6700.33</v>
      </c>
      <c r="AC401" s="9"/>
      <c r="AD401" s="41"/>
    </row>
    <row r="402" spans="1:30" ht="30" x14ac:dyDescent="0.25">
      <c r="A402" s="6">
        <v>44656</v>
      </c>
      <c r="B402" s="2" t="s">
        <v>452</v>
      </c>
      <c r="C402" s="2" t="s">
        <v>447</v>
      </c>
      <c r="D402" s="1" t="s">
        <v>664</v>
      </c>
      <c r="E402" s="1"/>
      <c r="F402" s="3">
        <v>2609.6999999999998</v>
      </c>
      <c r="G402" s="5">
        <f>Таблица2[[#This Row],[Сумма ЮА]]/Таблица2[[#This Row],[Курс ЮА]]</f>
        <v>410.97637795275591</v>
      </c>
      <c r="H402" s="2">
        <v>6.35</v>
      </c>
      <c r="I402" s="2">
        <v>84.15</v>
      </c>
      <c r="J402" s="2">
        <v>0.9</v>
      </c>
      <c r="K402" s="2"/>
      <c r="L402" s="2"/>
      <c r="M402" s="26">
        <f>Таблица2[[#This Row],[Сумма Долл]]*Таблица2[[#This Row],[Курс ДОЛЛ]]</f>
        <v>34583.662204724409</v>
      </c>
      <c r="N40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38426.291338582676</v>
      </c>
      <c r="O40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419.3041622227849</v>
      </c>
      <c r="P40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3842.6291338582669</v>
      </c>
      <c r="Q402" s="30">
        <v>38426.29</v>
      </c>
      <c r="R402" s="12">
        <f>Таблица2[[#This Row],[Сумма в руб]]-Таблица2[[#This Row],[Оплата от клиента]]</f>
        <v>1.3385826750891283E-3</v>
      </c>
      <c r="S402" s="32"/>
      <c r="T402" s="32" t="s">
        <v>107</v>
      </c>
      <c r="U402" s="24" t="s">
        <v>31</v>
      </c>
      <c r="V402" s="2">
        <v>6.7762000000000002</v>
      </c>
      <c r="W402" s="28">
        <v>82.478700000000003</v>
      </c>
      <c r="X402" s="9">
        <v>418.85</v>
      </c>
      <c r="Y402" s="16">
        <v>2609.6999999999998</v>
      </c>
      <c r="Z402" s="10">
        <v>44694</v>
      </c>
      <c r="AA402" s="26">
        <f>Таблица2[[#This Row],[Сумма перевода Долл/Евро]]*Таблица2[[#This Row],[Курс ДОЛЛ перевод]]+Таблица2[[#This Row],[Сумма за перевод руб]]</f>
        <v>38388.832628858268</v>
      </c>
      <c r="AB40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34.176804706772998</v>
      </c>
      <c r="AC402" s="9"/>
      <c r="AD402" s="41"/>
    </row>
    <row r="403" spans="1:30" ht="30" x14ac:dyDescent="0.25">
      <c r="A403" s="6">
        <v>44657</v>
      </c>
      <c r="B403" s="2" t="s">
        <v>178</v>
      </c>
      <c r="C403" s="2" t="s">
        <v>654</v>
      </c>
      <c r="D403" s="1" t="s">
        <v>668</v>
      </c>
      <c r="E403" s="1"/>
      <c r="F403" s="3">
        <v>60000</v>
      </c>
      <c r="G403" s="5">
        <f>Таблица2[[#This Row],[Сумма ЮА]]/Таблица2[[#This Row],[Курс ЮА]]</f>
        <v>9439.8993077407176</v>
      </c>
      <c r="H403" s="2">
        <v>6.3559999999999999</v>
      </c>
      <c r="I403" s="2">
        <v>82.95</v>
      </c>
      <c r="J403" s="2">
        <v>0.9</v>
      </c>
      <c r="K403" s="2"/>
      <c r="L403" s="2"/>
      <c r="M403" s="26">
        <f>Таблица2[[#This Row],[Сумма Долл]]*Таблица2[[#This Row],[Курс ДОЛЛ]]</f>
        <v>783039.64757709252</v>
      </c>
      <c r="N403" s="24">
        <v>836096.53</v>
      </c>
      <c r="O40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9584.8448089871727</v>
      </c>
      <c r="P40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53056.882422907511</v>
      </c>
      <c r="Q403" s="30">
        <v>836096.53</v>
      </c>
      <c r="R403" s="12">
        <f>Таблица2[[#This Row],[Сумма в руб]]-Таблица2[[#This Row],[Оплата от клиента]]</f>
        <v>0</v>
      </c>
      <c r="S403" s="32"/>
      <c r="T403" s="32" t="s">
        <v>107</v>
      </c>
      <c r="U403" s="24" t="s">
        <v>31</v>
      </c>
      <c r="V403" s="2"/>
      <c r="W403" s="28">
        <v>81.695599999999999</v>
      </c>
      <c r="X403" s="9">
        <v>9445.6299999999992</v>
      </c>
      <c r="Y403" s="16"/>
      <c r="Z403" s="2"/>
      <c r="AA403" s="26">
        <f>Таблица2[[#This Row],[Сумма перевода Долл/Евро]]*Таблица2[[#This Row],[Курс ДОЛЛ перевод]]+Таблица2[[#This Row],[Сумма за перевод руб]]</f>
        <v>824723.29265090742</v>
      </c>
      <c r="AB40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139.21480898717346</v>
      </c>
      <c r="AC403" s="9"/>
      <c r="AD403" s="41" t="s">
        <v>698</v>
      </c>
    </row>
    <row r="404" spans="1:30" ht="30" x14ac:dyDescent="0.25">
      <c r="A404" s="6">
        <v>44662</v>
      </c>
      <c r="B404" s="2" t="s">
        <v>650</v>
      </c>
      <c r="C404" s="2" t="s">
        <v>651</v>
      </c>
      <c r="D404" s="1" t="s">
        <v>670</v>
      </c>
      <c r="E404" s="1"/>
      <c r="F404" s="3"/>
      <c r="G404" s="5">
        <v>3197</v>
      </c>
      <c r="H404" s="2"/>
      <c r="I404" s="2">
        <v>79.849999999999994</v>
      </c>
      <c r="J404" s="2">
        <v>0.97</v>
      </c>
      <c r="K404" s="2"/>
      <c r="L404" s="2"/>
      <c r="M404" s="26">
        <f>Таблица2[[#This Row],[Сумма Долл]]*Таблица2[[#This Row],[Курс ДОЛЛ]]</f>
        <v>255280.44999999998</v>
      </c>
      <c r="N40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263175.72164948453</v>
      </c>
      <c r="O40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3203.4188731333916</v>
      </c>
      <c r="P40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7895.2716494845517</v>
      </c>
      <c r="Q404" s="30">
        <v>263175</v>
      </c>
      <c r="R404" s="12">
        <f>Таблица2[[#This Row],[Сумма в руб]]-Таблица2[[#This Row],[Оплата от клиента]]</f>
        <v>0.72164948453428224</v>
      </c>
      <c r="S404" s="32"/>
      <c r="T404" s="32" t="s">
        <v>130</v>
      </c>
      <c r="U404" s="24" t="s">
        <v>31</v>
      </c>
      <c r="V404" s="2"/>
      <c r="W404" s="28">
        <v>79.69</v>
      </c>
      <c r="X404" s="9">
        <v>3197</v>
      </c>
      <c r="Y404" s="16"/>
      <c r="Z404" s="10">
        <v>44664</v>
      </c>
      <c r="AA404" s="26">
        <f>Таблица2[[#This Row],[Сумма перевода Долл/Евро]]*Таблица2[[#This Row],[Курс ДОЛЛ перевод]]+Таблица2[[#This Row],[Сумма за перевод руб]]</f>
        <v>262664.20164948457</v>
      </c>
      <c r="AB40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6.4188731333915712</v>
      </c>
      <c r="AC404" s="9"/>
      <c r="AD404" s="41"/>
    </row>
    <row r="405" spans="1:30" x14ac:dyDescent="0.25">
      <c r="A405" s="6">
        <v>44659</v>
      </c>
      <c r="B405" s="2" t="s">
        <v>173</v>
      </c>
      <c r="C405" s="2" t="s">
        <v>315</v>
      </c>
      <c r="D405" s="1"/>
      <c r="E405" s="1"/>
      <c r="F405" s="3">
        <v>88065</v>
      </c>
      <c r="G405" s="5"/>
      <c r="H405" s="2">
        <v>12.59</v>
      </c>
      <c r="I405" s="2"/>
      <c r="J405" s="2">
        <v>0.99</v>
      </c>
      <c r="K405" s="2"/>
      <c r="L405" s="2"/>
      <c r="M405" s="26">
        <f>Таблица2[[#This Row],[Сумма ЮА]]*Таблица2[[#This Row],[Курс ЮА]]</f>
        <v>1108738.3500000001</v>
      </c>
      <c r="N405" s="24">
        <f>Таблица2[[#This Row],[Сумма ЮА]]*Таблица2[[#This Row],[Курс ЮА]]/Таблица2[[#This Row],[% за перевод]]</f>
        <v>1119937.7272727273</v>
      </c>
      <c r="O40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0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11199.377272727201</v>
      </c>
      <c r="Q405" s="30">
        <v>1107484.0900000001</v>
      </c>
      <c r="R405" s="12">
        <f>Таблица2[[#This Row],[Сумма в руб]]-Таблица2[[#This Row],[Оплата от клиента]]</f>
        <v>12453.63727272721</v>
      </c>
      <c r="S405" s="32"/>
      <c r="T405" s="32" t="s">
        <v>107</v>
      </c>
      <c r="U405" s="24" t="s">
        <v>31</v>
      </c>
      <c r="V405" s="2"/>
      <c r="W405" s="28"/>
      <c r="X405" s="9"/>
      <c r="Y405" s="16">
        <v>88065</v>
      </c>
      <c r="Z405" s="10">
        <v>44664</v>
      </c>
      <c r="AA405" s="26">
        <f>Таблица2[[#This Row],[Сумма перевода Долл/Евро]]*Таблица2[[#This Row],[Курс ДОЛЛ перевод]]+Таблица2[[#This Row],[Сумма за перевод руб]]</f>
        <v>11199.377272727201</v>
      </c>
      <c r="AB40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05" s="9"/>
      <c r="AD405" s="41" t="s">
        <v>676</v>
      </c>
    </row>
    <row r="406" spans="1:30" x14ac:dyDescent="0.25">
      <c r="A406" s="6">
        <v>44659</v>
      </c>
      <c r="B406" s="2" t="s">
        <v>483</v>
      </c>
      <c r="C406" s="2" t="s">
        <v>484</v>
      </c>
      <c r="D406" s="1"/>
      <c r="E406" s="1"/>
      <c r="F406" s="3">
        <f>45390+6901.2</f>
        <v>52291.199999999997</v>
      </c>
      <c r="G406" s="5">
        <f>Таблица2[[#This Row],[Сумма ЮА]]/Таблица2[[#This Row],[Курс ЮА]]</f>
        <v>8228.3556254917385</v>
      </c>
      <c r="H406" s="2">
        <v>6.3550000000000004</v>
      </c>
      <c r="I406" s="2">
        <v>75.44</v>
      </c>
      <c r="J406" s="2">
        <v>0.9</v>
      </c>
      <c r="K406" s="2"/>
      <c r="L406" s="2"/>
      <c r="M406" s="26">
        <f>Таблица2[[#This Row],[Сумма Долл]]*Таблица2[[#This Row],[Курс ДОЛЛ]]</f>
        <v>620747.14838709671</v>
      </c>
      <c r="N40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689719.05376344081</v>
      </c>
      <c r="O40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7719.7755053736691</v>
      </c>
      <c r="P40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68971.905376344104</v>
      </c>
      <c r="Q406" s="30">
        <v>689719.05</v>
      </c>
      <c r="R406" s="12">
        <f>Таблица2[[#This Row],[Сумма в руб]]-Таблица2[[#This Row],[Оплата от клиента]]</f>
        <v>3.7634407635778189E-3</v>
      </c>
      <c r="S406" s="32"/>
      <c r="T406" s="32" t="s">
        <v>107</v>
      </c>
      <c r="U406" s="24" t="s">
        <v>31</v>
      </c>
      <c r="V406" s="2">
        <v>6.7762000000000002</v>
      </c>
      <c r="W406" s="28">
        <v>80.41</v>
      </c>
      <c r="X406" s="9">
        <v>8228.36</v>
      </c>
      <c r="Y406" s="16">
        <v>52291.199999999997</v>
      </c>
      <c r="Z406" s="10">
        <v>44694</v>
      </c>
      <c r="AA406" s="26">
        <f>Таблица2[[#This Row],[Сумма перевода Долл/Евро]]*Таблица2[[#This Row],[Курс ДОЛЛ перевод]]+Таблица2[[#This Row],[Сумма за перевод руб]]</f>
        <v>730614.33297634416</v>
      </c>
      <c r="AB40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2.8840322766536701</v>
      </c>
      <c r="AC406" s="9"/>
      <c r="AD406" s="41"/>
    </row>
    <row r="407" spans="1:30" x14ac:dyDescent="0.25">
      <c r="A407" s="6">
        <v>44659</v>
      </c>
      <c r="B407" s="2" t="s">
        <v>126</v>
      </c>
      <c r="C407" s="2" t="s">
        <v>52</v>
      </c>
      <c r="D407" s="1" t="s">
        <v>30</v>
      </c>
      <c r="E407" s="1"/>
      <c r="F407" s="3"/>
      <c r="G407" s="5">
        <v>4400</v>
      </c>
      <c r="H407" s="2"/>
      <c r="I407" s="2">
        <v>73.86</v>
      </c>
      <c r="J407" s="2">
        <v>0.98</v>
      </c>
      <c r="K407" s="2"/>
      <c r="L407" s="2"/>
      <c r="M407" s="26">
        <f>Таблица2[[#This Row],[Сумма Долл]]*Таблица2[[#This Row],[Курс ДОЛЛ]]</f>
        <v>324984</v>
      </c>
      <c r="N40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331616.32653061225</v>
      </c>
      <c r="O40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4078.1026477600703</v>
      </c>
      <c r="P40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6632.3265306122485</v>
      </c>
      <c r="Q407" s="30">
        <v>331616.33</v>
      </c>
      <c r="R407" s="12">
        <f>Таблица2[[#This Row],[Сумма в руб]]-Таблица2[[#This Row],[Оплата от клиента]]</f>
        <v>-3.4693877678364515E-3</v>
      </c>
      <c r="S407" s="32"/>
      <c r="T407" s="32" t="s">
        <v>164</v>
      </c>
      <c r="U407" s="24" t="s">
        <v>31</v>
      </c>
      <c r="V407" s="2"/>
      <c r="W407" s="28">
        <v>79.69</v>
      </c>
      <c r="X407" s="9">
        <v>4400</v>
      </c>
      <c r="Y407" s="16"/>
      <c r="Z407" s="10">
        <v>44666</v>
      </c>
      <c r="AA407" s="26">
        <f>Таблица2[[#This Row],[Сумма перевода Долл/Евро]]*Таблица2[[#This Row],[Курс ДОЛЛ перевод]]+Таблица2[[#This Row],[Сумма за перевод руб]]</f>
        <v>357268.32653061225</v>
      </c>
      <c r="AB40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-321.89735223992966</v>
      </c>
      <c r="AC407" s="9"/>
      <c r="AD407" s="41"/>
    </row>
    <row r="408" spans="1:30" x14ac:dyDescent="0.25">
      <c r="A408" s="6">
        <v>44663</v>
      </c>
      <c r="B408" s="2" t="s">
        <v>502</v>
      </c>
      <c r="C408" s="55" t="s">
        <v>503</v>
      </c>
      <c r="D408" s="1" t="s">
        <v>674</v>
      </c>
      <c r="E408" s="1"/>
      <c r="F408" s="3">
        <v>4826</v>
      </c>
      <c r="G408" s="5">
        <f>Таблица2[[#This Row],[Сумма ЮА]]/Таблица2[[#This Row],[Курс ЮА]]</f>
        <v>759.40204563335953</v>
      </c>
      <c r="H408" s="2">
        <v>6.3550000000000004</v>
      </c>
      <c r="I408" s="2">
        <v>80.25</v>
      </c>
      <c r="J408" s="2">
        <v>0.9</v>
      </c>
      <c r="K408" s="2"/>
      <c r="L408" s="2"/>
      <c r="M408" s="26">
        <f>Таблица2[[#This Row],[Сумма Долл]]*Таблица2[[#This Row],[Курс ДОЛЛ]]</f>
        <v>60942.014162077103</v>
      </c>
      <c r="N40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67713.349068974552</v>
      </c>
      <c r="O40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759.40204563335953</v>
      </c>
      <c r="P40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6771.3349068974494</v>
      </c>
      <c r="Q408" s="30">
        <v>67713.350000000006</v>
      </c>
      <c r="R408" s="12">
        <f>Таблица2[[#This Row],[Сумма в руб]]-Таблица2[[#This Row],[Оплата от клиента]]</f>
        <v>-9.3102545361034572E-4</v>
      </c>
      <c r="S408" s="32"/>
      <c r="T408" s="47" t="s">
        <v>382</v>
      </c>
      <c r="U408" s="24" t="s">
        <v>31</v>
      </c>
      <c r="V408" s="2">
        <v>10.62</v>
      </c>
      <c r="W408" s="28"/>
      <c r="X408" s="9"/>
      <c r="Y408" s="16">
        <v>4826</v>
      </c>
      <c r="Z408" s="10">
        <v>44698</v>
      </c>
      <c r="AA408" s="26">
        <f>Таблица2[[#This Row],[Сумма перевода Долл/Евро]]*Таблица2[[#This Row],[Курс ДОЛЛ перевод]]+Таблица2[[#This Row],[Сумма за перевод руб]]</f>
        <v>6771.3349068974494</v>
      </c>
      <c r="AB40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304.97643358062879</v>
      </c>
      <c r="AC408" s="9"/>
      <c r="AD408" s="41" t="s">
        <v>716</v>
      </c>
    </row>
    <row r="409" spans="1:30" x14ac:dyDescent="0.25">
      <c r="A409" s="6">
        <v>44664</v>
      </c>
      <c r="B409" s="2" t="s">
        <v>57</v>
      </c>
      <c r="C409" s="59" t="s">
        <v>58</v>
      </c>
      <c r="D409" s="58" t="s">
        <v>675</v>
      </c>
      <c r="E409" s="1"/>
      <c r="F409" s="3"/>
      <c r="G409" s="5">
        <v>3757.32</v>
      </c>
      <c r="H409" s="2"/>
      <c r="I409" s="2">
        <v>80.319999999999993</v>
      </c>
      <c r="J409" s="2">
        <v>0.99</v>
      </c>
      <c r="K409" s="2"/>
      <c r="L409" s="2"/>
      <c r="M409" s="26">
        <f>Таблица2[[#This Row],[Сумма Долл]]*Таблица2[[#This Row],[Курс ДОЛЛ]]</f>
        <v>301787.9424</v>
      </c>
      <c r="N40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304836.30545454548</v>
      </c>
      <c r="O40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3761.0660817547359</v>
      </c>
      <c r="P40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3048.3630545454798</v>
      </c>
      <c r="Q409" s="30">
        <v>304836.31</v>
      </c>
      <c r="R409" s="12">
        <f>Таблица2[[#This Row],[Сумма в руб]]-Таблица2[[#This Row],[Оплата от клиента]]</f>
        <v>-4.5454545179381967E-3</v>
      </c>
      <c r="S409" s="32"/>
      <c r="T409" s="32" t="s">
        <v>164</v>
      </c>
      <c r="U409" s="24" t="s">
        <v>31</v>
      </c>
      <c r="V409" s="2"/>
      <c r="W409" s="28">
        <v>80.239999999999995</v>
      </c>
      <c r="X409" s="9">
        <v>3757.32</v>
      </c>
      <c r="Y409" s="16"/>
      <c r="Z409" s="10">
        <v>44670</v>
      </c>
      <c r="AA409" s="26">
        <f>Таблица2[[#This Row],[Сумма перевода Долл/Евро]]*Таблица2[[#This Row],[Курс ДОЛЛ перевод]]+Таблица2[[#This Row],[Сумма за перевод руб]]</f>
        <v>304535.71985454549</v>
      </c>
      <c r="AB40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3.7460817547357692</v>
      </c>
      <c r="AC409" s="9"/>
      <c r="AD409" s="41" t="s">
        <v>715</v>
      </c>
    </row>
    <row r="410" spans="1:30" x14ac:dyDescent="0.25">
      <c r="A410" s="6">
        <v>44664</v>
      </c>
      <c r="B410" s="2" t="s">
        <v>32</v>
      </c>
      <c r="C410" s="2" t="s">
        <v>33</v>
      </c>
      <c r="D410" s="1"/>
      <c r="E410" s="1"/>
      <c r="F410" s="3"/>
      <c r="G410" s="5">
        <v>3205</v>
      </c>
      <c r="H410" s="2"/>
      <c r="I410" s="2">
        <v>80.540000000000006</v>
      </c>
      <c r="J410" s="2">
        <v>0.99</v>
      </c>
      <c r="K410" s="2"/>
      <c r="L410" s="2"/>
      <c r="M410" s="26">
        <f>Таблица2[[#This Row],[Сумма Долл]]*Таблица2[[#This Row],[Курс ДОЛЛ]]</f>
        <v>258130.7</v>
      </c>
      <c r="N41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260738.08080808082</v>
      </c>
      <c r="O41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3219.3901222249938</v>
      </c>
      <c r="P4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2607.3808080808085</v>
      </c>
      <c r="Q410" s="30">
        <v>260738.08</v>
      </c>
      <c r="R410" s="12">
        <f>Таблица2[[#This Row],[Сумма в руб]]-Таблица2[[#This Row],[Оплата от клиента]]</f>
        <v>8.0808083293959498E-4</v>
      </c>
      <c r="S410" s="32"/>
      <c r="T410" s="32" t="s">
        <v>164</v>
      </c>
      <c r="U410" s="24" t="s">
        <v>31</v>
      </c>
      <c r="V410" s="2"/>
      <c r="W410" s="28">
        <v>80.180000000000007</v>
      </c>
      <c r="X410" s="9">
        <v>3205</v>
      </c>
      <c r="Y410" s="16"/>
      <c r="Z410" s="10">
        <v>44666</v>
      </c>
      <c r="AA410" s="26">
        <f>Таблица2[[#This Row],[Сумма перевода Долл/Евро]]*Таблица2[[#This Row],[Курс ДОЛЛ перевод]]+Таблица2[[#This Row],[Сумма за перевод руб]]</f>
        <v>259584.28080808083</v>
      </c>
      <c r="AB41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14.390122224993775</v>
      </c>
      <c r="AC410" s="9"/>
      <c r="AD410" s="41"/>
    </row>
    <row r="411" spans="1:30" ht="30" x14ac:dyDescent="0.25">
      <c r="A411" s="6">
        <v>44666</v>
      </c>
      <c r="B411" s="2" t="s">
        <v>38</v>
      </c>
      <c r="C411" s="2" t="s">
        <v>304</v>
      </c>
      <c r="D411" s="1" t="s">
        <v>677</v>
      </c>
      <c r="E411" s="1"/>
      <c r="F411" s="3"/>
      <c r="G411" s="5">
        <v>1330.5</v>
      </c>
      <c r="H411" s="2"/>
      <c r="I411" s="2">
        <v>80.17</v>
      </c>
      <c r="J411" s="2"/>
      <c r="K411" s="2">
        <v>80</v>
      </c>
      <c r="L411" s="2"/>
      <c r="M411" s="26">
        <f>Таблица2[[#This Row],[Сумма Долл]]*Таблица2[[#This Row],[Курс ДОЛЛ]]</f>
        <v>106666.185</v>
      </c>
      <c r="N41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113079.785</v>
      </c>
      <c r="O41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1340.3642246795678</v>
      </c>
      <c r="P41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6366.4</v>
      </c>
      <c r="Q411" s="30">
        <v>113079.79</v>
      </c>
      <c r="R411" s="12">
        <f>Таблица2[[#This Row],[Сумма в руб]]-Таблица2[[#This Row],[Оплата от клиента]]</f>
        <v>-4.9999999901046976E-3</v>
      </c>
      <c r="S411" s="32"/>
      <c r="T411" s="32" t="s">
        <v>164</v>
      </c>
      <c r="U411" s="24" t="s">
        <v>31</v>
      </c>
      <c r="V411" s="2"/>
      <c r="W411" s="28">
        <v>79.58</v>
      </c>
      <c r="X411" s="9">
        <v>1330.5</v>
      </c>
      <c r="Y411" s="16"/>
      <c r="Z411" s="10">
        <v>44669</v>
      </c>
      <c r="AA411" s="26">
        <f>Таблица2[[#This Row],[Сумма перевода Долл/Евро]]*Таблица2[[#This Row],[Курс ДОЛЛ перевод]]+Таблица2[[#This Row],[Сумма за перевод руб]]</f>
        <v>112247.59</v>
      </c>
      <c r="AB41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9.8642246795677693</v>
      </c>
      <c r="AC411" s="9"/>
      <c r="AD411" s="41"/>
    </row>
    <row r="412" spans="1:30" x14ac:dyDescent="0.25">
      <c r="A412" s="6">
        <v>44670</v>
      </c>
      <c r="B412" s="2" t="s">
        <v>502</v>
      </c>
      <c r="C412" s="2" t="s">
        <v>503</v>
      </c>
      <c r="D412" s="1" t="s">
        <v>674</v>
      </c>
      <c r="E412" s="1"/>
      <c r="F412" s="3">
        <v>2625</v>
      </c>
      <c r="G412" s="5">
        <f>Таблица2[[#This Row],[Сумма ЮА]]/Таблица2[[#This Row],[Курс ЮА]]</f>
        <v>412.34684260131951</v>
      </c>
      <c r="H412" s="2">
        <v>6.3659999999999997</v>
      </c>
      <c r="I412" s="2">
        <v>79.680000000000007</v>
      </c>
      <c r="J412" s="2">
        <v>0.9</v>
      </c>
      <c r="K412" s="2"/>
      <c r="L412" s="2"/>
      <c r="M412" s="26">
        <f>Таблица2[[#This Row],[Сумма Долл]]*Таблица2[[#This Row],[Курс ДОЛЛ]]</f>
        <v>32855.796418473139</v>
      </c>
      <c r="N41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36506.440464970154</v>
      </c>
      <c r="O41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420.7426868801785</v>
      </c>
      <c r="P4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3650.6440464970146</v>
      </c>
      <c r="Q412" s="30">
        <v>36506.44</v>
      </c>
      <c r="R412" s="12">
        <f>Таблица2[[#This Row],[Сумма в руб]]-Таблица2[[#This Row],[Оплата от клиента]]</f>
        <v>4.6497015136992559E-4</v>
      </c>
      <c r="S412" s="32"/>
      <c r="T412" s="47" t="s">
        <v>382</v>
      </c>
      <c r="U412" s="24" t="s">
        <v>31</v>
      </c>
      <c r="V412" s="2">
        <v>6.7762000000000002</v>
      </c>
      <c r="W412" s="28">
        <v>78.09</v>
      </c>
      <c r="X412" s="9">
        <v>419.4</v>
      </c>
      <c r="Y412" s="16">
        <v>2625</v>
      </c>
      <c r="Z412" s="10">
        <v>44694</v>
      </c>
      <c r="AA412" s="26">
        <f>Таблица2[[#This Row],[Сумма перевода Долл/Евро]]*Таблица2[[#This Row],[Курс ДОЛЛ перевод]]+Таблица2[[#This Row],[Сумма за перевод руб]]</f>
        <v>36401.590046497018</v>
      </c>
      <c r="AB41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33.357426704858995</v>
      </c>
      <c r="AC412" s="9"/>
      <c r="AD412" s="41"/>
    </row>
    <row r="413" spans="1:30" x14ac:dyDescent="0.25">
      <c r="A413" s="6">
        <v>44670</v>
      </c>
      <c r="B413" s="2" t="s">
        <v>681</v>
      </c>
      <c r="C413" s="2" t="s">
        <v>680</v>
      </c>
      <c r="D413" s="1"/>
      <c r="E413" s="1"/>
      <c r="F413" s="3">
        <v>31512.39</v>
      </c>
      <c r="G413" s="5"/>
      <c r="H413" s="2">
        <v>12.97</v>
      </c>
      <c r="I413" s="2"/>
      <c r="J413" s="2">
        <v>0.98499999999999999</v>
      </c>
      <c r="K413" s="2"/>
      <c r="L413" s="2"/>
      <c r="M413" s="26">
        <f>Таблица2[[#This Row],[Сумма Долл]]*Таблица2[[#This Row],[Курс ДОЛЛ]]</f>
        <v>0</v>
      </c>
      <c r="N413" s="24">
        <f>Таблица2[[#This Row],[Сумма ЮА]]*Таблица2[[#This Row],[Курс ЮА]]/Таблица2[[#This Row],[% за перевод]]</f>
        <v>414939.7952284264</v>
      </c>
      <c r="O41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1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414939.7952284264</v>
      </c>
      <c r="Q413" s="30">
        <v>414939.8</v>
      </c>
      <c r="R413" s="12">
        <f>Таблица2[[#This Row],[Сумма в руб]]-Таблица2[[#This Row],[Оплата от клиента]]</f>
        <v>-4.7715735854580998E-3</v>
      </c>
      <c r="S413" s="32"/>
      <c r="T413" s="32" t="s">
        <v>382</v>
      </c>
      <c r="U413" s="24" t="s">
        <v>31</v>
      </c>
      <c r="V413" s="2">
        <v>11.58</v>
      </c>
      <c r="W413" s="28"/>
      <c r="X413" s="9"/>
      <c r="Y413" s="16">
        <v>31512.39</v>
      </c>
      <c r="Z413" s="10">
        <v>44677</v>
      </c>
      <c r="AA413" s="26">
        <f>Таблица2[[#This Row],[Сумма перевода Долл/Евро]]*Таблица2[[#This Row],[Курс ДОЛЛ перевод]]+Таблица2[[#This Row],[Сумма за перевод руб]]</f>
        <v>414939.7952284264</v>
      </c>
      <c r="AB41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13" s="9"/>
      <c r="AD413" s="41"/>
    </row>
    <row r="414" spans="1:30" x14ac:dyDescent="0.25">
      <c r="A414" s="6">
        <v>44671</v>
      </c>
      <c r="B414" s="2" t="s">
        <v>68</v>
      </c>
      <c r="C414" s="2" t="s">
        <v>684</v>
      </c>
      <c r="D414" s="1" t="s">
        <v>685</v>
      </c>
      <c r="E414" s="1"/>
      <c r="F414" s="3"/>
      <c r="G414" s="5">
        <v>1512</v>
      </c>
      <c r="H414" s="2"/>
      <c r="I414" s="2">
        <v>78.239999999999995</v>
      </c>
      <c r="J414" s="2">
        <v>0.97</v>
      </c>
      <c r="K414" s="2"/>
      <c r="L414" s="2"/>
      <c r="M414" s="26">
        <f>Таблица2[[#This Row],[Сумма Долл]]*Таблица2[[#This Row],[Курс ДОЛЛ]]</f>
        <v>118298.87999999999</v>
      </c>
      <c r="N41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121957.60824742267</v>
      </c>
      <c r="O41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1512</v>
      </c>
      <c r="P41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3658.7282474226813</v>
      </c>
      <c r="Q414" s="30"/>
      <c r="R414" s="12">
        <f>Таблица2[[#This Row],[Сумма в руб]]-Таблица2[[#This Row],[Оплата от клиента]]</f>
        <v>121957.60824742267</v>
      </c>
      <c r="S414" s="32"/>
      <c r="T414" s="32" t="s">
        <v>130</v>
      </c>
      <c r="U414" s="36"/>
      <c r="V414" s="2"/>
      <c r="W414" s="28"/>
      <c r="X414" s="9"/>
      <c r="Y414" s="16"/>
      <c r="Z414" s="2"/>
      <c r="AA414" s="26">
        <f>Таблица2[[#This Row],[Сумма перевода Долл/Евро]]*Таблица2[[#This Row],[Курс ДОЛЛ перевод]]+Таблица2[[#This Row],[Сумма за перевод руб]]</f>
        <v>3658.7282474226813</v>
      </c>
      <c r="AB41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1512</v>
      </c>
      <c r="AC414" s="9"/>
      <c r="AD414" s="41"/>
    </row>
    <row r="415" spans="1:30" ht="30" x14ac:dyDescent="0.25">
      <c r="A415" s="6">
        <v>44672</v>
      </c>
      <c r="B415" s="38" t="s">
        <v>397</v>
      </c>
      <c r="C415" s="38" t="s">
        <v>396</v>
      </c>
      <c r="D415" s="1" t="s">
        <v>686</v>
      </c>
      <c r="E415" s="1"/>
      <c r="F415" s="3">
        <v>15231</v>
      </c>
      <c r="G415" s="5"/>
      <c r="H415" s="2">
        <v>11.95</v>
      </c>
      <c r="I415" s="2"/>
      <c r="J415" s="2">
        <v>0.97</v>
      </c>
      <c r="K415" s="2"/>
      <c r="L415" s="2"/>
      <c r="M415" s="26">
        <f>Таблица2[[#This Row],[Сумма ЮА]]*Таблица2[[#This Row],[Курс ЮА]]</f>
        <v>182010.44999999998</v>
      </c>
      <c r="N415" s="24">
        <f>Таблица2[[#This Row],[Сумма ЮА]]*Таблица2[[#This Row],[Курс ЮА]]/Таблица2[[#This Row],[% за перевод]]</f>
        <v>187639.63917525773</v>
      </c>
      <c r="O41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1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5629.1891752577503</v>
      </c>
      <c r="Q415" s="30">
        <v>187639.64</v>
      </c>
      <c r="R415" s="12">
        <f>Таблица2[[#This Row],[Сумма в руб]]-Таблица2[[#This Row],[Оплата от клиента]]</f>
        <v>-8.2474228111095726E-4</v>
      </c>
      <c r="S415" s="32">
        <v>44672</v>
      </c>
      <c r="T415" s="32" t="s">
        <v>382</v>
      </c>
      <c r="U415" s="24" t="s">
        <v>31</v>
      </c>
      <c r="V415" s="2">
        <v>10.62</v>
      </c>
      <c r="W415" s="28"/>
      <c r="X415" s="9"/>
      <c r="Y415" s="16">
        <v>15231</v>
      </c>
      <c r="Z415" s="10">
        <v>44698</v>
      </c>
      <c r="AA415" s="26">
        <f>Таблица2[[#This Row],[Сумма перевода Долл/Евро]]*Таблица2[[#This Row],[Курс ДОЛЛ перевод]]+Таблица2[[#This Row],[Сумма за перевод руб]]</f>
        <v>5629.1891752577503</v>
      </c>
      <c r="AB41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15" s="9" t="s">
        <v>1067</v>
      </c>
      <c r="AD415" s="49" t="s">
        <v>718</v>
      </c>
    </row>
    <row r="416" spans="1:30" x14ac:dyDescent="0.25">
      <c r="A416" s="6">
        <v>44676</v>
      </c>
      <c r="B416" s="2" t="s">
        <v>126</v>
      </c>
      <c r="C416" s="2" t="s">
        <v>52</v>
      </c>
      <c r="D416" s="1" t="s">
        <v>30</v>
      </c>
      <c r="E416" s="1"/>
      <c r="F416" s="3"/>
      <c r="G416" s="5">
        <v>4000</v>
      </c>
      <c r="H416" s="2"/>
      <c r="I416" s="2">
        <v>73.37</v>
      </c>
      <c r="J416" s="2">
        <v>0.98</v>
      </c>
      <c r="K416" s="2"/>
      <c r="L416" s="2"/>
      <c r="M416" s="26">
        <f>Таблица2[[#This Row],[Сумма Долл]]*Таблица2[[#This Row],[Курс ДОЛЛ]]</f>
        <v>293480</v>
      </c>
      <c r="N41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299469.38775510207</v>
      </c>
      <c r="O41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3995.099373808876</v>
      </c>
      <c r="P41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5989.3877551020705</v>
      </c>
      <c r="Q416" s="30">
        <v>299469.39</v>
      </c>
      <c r="R416" s="12">
        <f>Таблица2[[#This Row],[Сумма в руб]]-Таблица2[[#This Row],[Оплата от клиента]]</f>
        <v>-2.2448979434557259E-3</v>
      </c>
      <c r="S416" s="32"/>
      <c r="T416" s="32" t="s">
        <v>164</v>
      </c>
      <c r="U416" s="24" t="s">
        <v>31</v>
      </c>
      <c r="V416" s="2"/>
      <c r="W416" s="28">
        <v>73.459999999999994</v>
      </c>
      <c r="X416" s="9">
        <v>4000</v>
      </c>
      <c r="Y416" s="16"/>
      <c r="Z416" s="10">
        <v>44676</v>
      </c>
      <c r="AA416" s="26">
        <f>Таблица2[[#This Row],[Сумма перевода Долл/Евро]]*Таблица2[[#This Row],[Курс ДОЛЛ перевод]]+Таблица2[[#This Row],[Сумма за перевод руб]]</f>
        <v>299829.38775510207</v>
      </c>
      <c r="AB41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-4.9006261911240472</v>
      </c>
      <c r="AC416" s="9"/>
      <c r="AD416" s="41"/>
    </row>
    <row r="417" spans="1:30" x14ac:dyDescent="0.25">
      <c r="A417" s="6">
        <v>44676</v>
      </c>
      <c r="B417" s="38" t="s">
        <v>681</v>
      </c>
      <c r="C417" s="38" t="s">
        <v>680</v>
      </c>
      <c r="D417" s="1" t="s">
        <v>687</v>
      </c>
      <c r="E417" s="1"/>
      <c r="F417" s="3">
        <v>72187.61</v>
      </c>
      <c r="G417" s="5"/>
      <c r="H417" s="2">
        <v>11.21</v>
      </c>
      <c r="I417" s="2"/>
      <c r="J417" s="2">
        <v>0.98499999999999999</v>
      </c>
      <c r="K417" s="2"/>
      <c r="L417" s="2"/>
      <c r="M417" s="26">
        <f>Таблица2[[#This Row],[Сумма ЮА]]*Таблица2[[#This Row],[Курс ЮА]]</f>
        <v>809223.10810000007</v>
      </c>
      <c r="N417" s="24">
        <v>822501.25</v>
      </c>
      <c r="O41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1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13278.14189999993</v>
      </c>
      <c r="Q417" s="30">
        <v>822501.25</v>
      </c>
      <c r="R417" s="12">
        <f>Таблица2[[#This Row],[Сумма в руб]]-Таблица2[[#This Row],[Оплата от клиента]]</f>
        <v>0</v>
      </c>
      <c r="S417" s="32"/>
      <c r="T417" s="32" t="s">
        <v>382</v>
      </c>
      <c r="U417" s="24" t="s">
        <v>31</v>
      </c>
      <c r="V417" s="2">
        <v>11.26</v>
      </c>
      <c r="W417" s="28"/>
      <c r="X417" s="9"/>
      <c r="Y417" s="16">
        <v>72187.61</v>
      </c>
      <c r="Z417" s="10">
        <v>44676</v>
      </c>
      <c r="AA417" s="26">
        <f>Таблица2[[#This Row],[Сумма перевода Долл/Евро]]*Таблица2[[#This Row],[Курс ДОЛЛ перевод]]+Таблица2[[#This Row],[Сумма за перевод руб]]</f>
        <v>13278.14189999993</v>
      </c>
      <c r="AB41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17" s="9"/>
      <c r="AD417" s="41"/>
    </row>
    <row r="418" spans="1:30" x14ac:dyDescent="0.25">
      <c r="A418" s="6">
        <v>44676</v>
      </c>
      <c r="B418" s="38" t="s">
        <v>688</v>
      </c>
      <c r="C418" s="38" t="s">
        <v>689</v>
      </c>
      <c r="D418" s="1" t="s">
        <v>690</v>
      </c>
      <c r="E418" s="1"/>
      <c r="F418" s="3">
        <v>43100</v>
      </c>
      <c r="G418" s="5"/>
      <c r="H418" s="2">
        <v>11.42</v>
      </c>
      <c r="I418" s="2"/>
      <c r="J418" s="2">
        <v>0.98</v>
      </c>
      <c r="K418" s="2"/>
      <c r="L418" s="2"/>
      <c r="M418" s="26">
        <f>Таблица2[[#This Row],[Сумма ЮА]]*Таблица2[[#This Row],[Курс ЮА]]</f>
        <v>492202</v>
      </c>
      <c r="N418" s="24">
        <f>Таблица2[[#This Row],[Сумма ЮА]]*Таблица2[[#This Row],[Курс ЮА]]/Таблица2[[#This Row],[% за перевод]]+5490</f>
        <v>507736.93877551024</v>
      </c>
      <c r="O41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1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15534.938775510236</v>
      </c>
      <c r="Q418" s="30">
        <v>502246.94</v>
      </c>
      <c r="R418" s="12">
        <f>Таблица2[[#This Row],[Сумма в руб]]-Таблица2[[#This Row],[Оплата от клиента]]</f>
        <v>5489.9987755102338</v>
      </c>
      <c r="S418" s="32"/>
      <c r="T418" s="32" t="s">
        <v>382</v>
      </c>
      <c r="U418" s="24" t="s">
        <v>31</v>
      </c>
      <c r="V418" s="2">
        <v>11.21</v>
      </c>
      <c r="W418" s="28"/>
      <c r="X418" s="9">
        <v>43100</v>
      </c>
      <c r="Y418" s="16"/>
      <c r="Z418" s="10">
        <v>44677</v>
      </c>
      <c r="AA418" s="26">
        <f>Таблица2[[#This Row],[Сумма перевода Долл/Евро]]*Таблица2[[#This Row],[Курс ДОЛЛ перевод]]+Таблица2[[#This Row],[Сумма за перевод руб]]</f>
        <v>15534.938775510236</v>
      </c>
      <c r="AB41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18" s="9"/>
      <c r="AD418" s="41" t="s">
        <v>704</v>
      </c>
    </row>
    <row r="419" spans="1:30" x14ac:dyDescent="0.25">
      <c r="A419" s="6">
        <v>44677</v>
      </c>
      <c r="B419" s="38" t="s">
        <v>81</v>
      </c>
      <c r="C419" s="38" t="s">
        <v>82</v>
      </c>
      <c r="D419" s="1" t="s">
        <v>691</v>
      </c>
      <c r="E419" s="1"/>
      <c r="F419" s="3"/>
      <c r="G419" s="5">
        <v>944</v>
      </c>
      <c r="H419" s="2"/>
      <c r="I419" s="2">
        <v>72.73</v>
      </c>
      <c r="J419" s="2">
        <v>0.9</v>
      </c>
      <c r="K419" s="2"/>
      <c r="L419" s="2"/>
      <c r="M419" s="26">
        <f>Таблица2[[#This Row],[Сумма Долл]]*Таблица2[[#This Row],[Курс ДОЛЛ]]</f>
        <v>68657.12000000001</v>
      </c>
      <c r="N41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76285.688888888893</v>
      </c>
      <c r="O41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944.00000000000011</v>
      </c>
      <c r="P4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7628.5688888888835</v>
      </c>
      <c r="Q419" s="30">
        <v>76285.69</v>
      </c>
      <c r="R419" s="12">
        <f>Таблица2[[#This Row],[Сумма в руб]]-Таблица2[[#This Row],[Оплата от клиента]]</f>
        <v>-1.111111108912155E-3</v>
      </c>
      <c r="S419" s="32"/>
      <c r="T419" s="32" t="s">
        <v>720</v>
      </c>
      <c r="U419" s="36" t="s">
        <v>31</v>
      </c>
      <c r="V419" s="2"/>
      <c r="W419" s="28"/>
      <c r="X419" s="9"/>
      <c r="Y419" s="16" t="s">
        <v>721</v>
      </c>
      <c r="Z419" s="2"/>
      <c r="AA419" s="26">
        <f>Таблица2[[#This Row],[Сумма перевода Долл/Евро]]*Таблица2[[#This Row],[Курс ДОЛЛ перевод]]+Таблица2[[#This Row],[Сумма за перевод руб]]</f>
        <v>7628.5688888888835</v>
      </c>
      <c r="AB41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#VALUE!</v>
      </c>
      <c r="AC419" s="9"/>
      <c r="AD419" s="41" t="s">
        <v>699</v>
      </c>
    </row>
    <row r="420" spans="1:30" x14ac:dyDescent="0.25">
      <c r="A420" s="6">
        <v>44677</v>
      </c>
      <c r="B420" s="2" t="s">
        <v>81</v>
      </c>
      <c r="C420" s="2" t="s">
        <v>82</v>
      </c>
      <c r="D420" s="1" t="s">
        <v>692</v>
      </c>
      <c r="E420" s="1"/>
      <c r="F420" s="3"/>
      <c r="G420" s="5">
        <v>991.34</v>
      </c>
      <c r="H420" s="2">
        <v>6.5830000000000002</v>
      </c>
      <c r="I420" s="2">
        <v>72.73</v>
      </c>
      <c r="J420" s="2"/>
      <c r="K420" s="2">
        <v>80</v>
      </c>
      <c r="L420" s="2"/>
      <c r="M420" s="26">
        <f>Таблица2[[#This Row],[Сумма Долл]]*Таблица2[[#This Row],[Курс ДОЛЛ]]</f>
        <v>72100.158200000005</v>
      </c>
      <c r="N42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77918.558200000014</v>
      </c>
      <c r="O42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991.74908115543337</v>
      </c>
      <c r="P4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5816</v>
      </c>
      <c r="Q420" s="30">
        <v>77918.559999999998</v>
      </c>
      <c r="R420" s="12">
        <f>Таблица2[[#This Row],[Сумма в руб]]-Таблица2[[#This Row],[Оплата от клиента]]</f>
        <v>-1.7999999836320058E-3</v>
      </c>
      <c r="S420" s="32"/>
      <c r="T420" s="32" t="s">
        <v>130</v>
      </c>
      <c r="U420" s="24" t="s">
        <v>31</v>
      </c>
      <c r="V420" s="2"/>
      <c r="W420" s="28">
        <v>72.7</v>
      </c>
      <c r="X420" s="9">
        <v>991.34</v>
      </c>
      <c r="Y420" s="16"/>
      <c r="Z420" s="10">
        <v>44679</v>
      </c>
      <c r="AA420" s="26">
        <f>Таблица2[[#This Row],[Сумма перевода Долл/Евро]]*Таблица2[[#This Row],[Курс ДОЛЛ перевод]]+Таблица2[[#This Row],[Сумма за перевод руб]]</f>
        <v>77886.418000000005</v>
      </c>
      <c r="AB42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0.40908115543334134</v>
      </c>
      <c r="AC420" s="9"/>
      <c r="AD420" s="41" t="s">
        <v>706</v>
      </c>
    </row>
    <row r="421" spans="1:30" x14ac:dyDescent="0.25">
      <c r="A421" s="6">
        <v>44677</v>
      </c>
      <c r="B421" s="2" t="s">
        <v>81</v>
      </c>
      <c r="C421" s="2" t="s">
        <v>82</v>
      </c>
      <c r="D421" s="1" t="s">
        <v>693</v>
      </c>
      <c r="E421" s="1"/>
      <c r="F421" s="3"/>
      <c r="G421" s="5">
        <v>714</v>
      </c>
      <c r="H421" s="2">
        <v>6.5830000000000002</v>
      </c>
      <c r="I421" s="2">
        <v>72.73</v>
      </c>
      <c r="J421" s="2"/>
      <c r="K421" s="2">
        <v>80</v>
      </c>
      <c r="L421" s="2"/>
      <c r="M421" s="26">
        <f>Таблица2[[#This Row],[Сумма Долл]]*Таблица2[[#This Row],[Курс ДОЛЛ]]</f>
        <v>51929.22</v>
      </c>
      <c r="N42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57747.62</v>
      </c>
      <c r="O42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714.29463548830813</v>
      </c>
      <c r="P4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5816</v>
      </c>
      <c r="Q421" s="30">
        <v>57747.62</v>
      </c>
      <c r="R421" s="12">
        <f>Таблица2[[#This Row],[Сумма в руб]]-Таблица2[[#This Row],[Оплата от клиента]]</f>
        <v>0</v>
      </c>
      <c r="S421" s="32"/>
      <c r="T421" s="32" t="s">
        <v>130</v>
      </c>
      <c r="U421" s="24" t="s">
        <v>31</v>
      </c>
      <c r="V421" s="2"/>
      <c r="W421" s="28">
        <v>72.7</v>
      </c>
      <c r="X421" s="9">
        <v>714</v>
      </c>
      <c r="Y421" s="16"/>
      <c r="Z421" s="10">
        <v>44679</v>
      </c>
      <c r="AA421" s="26">
        <f>Таблица2[[#This Row],[Сумма перевода Долл/Евро]]*Таблица2[[#This Row],[Курс ДОЛЛ перевод]]+Таблица2[[#This Row],[Сумма за перевод руб]]</f>
        <v>57723.8</v>
      </c>
      <c r="AB42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0.29463548830813124</v>
      </c>
      <c r="AC421" s="9"/>
      <c r="AD421" s="41" t="s">
        <v>706</v>
      </c>
    </row>
    <row r="422" spans="1:30" x14ac:dyDescent="0.25">
      <c r="A422" s="6">
        <v>44677</v>
      </c>
      <c r="B422" s="2" t="s">
        <v>694</v>
      </c>
      <c r="C422" s="2" t="s">
        <v>695</v>
      </c>
      <c r="D422" s="1" t="s">
        <v>696</v>
      </c>
      <c r="E422" s="1"/>
      <c r="F422" s="3"/>
      <c r="G422" s="5">
        <v>2552</v>
      </c>
      <c r="H422" s="2"/>
      <c r="I422" s="2">
        <v>72.84</v>
      </c>
      <c r="J422" s="2"/>
      <c r="K422" s="2"/>
      <c r="L422" s="2"/>
      <c r="M422" s="26">
        <f>Таблица2[[#This Row],[Сумма Долл]]*Таблица2[[#This Row],[Курс ДОЛЛ]]</f>
        <v>185887.68000000002</v>
      </c>
      <c r="N42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185887.68000000002</v>
      </c>
      <c r="O42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2552</v>
      </c>
      <c r="P4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422" s="30"/>
      <c r="R422" s="12">
        <f>Таблица2[[#This Row],[Сумма в руб]]-Таблица2[[#This Row],[Оплата от клиента]]</f>
        <v>185887.68000000002</v>
      </c>
      <c r="S422" s="32"/>
      <c r="T422" s="32" t="s">
        <v>164</v>
      </c>
      <c r="U422" s="36"/>
      <c r="V422" s="2"/>
      <c r="W422" s="28"/>
      <c r="X422" s="9"/>
      <c r="Y422" s="16"/>
      <c r="Z422" s="2"/>
      <c r="AA422" s="26">
        <f>Таблица2[[#This Row],[Сумма перевода Долл/Евро]]*Таблица2[[#This Row],[Курс ДОЛЛ перевод]]+Таблица2[[#This Row],[Сумма за перевод руб]]</f>
        <v>0</v>
      </c>
      <c r="AB42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2552</v>
      </c>
      <c r="AC422" s="9"/>
      <c r="AD422" s="41"/>
    </row>
    <row r="423" spans="1:30" ht="30" x14ac:dyDescent="0.25">
      <c r="A423" s="6">
        <v>44678</v>
      </c>
      <c r="B423" s="38" t="s">
        <v>32</v>
      </c>
      <c r="C423" s="38" t="s">
        <v>33</v>
      </c>
      <c r="D423" s="1" t="s">
        <v>697</v>
      </c>
      <c r="E423" s="1"/>
      <c r="F423" s="3">
        <v>13474.3</v>
      </c>
      <c r="G423" s="5"/>
      <c r="H423" s="2">
        <v>11.44</v>
      </c>
      <c r="I423" s="2"/>
      <c r="J423" s="2">
        <v>0.99</v>
      </c>
      <c r="K423" s="2"/>
      <c r="L423" s="2"/>
      <c r="M423" s="26">
        <f>Таблица2[[#This Row],[Сумма ЮА]]*Таблица2[[#This Row],[Курс ЮА]]</f>
        <v>154145.992</v>
      </c>
      <c r="N423" s="24">
        <f>Таблица2[[#This Row],[Сумма ЮА]]*Таблица2[[#This Row],[Курс ЮА]]/Таблица2[[#This Row],[% за перевод]]</f>
        <v>155703.02222222224</v>
      </c>
      <c r="O42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1557.0302222222381</v>
      </c>
      <c r="Q423" s="30">
        <v>155703.01999999999</v>
      </c>
      <c r="R423" s="12">
        <f>Таблица2[[#This Row],[Сумма в руб]]-Таблица2[[#This Row],[Оплата от клиента]]</f>
        <v>2.2222222469281405E-3</v>
      </c>
      <c r="S423" s="32"/>
      <c r="T423" s="32" t="s">
        <v>107</v>
      </c>
      <c r="U423" s="24" t="s">
        <v>31</v>
      </c>
      <c r="V423" s="2">
        <v>10.039999999999999</v>
      </c>
      <c r="W423" s="28"/>
      <c r="X423" s="9"/>
      <c r="Y423" s="16">
        <v>13474.3</v>
      </c>
      <c r="Z423" s="10">
        <v>44686</v>
      </c>
      <c r="AA423" s="26">
        <f>Таблица2[[#This Row],[Сумма перевода Долл/Евро]]*Таблица2[[#This Row],[Курс ДОЛЛ перевод]]+Таблица2[[#This Row],[Сумма за перевод руб]]</f>
        <v>1557.0302222222381</v>
      </c>
      <c r="AB42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23" s="9"/>
      <c r="AD423" s="41"/>
    </row>
    <row r="424" spans="1:30" x14ac:dyDescent="0.25">
      <c r="A424" s="6">
        <v>44678</v>
      </c>
      <c r="B424" s="38" t="s">
        <v>688</v>
      </c>
      <c r="C424" s="38" t="s">
        <v>689</v>
      </c>
      <c r="D424" s="1" t="s">
        <v>690</v>
      </c>
      <c r="E424" s="1"/>
      <c r="F424" s="3">
        <v>64642</v>
      </c>
      <c r="G424" s="5"/>
      <c r="H424" s="2">
        <v>11.14</v>
      </c>
      <c r="I424" s="2"/>
      <c r="J424" s="2">
        <v>0.98</v>
      </c>
      <c r="K424" s="2"/>
      <c r="L424" s="2"/>
      <c r="M424" s="26">
        <f>Таблица2[[#This Row],[Сумма ЮА]]*Таблица2[[#This Row],[Курс ЮА]]</f>
        <v>720111.88</v>
      </c>
      <c r="N424" s="24">
        <f>Таблица2[[#This Row],[Сумма ЮА]]*Таблица2[[#This Row],[Курс ЮА]]/Таблица2[[#This Row],[% за перевод]]-9500+5225</f>
        <v>730533.04081632651</v>
      </c>
      <c r="O42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2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10421.160816326505</v>
      </c>
      <c r="Q424" s="30">
        <v>725308.04</v>
      </c>
      <c r="R424" s="12">
        <f>Таблица2[[#This Row],[Сумма в руб]]-Таблица2[[#This Row],[Оплата от клиента]]</f>
        <v>5225.000816326472</v>
      </c>
      <c r="S424" s="32"/>
      <c r="T424" s="32" t="s">
        <v>107</v>
      </c>
      <c r="U424" s="24" t="s">
        <v>31</v>
      </c>
      <c r="V424" s="2">
        <v>11.09</v>
      </c>
      <c r="W424" s="28"/>
      <c r="X424" s="9"/>
      <c r="Y424" s="16">
        <v>64384.22</v>
      </c>
      <c r="Z424" s="10">
        <v>44679</v>
      </c>
      <c r="AA424" s="26">
        <f>Таблица2[[#This Row],[Сумма перевода Долл/Евро]]*Таблица2[[#This Row],[Курс ДОЛЛ перевод]]+Таблица2[[#This Row],[Сумма за перевод руб]]</f>
        <v>10421.160816326505</v>
      </c>
      <c r="AB42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24" s="9"/>
      <c r="AD424" s="41" t="s">
        <v>707</v>
      </c>
    </row>
    <row r="425" spans="1:30" x14ac:dyDescent="0.25">
      <c r="A425" s="6">
        <v>44680</v>
      </c>
      <c r="B425" s="38" t="s">
        <v>59</v>
      </c>
      <c r="C425" s="38" t="s">
        <v>435</v>
      </c>
      <c r="D425" s="1" t="s">
        <v>701</v>
      </c>
      <c r="E425" s="1"/>
      <c r="F425" s="3">
        <v>130375</v>
      </c>
      <c r="G425" s="5"/>
      <c r="H425" s="2">
        <v>10.97</v>
      </c>
      <c r="I425" s="2"/>
      <c r="J425" s="2">
        <v>0.99</v>
      </c>
      <c r="K425" s="2"/>
      <c r="L425" s="2"/>
      <c r="M425" s="26">
        <f>Таблица2[[#This Row],[Сумма ЮА]]*Таблица2[[#This Row],[Курс ЮА]]</f>
        <v>1430213.75</v>
      </c>
      <c r="N425" s="24">
        <f>Таблица2[[#This Row],[Сумма ЮА]]*Таблица2[[#This Row],[Курс ЮА]]/Таблица2[[#This Row],[% за перевод]]</f>
        <v>1444660.3535353534</v>
      </c>
      <c r="O42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2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14446.603535353439</v>
      </c>
      <c r="Q425" s="30">
        <v>1444660.35</v>
      </c>
      <c r="R425" s="12">
        <f>Таблица2[[#This Row],[Сумма в руб]]-Таблица2[[#This Row],[Оплата от клиента]]</f>
        <v>3.5353533457964659E-3</v>
      </c>
      <c r="S425" s="32">
        <v>44685</v>
      </c>
      <c r="T425" s="32" t="s">
        <v>107</v>
      </c>
      <c r="U425" s="24" t="s">
        <v>31</v>
      </c>
      <c r="V425" s="2">
        <v>10.45</v>
      </c>
      <c r="W425" s="28"/>
      <c r="X425" s="9"/>
      <c r="Y425" s="16">
        <v>130375</v>
      </c>
      <c r="Z425" s="10">
        <v>44685</v>
      </c>
      <c r="AA425" s="26">
        <f>Таблица2[[#This Row],[Сумма перевода Долл/Евро]]*Таблица2[[#This Row],[Курс ДОЛЛ перевод]]+Таблица2[[#This Row],[Сумма за перевод руб]]</f>
        <v>14446.603535353439</v>
      </c>
      <c r="AB42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25" s="9"/>
      <c r="AD425" s="41"/>
    </row>
    <row r="426" spans="1:30" x14ac:dyDescent="0.25">
      <c r="A426" s="6">
        <v>44680</v>
      </c>
      <c r="B426" s="38" t="s">
        <v>57</v>
      </c>
      <c r="C426" s="38" t="s">
        <v>58</v>
      </c>
      <c r="D426" s="1" t="s">
        <v>702</v>
      </c>
      <c r="E426" s="1"/>
      <c r="F426" s="3">
        <v>16047.7</v>
      </c>
      <c r="G426" s="5"/>
      <c r="H426" s="2">
        <v>10.98</v>
      </c>
      <c r="I426" s="2"/>
      <c r="J426" s="2">
        <v>0.99</v>
      </c>
      <c r="K426" s="2"/>
      <c r="L426" s="2"/>
      <c r="M426" s="26">
        <f>Таблица2[[#This Row],[Сумма ЮА]]*Таблица2[[#This Row],[Курс ЮА]]</f>
        <v>176203.74600000001</v>
      </c>
      <c r="N426" s="24">
        <f>Таблица2[[#This Row],[Сумма ЮА]]*Таблица2[[#This Row],[Курс ЮА]]/Таблица2[[#This Row],[% за перевод]]</f>
        <v>177983.58181818185</v>
      </c>
      <c r="O42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1779.835818181833</v>
      </c>
      <c r="Q426" s="30">
        <v>177983.58</v>
      </c>
      <c r="R426" s="12">
        <f>Таблица2[[#This Row],[Сумма в руб]]-Таблица2[[#This Row],[Оплата от клиента]]</f>
        <v>1.8181818595621735E-3</v>
      </c>
      <c r="S426" s="32"/>
      <c r="T426" s="32" t="s">
        <v>107</v>
      </c>
      <c r="U426" s="24" t="s">
        <v>31</v>
      </c>
      <c r="V426" s="2">
        <v>10.62</v>
      </c>
      <c r="W426" s="28"/>
      <c r="X426" s="9"/>
      <c r="Y426" s="16">
        <v>16560.5</v>
      </c>
      <c r="Z426" s="10">
        <v>44685</v>
      </c>
      <c r="AA426" s="26">
        <f>Таблица2[[#This Row],[Сумма перевода Долл/Евро]]*Таблица2[[#This Row],[Курс ДОЛЛ перевод]]+Таблица2[[#This Row],[Сумма за перевод руб]]</f>
        <v>1779.835818181833</v>
      </c>
      <c r="AB42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26" s="9"/>
      <c r="AD426" s="41"/>
    </row>
    <row r="427" spans="1:30" x14ac:dyDescent="0.25">
      <c r="A427" s="6">
        <v>44680</v>
      </c>
      <c r="B427" s="38" t="s">
        <v>38</v>
      </c>
      <c r="C427" s="38" t="s">
        <v>322</v>
      </c>
      <c r="D427" s="1" t="s">
        <v>703</v>
      </c>
      <c r="E427" s="1"/>
      <c r="F427" s="3">
        <v>28060</v>
      </c>
      <c r="G427" s="5">
        <f>Таблица2[[#This Row],[Сумма ЮА]]/Таблица2[[#This Row],[Курс ЮА]]</f>
        <v>4262.4943035090382</v>
      </c>
      <c r="H427" s="2">
        <v>6.5830000000000002</v>
      </c>
      <c r="I427" s="2">
        <v>70.98</v>
      </c>
      <c r="J427" s="2">
        <v>0.9</v>
      </c>
      <c r="K427" s="2"/>
      <c r="L427" s="2"/>
      <c r="M427" s="26">
        <f>Таблица2[[#This Row],[Сумма Долл]]*Таблица2[[#This Row],[Курс ДОЛЛ]]</f>
        <v>302551.84566307155</v>
      </c>
      <c r="N42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336168.71740341285</v>
      </c>
      <c r="O42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4262.4943035090382</v>
      </c>
      <c r="P4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33616.871740341303</v>
      </c>
      <c r="Q427" s="30">
        <v>336168.72</v>
      </c>
      <c r="R427" s="12">
        <f>Таблица2[[#This Row],[Сумма в руб]]-Таблица2[[#This Row],[Оплата от клиента]]</f>
        <v>-2.5965871172957122E-3</v>
      </c>
      <c r="S427" s="32"/>
      <c r="T427" s="32" t="s">
        <v>465</v>
      </c>
      <c r="U427" s="24" t="s">
        <v>31</v>
      </c>
      <c r="V427" s="2">
        <v>10.97</v>
      </c>
      <c r="W427" s="28"/>
      <c r="X427" s="9"/>
      <c r="Y427" s="16">
        <v>28060</v>
      </c>
      <c r="Z427" s="10">
        <v>44680</v>
      </c>
      <c r="AA427" s="26">
        <f>Таблица2[[#This Row],[Сумма перевода Долл/Евро]]*Таблица2[[#This Row],[Курс ДОЛЛ перевод]]+Таблица2[[#This Row],[Сумма за перевод руб]]</f>
        <v>33616.871740341303</v>
      </c>
      <c r="AB42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1704.6091622145991</v>
      </c>
      <c r="AC427" s="9"/>
      <c r="AD427" s="41"/>
    </row>
    <row r="428" spans="1:30" x14ac:dyDescent="0.25">
      <c r="A428" s="6">
        <v>44680</v>
      </c>
      <c r="B428" s="38" t="s">
        <v>165</v>
      </c>
      <c r="C428" s="38" t="s">
        <v>461</v>
      </c>
      <c r="D428" s="1" t="s">
        <v>515</v>
      </c>
      <c r="E428" s="1"/>
      <c r="F428" s="3">
        <v>7949</v>
      </c>
      <c r="G428" s="5"/>
      <c r="H428" s="2">
        <v>10.84</v>
      </c>
      <c r="I428" s="2">
        <v>70.89</v>
      </c>
      <c r="J428" s="2"/>
      <c r="K428" s="2">
        <v>80</v>
      </c>
      <c r="L428" s="2"/>
      <c r="M428" s="26">
        <f>Таблица2[[#This Row],[Сумма ЮА]]*Таблица2[[#This Row],[Курс ЮА]]</f>
        <v>86167.16</v>
      </c>
      <c r="N428" s="24">
        <f>(Таблица2[[#This Row],[Сумма ЮА]]*Таблица2[[#This Row],[Курс ЮА]])+(Таблица2[[#This Row],[Долл за перевод]]*Таблица2[[#This Row],[Курс ДОЛЛ]])</f>
        <v>91838.36</v>
      </c>
      <c r="O42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1215.5051488221188</v>
      </c>
      <c r="P4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5671.2</v>
      </c>
      <c r="Q428" s="30">
        <v>91838.36</v>
      </c>
      <c r="R428" s="12">
        <f>Таблица2[[#This Row],[Сумма в руб]]-Таблица2[[#This Row],[Оплата от клиента]]</f>
        <v>0</v>
      </c>
      <c r="S428" s="32"/>
      <c r="T428" s="32" t="s">
        <v>107</v>
      </c>
      <c r="U428" s="24" t="s">
        <v>31</v>
      </c>
      <c r="V428" s="2">
        <v>10.97</v>
      </c>
      <c r="W428" s="28"/>
      <c r="X428" s="9"/>
      <c r="Y428" s="16">
        <v>7949</v>
      </c>
      <c r="Z428" s="10">
        <v>44680</v>
      </c>
      <c r="AA428" s="26">
        <f>Таблица2[[#This Row],[Сумма перевода Долл/Евро]]*Таблица2[[#This Row],[Курс ДОЛЛ перевод]]+Таблица2[[#This Row],[Сумма за перевод руб]]</f>
        <v>5671.2</v>
      </c>
      <c r="AB42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490.89256905912885</v>
      </c>
      <c r="AC428" s="9"/>
      <c r="AD428" s="41"/>
    </row>
    <row r="429" spans="1:30" x14ac:dyDescent="0.25">
      <c r="A429" s="6">
        <v>44680</v>
      </c>
      <c r="B429" s="38" t="s">
        <v>200</v>
      </c>
      <c r="C429" s="38" t="s">
        <v>255</v>
      </c>
      <c r="D429" s="1" t="s">
        <v>705</v>
      </c>
      <c r="E429" s="1"/>
      <c r="F429" s="3"/>
      <c r="G429" s="5"/>
      <c r="H429" s="2"/>
      <c r="I429" s="2"/>
      <c r="J429" s="2">
        <v>0.97</v>
      </c>
      <c r="K429" s="2"/>
      <c r="L429" s="2"/>
      <c r="M429" s="26">
        <f>Таблица2[[#This Row],[Сумма в руб]]*Таблица2[[#This Row],[% за перевод]]</f>
        <v>485000</v>
      </c>
      <c r="N429" s="24">
        <v>500000</v>
      </c>
      <c r="O42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2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15000</v>
      </c>
      <c r="Q429" s="30">
        <v>500000</v>
      </c>
      <c r="R429" s="12">
        <f>Таблица2[[#This Row],[Сумма в руб]]-Таблица2[[#This Row],[Оплата от клиента]]</f>
        <v>0</v>
      </c>
      <c r="S429" s="32"/>
      <c r="T429" s="32" t="s">
        <v>107</v>
      </c>
      <c r="U429" s="24" t="s">
        <v>31</v>
      </c>
      <c r="V429" s="2">
        <v>10.63</v>
      </c>
      <c r="W429" s="28"/>
      <c r="X429" s="9"/>
      <c r="Y429" s="16">
        <v>45668.55</v>
      </c>
      <c r="Z429" s="10">
        <v>44686</v>
      </c>
      <c r="AA429" s="26">
        <f>Таблица2[[#This Row],[Сумма перевода Долл/Евро]]*Таблица2[[#This Row],[Курс ДОЛЛ перевод]]+Таблица2[[#This Row],[Сумма за перевод руб]]</f>
        <v>15000</v>
      </c>
      <c r="AB42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29" s="9"/>
      <c r="AD429" s="41"/>
    </row>
    <row r="430" spans="1:30" x14ac:dyDescent="0.25">
      <c r="A430" s="6">
        <v>44686</v>
      </c>
      <c r="B430" s="38" t="s">
        <v>250</v>
      </c>
      <c r="C430" s="38" t="s">
        <v>708</v>
      </c>
      <c r="D430" s="1" t="s">
        <v>709</v>
      </c>
      <c r="E430" s="1"/>
      <c r="F430" s="3">
        <v>1554.8</v>
      </c>
      <c r="G430" s="5"/>
      <c r="H430" s="2">
        <v>10.15</v>
      </c>
      <c r="I430" s="2">
        <v>66.37</v>
      </c>
      <c r="J430" s="2"/>
      <c r="K430" s="2">
        <v>80</v>
      </c>
      <c r="L430" s="2"/>
      <c r="M430" s="26">
        <f>Таблица2[[#This Row],[Сумма ЮА]]*Таблица2[[#This Row],[Курс ЮА]]</f>
        <v>15781.22</v>
      </c>
      <c r="N430" s="24">
        <f>(Таблица2[[#This Row],[Сумма ЮА]]*Таблица2[[#This Row],[Курс ЮА]])+(Таблица2[[#This Row],[Долл за перевод]]*Таблица2[[#This Row],[Курс ДОЛЛ]])</f>
        <v>21090.82</v>
      </c>
      <c r="O43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237.77640500226002</v>
      </c>
      <c r="P43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5309.6</v>
      </c>
      <c r="Q430" s="30">
        <v>21090.82</v>
      </c>
      <c r="R430" s="12">
        <f>Таблица2[[#This Row],[Сумма в руб]]-Таблица2[[#This Row],[Оплата от клиента]]</f>
        <v>0</v>
      </c>
      <c r="S430" s="32"/>
      <c r="T430" s="32" t="s">
        <v>107</v>
      </c>
      <c r="U430" s="24" t="s">
        <v>31</v>
      </c>
      <c r="V430" s="2">
        <v>10.02</v>
      </c>
      <c r="W430" s="28"/>
      <c r="X430" s="9"/>
      <c r="Y430" s="16">
        <v>1554.8</v>
      </c>
      <c r="Z430" s="10">
        <v>44686</v>
      </c>
      <c r="AA430" s="26">
        <f>Таблица2[[#This Row],[Сумма перевода Долл/Евро]]*Таблица2[[#This Row],[Курс ДОЛЛ перевод]]+Таблица2[[#This Row],[Сумма за перевод руб]]</f>
        <v>5309.6</v>
      </c>
      <c r="AB43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82.606744323617306</v>
      </c>
      <c r="AC430" s="9"/>
      <c r="AD430" s="41"/>
    </row>
    <row r="431" spans="1:30" x14ac:dyDescent="0.25">
      <c r="A431" s="6">
        <v>44687</v>
      </c>
      <c r="B431" s="38" t="s">
        <v>178</v>
      </c>
      <c r="C431" s="38" t="s">
        <v>654</v>
      </c>
      <c r="D431" s="1" t="s">
        <v>621</v>
      </c>
      <c r="E431" s="1"/>
      <c r="F431" s="3">
        <v>35796</v>
      </c>
      <c r="G431" s="5"/>
      <c r="H431" s="2">
        <v>10.06</v>
      </c>
      <c r="I431" s="2"/>
      <c r="J431" s="2">
        <v>0.99</v>
      </c>
      <c r="K431" s="2"/>
      <c r="L431" s="2"/>
      <c r="M431" s="26">
        <f>Таблица2[[#This Row],[Сумма ЮА]]*Таблица2[[#This Row],[Курс ЮА]]</f>
        <v>360107.76</v>
      </c>
      <c r="N431" s="24">
        <f>Таблица2[[#This Row],[Сумма ЮА]]*Таблица2[[#This Row],[Курс ЮА]]/Таблица2[[#This Row],[% за перевод]]</f>
        <v>363745.21212121216</v>
      </c>
      <c r="O43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3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3637.4521212121472</v>
      </c>
      <c r="Q431" s="30">
        <v>363745.21</v>
      </c>
      <c r="R431" s="12">
        <f>Таблица2[[#This Row],[Сумма в руб]]-Таблица2[[#This Row],[Оплата от клиента]]</f>
        <v>2.1212121355347335E-3</v>
      </c>
      <c r="S431" s="32"/>
      <c r="T431" s="32" t="s">
        <v>382</v>
      </c>
      <c r="U431" s="24" t="s">
        <v>31</v>
      </c>
      <c r="V431" s="2">
        <v>10.39</v>
      </c>
      <c r="W431" s="28"/>
      <c r="X431" s="9"/>
      <c r="Y431" s="16">
        <v>35796</v>
      </c>
      <c r="Z431" s="10">
        <v>44687</v>
      </c>
      <c r="AA431" s="26">
        <f>Таблица2[[#This Row],[Сумма перевода Долл/Евро]]*Таблица2[[#This Row],[Курс ДОЛЛ перевод]]+Таблица2[[#This Row],[Сумма за перевод руб]]</f>
        <v>3637.4521212121472</v>
      </c>
      <c r="AB43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31" s="9"/>
      <c r="AD431" s="41"/>
    </row>
    <row r="432" spans="1:30" ht="30" x14ac:dyDescent="0.25">
      <c r="A432" s="6">
        <v>44687</v>
      </c>
      <c r="B432" s="38" t="s">
        <v>397</v>
      </c>
      <c r="C432" s="38" t="s">
        <v>396</v>
      </c>
      <c r="D432" s="1" t="s">
        <v>712</v>
      </c>
      <c r="E432" s="1"/>
      <c r="F432" s="3">
        <v>88530</v>
      </c>
      <c r="G432" s="5"/>
      <c r="H432" s="2">
        <v>10.5</v>
      </c>
      <c r="I432" s="2"/>
      <c r="J432" s="2">
        <v>0.97</v>
      </c>
      <c r="K432" s="2"/>
      <c r="L432" s="2"/>
      <c r="M432" s="26">
        <f>Таблица2[[#This Row],[Сумма ЮА]]*Таблица2[[#This Row],[Курс ЮА]]</f>
        <v>929565</v>
      </c>
      <c r="N432" s="24">
        <f>Таблица2[[#This Row],[Сумма ЮА]]*Таблица2[[#This Row],[Курс ЮА]]/Таблица2[[#This Row],[% за перевод]]</f>
        <v>958314.4329896908</v>
      </c>
      <c r="O43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28749.432989690802</v>
      </c>
      <c r="Q432" s="30">
        <f>916331.13+41983.3</f>
        <v>958314.43</v>
      </c>
      <c r="R432" s="12">
        <f>Таблица2[[#This Row],[Сумма в руб]]-Таблица2[[#This Row],[Оплата от клиента]]</f>
        <v>2.989690750837326E-3</v>
      </c>
      <c r="S432" s="32">
        <v>44687</v>
      </c>
      <c r="T432" s="32" t="s">
        <v>382</v>
      </c>
      <c r="U432" s="24" t="s">
        <v>31</v>
      </c>
      <c r="V432" s="2">
        <v>10.62</v>
      </c>
      <c r="W432" s="28"/>
      <c r="X432" s="9"/>
      <c r="Y432" s="16">
        <v>88530</v>
      </c>
      <c r="Z432" s="10">
        <v>44698</v>
      </c>
      <c r="AA432" s="26">
        <f>Таблица2[[#This Row],[Сумма перевода Долл/Евро]]*Таблица2[[#This Row],[Курс ДОЛЛ перевод]]+Таблица2[[#This Row],[Сумма за перевод руб]]</f>
        <v>28749.432989690802</v>
      </c>
      <c r="AB43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32" s="9" t="s">
        <v>1068</v>
      </c>
      <c r="AD432" s="41" t="s">
        <v>714</v>
      </c>
    </row>
    <row r="433" spans="1:30" ht="30" x14ac:dyDescent="0.25">
      <c r="A433" s="6">
        <v>44692</v>
      </c>
      <c r="B433" s="38" t="s">
        <v>165</v>
      </c>
      <c r="C433" s="38" t="s">
        <v>461</v>
      </c>
      <c r="D433" s="1" t="s">
        <v>370</v>
      </c>
      <c r="E433" s="1"/>
      <c r="F433" s="3">
        <v>5577</v>
      </c>
      <c r="G433" s="5"/>
      <c r="H433" s="2">
        <v>10.57</v>
      </c>
      <c r="I433" s="2">
        <v>70.260000000000005</v>
      </c>
      <c r="J433" s="2"/>
      <c r="K433" s="2">
        <v>80</v>
      </c>
      <c r="L433" s="2"/>
      <c r="M433" s="26">
        <f>Таблица2[[#This Row],[Сумма ЮА]]*Таблица2[[#This Row],[Курс ЮА]]</f>
        <v>58948.89</v>
      </c>
      <c r="N433" s="24">
        <f>Таблица2[[#This Row],[Сумма ЮА]]*Таблица2[[#This Row],[Курс ЮА]]+(Таблица2[[#This Row],[Долл за перевод]]*Таблица2[[#This Row],[Курс ДОЛЛ]])</f>
        <v>64569.69</v>
      </c>
      <c r="O43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839.01067463706227</v>
      </c>
      <c r="P4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5620.8</v>
      </c>
      <c r="Q433" s="30">
        <v>64569.69</v>
      </c>
      <c r="R433" s="12">
        <f>Таблица2[[#This Row],[Сумма в руб]]-Таблица2[[#This Row],[Оплата от клиента]]</f>
        <v>0</v>
      </c>
      <c r="S433" s="32"/>
      <c r="T433" s="32" t="s">
        <v>382</v>
      </c>
      <c r="U433" s="24" t="s">
        <v>31</v>
      </c>
      <c r="V433" s="2">
        <v>10.46</v>
      </c>
      <c r="W433" s="28"/>
      <c r="X433" s="9"/>
      <c r="Y433" s="16">
        <v>11880</v>
      </c>
      <c r="Z433" s="10">
        <v>44693</v>
      </c>
      <c r="AA433" s="26">
        <f>Таблица2[[#This Row],[Сумма перевода Долл/Евро]]*Таблица2[[#This Row],[Курс ДОЛЛ перевод]]+Таблица2[[#This Row],[Сумма за перевод руб]]</f>
        <v>5620.8</v>
      </c>
      <c r="AB43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-296.74458348913276</v>
      </c>
      <c r="AC433" s="9"/>
      <c r="AD433" s="41"/>
    </row>
    <row r="434" spans="1:30" ht="30" x14ac:dyDescent="0.25">
      <c r="A434" s="6">
        <v>44692</v>
      </c>
      <c r="B434" s="38" t="s">
        <v>165</v>
      </c>
      <c r="C434" s="38" t="s">
        <v>461</v>
      </c>
      <c r="D434" s="1" t="s">
        <v>370</v>
      </c>
      <c r="E434" s="1"/>
      <c r="F434" s="3">
        <v>11880</v>
      </c>
      <c r="G434" s="5"/>
      <c r="H434" s="2">
        <v>10.57</v>
      </c>
      <c r="I434" s="2">
        <v>70.260000000000005</v>
      </c>
      <c r="J434" s="2"/>
      <c r="K434" s="2">
        <v>80</v>
      </c>
      <c r="L434" s="2"/>
      <c r="M434" s="26">
        <f>Таблица2[[#This Row],[Сумма ЮА]]*Таблица2[[#This Row],[Курс ЮА]]</f>
        <v>125571.6</v>
      </c>
      <c r="N434" s="24">
        <f>Таблица2[[#This Row],[Сумма ЮА]]*Таблица2[[#This Row],[Курс ЮА]]+(Таблица2[[#This Row],[Долл за перевод]]*Таблица2[[#This Row],[Курс ДОЛЛ]])</f>
        <v>131192.4</v>
      </c>
      <c r="O43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1787.2416737830913</v>
      </c>
      <c r="P4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5620.8</v>
      </c>
      <c r="Q434" s="30">
        <v>131192.4</v>
      </c>
      <c r="R434" s="12">
        <f>Таблица2[[#This Row],[Сумма в руб]]-Таблица2[[#This Row],[Оплата от клиента]]</f>
        <v>0</v>
      </c>
      <c r="S434" s="32"/>
      <c r="T434" s="32" t="s">
        <v>382</v>
      </c>
      <c r="U434" s="24" t="s">
        <v>31</v>
      </c>
      <c r="V434" s="2">
        <v>10.46</v>
      </c>
      <c r="W434" s="28"/>
      <c r="X434" s="9"/>
      <c r="Y434" s="16">
        <v>64569.69</v>
      </c>
      <c r="Z434" s="10">
        <v>44693</v>
      </c>
      <c r="AA434" s="26">
        <f>Таблица2[[#This Row],[Сумма перевода Долл/Евро]]*Таблица2[[#This Row],[Курс ДОЛЛ перевод]]+Таблица2[[#This Row],[Сумма за перевод руб]]</f>
        <v>5620.8</v>
      </c>
      <c r="AB43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-4385.7688424692988</v>
      </c>
      <c r="AC434" s="9"/>
      <c r="AD434" s="41"/>
    </row>
    <row r="435" spans="1:30" ht="30" x14ac:dyDescent="0.25">
      <c r="A435" s="6">
        <v>44692</v>
      </c>
      <c r="B435" s="38" t="s">
        <v>173</v>
      </c>
      <c r="C435" s="38" t="s">
        <v>315</v>
      </c>
      <c r="D435" s="1" t="s">
        <v>645</v>
      </c>
      <c r="E435" s="1"/>
      <c r="F435" s="3">
        <v>21232</v>
      </c>
      <c r="G435" s="5"/>
      <c r="H435" s="2">
        <v>10.42</v>
      </c>
      <c r="I435" s="2">
        <v>70.260000000000005</v>
      </c>
      <c r="J435" s="2"/>
      <c r="K435" s="2">
        <v>80</v>
      </c>
      <c r="L435" s="2"/>
      <c r="M435" s="26">
        <f>Таблица2[[#This Row],[Сумма ЮА]]*Таблица2[[#This Row],[Курс ЮА]]</f>
        <v>221237.44</v>
      </c>
      <c r="N435" s="24">
        <f>Таблица2[[#This Row],[Сумма ЮА]]*Таблица2[[#This Row],[Курс ЮА]]+(Таблица2[[#This Row],[Долл за перевод]]*Таблица2[[#This Row],[Курс ДОЛЛ]])</f>
        <v>226858.23999999999</v>
      </c>
      <c r="O43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3148.839168801594</v>
      </c>
      <c r="P43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5620.8</v>
      </c>
      <c r="Q435" s="30">
        <v>226858.23999999999</v>
      </c>
      <c r="R435" s="12">
        <f>Таблица2[[#This Row],[Сумма в руб]]-Таблица2[[#This Row],[Оплата от клиента]]</f>
        <v>0</v>
      </c>
      <c r="S435" s="32"/>
      <c r="T435" s="32" t="s">
        <v>382</v>
      </c>
      <c r="U435" s="24" t="s">
        <v>31</v>
      </c>
      <c r="V435" s="2">
        <v>10.46</v>
      </c>
      <c r="W435" s="28"/>
      <c r="X435" s="9"/>
      <c r="Y435" s="16">
        <v>21232</v>
      </c>
      <c r="Z435" s="10">
        <v>44693</v>
      </c>
      <c r="AA435" s="26">
        <f>Таблица2[[#This Row],[Сумма перевода Долл/Евро]]*Таблица2[[#This Row],[Курс ДОЛЛ перевод]]+Таблица2[[#This Row],[Сумма за перевод руб]]</f>
        <v>5620.8</v>
      </c>
      <c r="AB43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1119.0112529316134</v>
      </c>
      <c r="AC435" s="9"/>
      <c r="AD435" s="41"/>
    </row>
    <row r="436" spans="1:30" ht="75" x14ac:dyDescent="0.25">
      <c r="A436" s="6">
        <v>44692</v>
      </c>
      <c r="B436" s="38" t="s">
        <v>220</v>
      </c>
      <c r="C436" s="38" t="s">
        <v>221</v>
      </c>
      <c r="D436" s="1" t="s">
        <v>713</v>
      </c>
      <c r="E436" s="1"/>
      <c r="F436" s="3">
        <v>168521</v>
      </c>
      <c r="G436" s="5"/>
      <c r="H436" s="2">
        <v>10.28</v>
      </c>
      <c r="I436" s="2"/>
      <c r="J436" s="2">
        <v>0.97</v>
      </c>
      <c r="K436" s="2"/>
      <c r="L436" s="2"/>
      <c r="M436" s="26">
        <f>Таблица2[[#This Row],[Сумма ЮА]]*Таблица2[[#This Row],[Курс ЮА]]</f>
        <v>1732395.88</v>
      </c>
      <c r="N436" s="24">
        <f>Таблица2[[#This Row],[Сумма ЮА]]*Таблица2[[#This Row],[Курс ЮА]]/Таблица2[[#This Row],[% за перевод]]</f>
        <v>1785975.1340206184</v>
      </c>
      <c r="O43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53579.254020618508</v>
      </c>
      <c r="Q436" s="30">
        <v>1785975.13</v>
      </c>
      <c r="R436" s="12">
        <f>Таблица2[[#This Row],[Сумма в руб]]-Таблица2[[#This Row],[Оплата от клиента]]</f>
        <v>4.0206185076385736E-3</v>
      </c>
      <c r="S436" s="32"/>
      <c r="T436" s="32" t="s">
        <v>382</v>
      </c>
      <c r="U436" s="24" t="s">
        <v>31</v>
      </c>
      <c r="V436" s="2">
        <v>9.49</v>
      </c>
      <c r="W436" s="28"/>
      <c r="X436" s="9"/>
      <c r="Y436" s="16">
        <v>168521</v>
      </c>
      <c r="Z436" s="10">
        <v>44333</v>
      </c>
      <c r="AA436" s="26">
        <f>Таблица2[[#This Row],[Сумма перевода Долл/Евро]]*Таблица2[[#This Row],[Курс ДОЛЛ перевод]]+Таблица2[[#This Row],[Сумма за перевод руб]]</f>
        <v>53579.254020618508</v>
      </c>
      <c r="AB43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36" s="9"/>
      <c r="AD436" s="41" t="s">
        <v>717</v>
      </c>
    </row>
    <row r="437" spans="1:30" x14ac:dyDescent="0.25">
      <c r="A437" s="6">
        <v>44693</v>
      </c>
      <c r="B437" s="38" t="s">
        <v>35</v>
      </c>
      <c r="C437" s="38" t="s">
        <v>36</v>
      </c>
      <c r="D437" s="1" t="s">
        <v>269</v>
      </c>
      <c r="E437" s="1"/>
      <c r="F437" s="3">
        <v>14121.83</v>
      </c>
      <c r="G437" s="5"/>
      <c r="H437" s="2">
        <v>10.64</v>
      </c>
      <c r="I437" s="2">
        <v>65.94</v>
      </c>
      <c r="J437" s="2"/>
      <c r="K437" s="2">
        <v>80</v>
      </c>
      <c r="L437" s="2"/>
      <c r="M437" s="26">
        <f>Таблица2[[#This Row],[Сумма ЮА]]*Таблица2[[#This Row],[Курс ЮА]]</f>
        <v>150256.27120000002</v>
      </c>
      <c r="N437" s="24">
        <f>Таблица2[[#This Row],[Сумма ЮА]]*Таблица2[[#This Row],[Курс ЮА]]+(Таблица2[[#This Row],[Долл за перевод]]*Таблица2[[#This Row],[Курс ДОЛЛ]])</f>
        <v>155531.47120000003</v>
      </c>
      <c r="O43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2278.6816985138007</v>
      </c>
      <c r="P4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5275.2</v>
      </c>
      <c r="Q437" s="30">
        <v>155531.47</v>
      </c>
      <c r="R437" s="12">
        <f>Таблица2[[#This Row],[Сумма в руб]]-Таблица2[[#This Row],[Оплата от клиента]]</f>
        <v>1.2000000278931111E-3</v>
      </c>
      <c r="S437" s="32"/>
      <c r="T437" s="32" t="s">
        <v>382</v>
      </c>
      <c r="U437" s="24" t="s">
        <v>31</v>
      </c>
      <c r="V437" s="2">
        <v>10.46</v>
      </c>
      <c r="W437" s="28"/>
      <c r="X437" s="9">
        <v>1909</v>
      </c>
      <c r="Y437" s="16">
        <v>13971.83</v>
      </c>
      <c r="Z437" s="10">
        <v>44706</v>
      </c>
      <c r="AA437" s="26">
        <f>Таблица2[[#This Row],[Сумма перевода Долл/Евро]]*Таблица2[[#This Row],[Курс ДОЛЛ перевод]]+Таблица2[[#This Row],[Сумма за перевод руб]]</f>
        <v>5275.2</v>
      </c>
      <c r="AB43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942.94269277766307</v>
      </c>
      <c r="AC437" s="9"/>
      <c r="AD437" s="41"/>
    </row>
    <row r="438" spans="1:30" x14ac:dyDescent="0.25">
      <c r="A438" s="6">
        <v>44697</v>
      </c>
      <c r="B438" s="38" t="s">
        <v>416</v>
      </c>
      <c r="C438" s="38" t="s">
        <v>430</v>
      </c>
      <c r="D438" s="1"/>
      <c r="E438" s="1"/>
      <c r="F438" s="3"/>
      <c r="G438" s="5"/>
      <c r="H438" s="2"/>
      <c r="I438" s="2">
        <v>64.2</v>
      </c>
      <c r="J438" s="2">
        <v>0.92</v>
      </c>
      <c r="K438" s="2"/>
      <c r="L438" s="2"/>
      <c r="M438" s="26">
        <f>Таблица2[[#This Row],[Сумма в руб]]*0.95</f>
        <v>1425000</v>
      </c>
      <c r="N438" s="24">
        <v>1500000</v>
      </c>
      <c r="O43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22196.261682242988</v>
      </c>
      <c r="P438" s="12">
        <f>Таблица2[[#This Row],[Сумма в руб]]*(1-Таблица2[[#This Row],[% за перевод]])</f>
        <v>119999.99999999994</v>
      </c>
      <c r="Q438" s="30">
        <v>1500000</v>
      </c>
      <c r="R438" s="12">
        <f>Таблица2[[#This Row],[Сумма в руб]]-Таблица2[[#This Row],[Оплата от клиента]]</f>
        <v>0</v>
      </c>
      <c r="S438" s="32">
        <v>44698</v>
      </c>
      <c r="T438" s="32" t="s">
        <v>382</v>
      </c>
      <c r="U438" s="24" t="s">
        <v>751</v>
      </c>
      <c r="V438" s="2">
        <v>8.9</v>
      </c>
      <c r="W438" s="28"/>
      <c r="X438" s="9"/>
      <c r="Y438" s="16">
        <v>160112.35</v>
      </c>
      <c r="Z438" s="10"/>
      <c r="AA438" s="26">
        <f>Таблица2[[#This Row],[Сумма перевода Долл/Евро]]*Таблица2[[#This Row],[Курс ДОЛЛ перевод]]+Таблица2[[#This Row],[Сумма за перевод руб]]</f>
        <v>119999.99999999994</v>
      </c>
      <c r="AB43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4206.1099968497292</v>
      </c>
      <c r="AC438" s="9"/>
      <c r="AD438" s="41"/>
    </row>
    <row r="439" spans="1:30" ht="30" x14ac:dyDescent="0.25">
      <c r="A439" s="6">
        <v>44698</v>
      </c>
      <c r="B439" s="38" t="s">
        <v>72</v>
      </c>
      <c r="C439" s="38" t="s">
        <v>73</v>
      </c>
      <c r="D439" s="1" t="s">
        <v>719</v>
      </c>
      <c r="E439" s="1"/>
      <c r="F439" s="3"/>
      <c r="G439" s="5">
        <v>13000</v>
      </c>
      <c r="H439" s="2"/>
      <c r="I439" s="2">
        <v>64.8</v>
      </c>
      <c r="J439" s="2">
        <v>0.9</v>
      </c>
      <c r="K439" s="2"/>
      <c r="L439" s="2"/>
      <c r="M439" s="26">
        <f>Таблица2[[#This Row],[Сумма Долл]]*Таблица2[[#This Row],[Курс ДОЛЛ]]</f>
        <v>842400</v>
      </c>
      <c r="N43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936000</v>
      </c>
      <c r="O43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13841.057861668287</v>
      </c>
      <c r="P43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93600</v>
      </c>
      <c r="Q439" s="30">
        <v>952528.38</v>
      </c>
      <c r="R439" s="12">
        <f>Таблица2[[#This Row],[Сумма в руб]]-Таблица2[[#This Row],[Оплата от клиента]]</f>
        <v>-16528.380000000005</v>
      </c>
      <c r="S439" s="32">
        <v>44699</v>
      </c>
      <c r="T439" s="32" t="s">
        <v>720</v>
      </c>
      <c r="U439" s="24" t="s">
        <v>375</v>
      </c>
      <c r="V439" s="2"/>
      <c r="W439" s="28">
        <v>60.862400000000001</v>
      </c>
      <c r="X439" s="9">
        <v>13000</v>
      </c>
      <c r="Y439" s="16"/>
      <c r="Z439" s="10">
        <v>44701</v>
      </c>
      <c r="AA439" s="26">
        <f>Таблица2[[#This Row],[Сумма перевода Долл/Евро]]*Таблица2[[#This Row],[Курс ДОЛЛ перевод]]+Таблица2[[#This Row],[Сумма за перевод руб]]</f>
        <v>884811.20000000007</v>
      </c>
      <c r="AB43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841.05786166828693</v>
      </c>
      <c r="AC439" s="9"/>
      <c r="AD439" s="41"/>
    </row>
    <row r="440" spans="1:30" x14ac:dyDescent="0.25">
      <c r="A440" s="6">
        <v>44699</v>
      </c>
      <c r="B440" s="38" t="s">
        <v>72</v>
      </c>
      <c r="C440" s="38" t="s">
        <v>73</v>
      </c>
      <c r="D440" s="1"/>
      <c r="E440" s="1"/>
      <c r="F440" s="3">
        <v>130000</v>
      </c>
      <c r="G440" s="5"/>
      <c r="H440" s="2">
        <v>9.69</v>
      </c>
      <c r="I440" s="2"/>
      <c r="J440" s="2">
        <v>0.9</v>
      </c>
      <c r="K440" s="2"/>
      <c r="L440" s="2"/>
      <c r="M440" s="26">
        <f>Таблица2[[#This Row],[Сумма Долл]]*Таблица2[[#This Row],[Курс ДОЛЛ]]</f>
        <v>0</v>
      </c>
      <c r="N440" s="24">
        <f>Таблица2[[#This Row],[Сумма ЮА]]*Таблица2[[#This Row],[Курс ЮА]]/Таблица2[[#This Row],[% за перевод]]</f>
        <v>1399666.6666666667</v>
      </c>
      <c r="O44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4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1399666.6666666667</v>
      </c>
      <c r="Q440" s="30">
        <v>1399666.67</v>
      </c>
      <c r="R440" s="12">
        <f>Таблица2[[#This Row],[Сумма в руб]]-Таблица2[[#This Row],[Оплата от клиента]]</f>
        <v>-3.3333331812173128E-3</v>
      </c>
      <c r="S440" s="32">
        <v>44699</v>
      </c>
      <c r="T440" s="32" t="s">
        <v>720</v>
      </c>
      <c r="U440" s="24" t="s">
        <v>31</v>
      </c>
      <c r="V440" s="2"/>
      <c r="W440" s="28">
        <v>60.09</v>
      </c>
      <c r="X440" s="9">
        <v>20762.793074809942</v>
      </c>
      <c r="Y440" s="16">
        <v>130000</v>
      </c>
      <c r="Z440" s="10"/>
      <c r="AA440" s="26">
        <f>Таблица2[[#This Row],[Сумма перевода Долл/Евро]]*Таблица2[[#This Row],[Курс ДОЛЛ перевод]]+Таблица2[[#This Row],[Сумма за перевод руб]]</f>
        <v>2647302.9025319964</v>
      </c>
      <c r="AB44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40" s="9"/>
      <c r="AD440" s="41"/>
    </row>
    <row r="441" spans="1:30" x14ac:dyDescent="0.25">
      <c r="A441" s="6">
        <v>44700</v>
      </c>
      <c r="B441" s="38" t="s">
        <v>97</v>
      </c>
      <c r="C441" s="38" t="s">
        <v>98</v>
      </c>
      <c r="D441" s="1"/>
      <c r="E441" s="1"/>
      <c r="F441" s="3">
        <v>21000</v>
      </c>
      <c r="G441" s="5"/>
      <c r="H441" s="2">
        <v>9.1199999999999992</v>
      </c>
      <c r="I441" s="2"/>
      <c r="J441" s="2">
        <v>0.97</v>
      </c>
      <c r="K441" s="2"/>
      <c r="L441" s="2"/>
      <c r="M441" s="26">
        <f>Таблица2[[#This Row],[Сумма ЮА]]*Таблица2[[#This Row],[Курс ЮА]]</f>
        <v>191519.99999999997</v>
      </c>
      <c r="N441" s="24">
        <f>Таблица2[[#This Row],[Сумма ЮА]]*Таблица2[[#This Row],[Курс ЮА]]/Таблица2[[#This Row],[% за перевод]]</f>
        <v>197443.29896907214</v>
      </c>
      <c r="O44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5923.2989690721733</v>
      </c>
      <c r="Q441" s="30">
        <v>197443.3</v>
      </c>
      <c r="R441" s="12">
        <f>Таблица2[[#This Row],[Сумма в руб]]-Таблица2[[#This Row],[Оплата от клиента]]</f>
        <v>-1.030927844112739E-3</v>
      </c>
      <c r="S441" s="32">
        <v>44704</v>
      </c>
      <c r="T441" s="32" t="s">
        <v>382</v>
      </c>
      <c r="U441" s="24" t="s">
        <v>31</v>
      </c>
      <c r="V441" s="2">
        <v>8.58</v>
      </c>
      <c r="W441" s="28"/>
      <c r="X441" s="9"/>
      <c r="Y441" s="16">
        <v>21000</v>
      </c>
      <c r="Z441" s="10">
        <v>44705</v>
      </c>
      <c r="AA441" s="26">
        <f>Таблица2[[#This Row],[Сумма перевода Долл/Евро]]*Таблица2[[#This Row],[Курс ДОЛЛ перевод]]+Таблица2[[#This Row],[Сумма за перевод руб]]</f>
        <v>5923.2989690721733</v>
      </c>
      <c r="AB44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41" s="9"/>
      <c r="AD441" s="41"/>
    </row>
    <row r="442" spans="1:30" x14ac:dyDescent="0.25">
      <c r="A442" s="6">
        <v>44701</v>
      </c>
      <c r="B442" s="38" t="s">
        <v>35</v>
      </c>
      <c r="C442" s="38" t="s">
        <v>36</v>
      </c>
      <c r="D442" s="1"/>
      <c r="E442" s="1"/>
      <c r="F442" s="3">
        <v>27241</v>
      </c>
      <c r="G442" s="5"/>
      <c r="H442" s="2">
        <v>9.31</v>
      </c>
      <c r="I442" s="2"/>
      <c r="J442" s="2">
        <v>0.97</v>
      </c>
      <c r="K442" s="2"/>
      <c r="L442" s="2"/>
      <c r="M442" s="26">
        <f>Таблица2[[#This Row],[Сумма ЮА]]*Таблица2[[#This Row],[Курс ЮА]]</f>
        <v>253613.71000000002</v>
      </c>
      <c r="N442" s="24">
        <f>Таблица2[[#This Row],[Сумма ЮА]]*Таблица2[[#This Row],[Курс ЮА]]/Таблица2[[#This Row],[% за перевод]]</f>
        <v>261457.43298969074</v>
      </c>
      <c r="O44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4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7843.7229896907229</v>
      </c>
      <c r="Q442" s="30">
        <v>261457.43</v>
      </c>
      <c r="R442" s="12">
        <f>Таблица2[[#This Row],[Сумма в руб]]-Таблица2[[#This Row],[Оплата от клиента]]</f>
        <v>2.989690750837326E-3</v>
      </c>
      <c r="S442" s="32">
        <v>44701</v>
      </c>
      <c r="T442" s="32" t="s">
        <v>382</v>
      </c>
      <c r="U442" s="24" t="s">
        <v>31</v>
      </c>
      <c r="V442" s="2">
        <v>8.75</v>
      </c>
      <c r="W442" s="28"/>
      <c r="X442" s="9"/>
      <c r="Y442" s="16">
        <v>27241</v>
      </c>
      <c r="Z442" s="10">
        <v>44701</v>
      </c>
      <c r="AA442" s="26">
        <f>Таблица2[[#This Row],[Сумма перевода Долл/Евро]]*Таблица2[[#This Row],[Курс ДОЛЛ перевод]]+Таблица2[[#This Row],[Сумма за перевод руб]]</f>
        <v>7843.7229896907229</v>
      </c>
      <c r="AB44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42" s="9"/>
      <c r="AD442" s="41"/>
    </row>
    <row r="443" spans="1:30" x14ac:dyDescent="0.25">
      <c r="A443" s="6">
        <v>44704</v>
      </c>
      <c r="B443" s="38" t="s">
        <v>722</v>
      </c>
      <c r="C443" s="38" t="s">
        <v>723</v>
      </c>
      <c r="D443" s="1"/>
      <c r="E443" s="1"/>
      <c r="F443" s="3">
        <v>10775</v>
      </c>
      <c r="G443" s="5"/>
      <c r="H443" s="2">
        <v>9.1199999999999992</v>
      </c>
      <c r="I443" s="2"/>
      <c r="J443" s="2">
        <v>0.97</v>
      </c>
      <c r="K443" s="2"/>
      <c r="L443" s="2"/>
      <c r="M443" s="26">
        <f>Таблица2[[#This Row],[Сумма ЮА]]*Таблица2[[#This Row],[Курс ЮА]]</f>
        <v>98267.999999999985</v>
      </c>
      <c r="N443" s="24">
        <f>Таблица2[[#This Row],[Сумма ЮА]]*Таблица2[[#This Row],[Курс ЮА]]/Таблица2[[#This Row],[% за перевод]]</f>
        <v>101307.21649484534</v>
      </c>
      <c r="O44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4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3039.2164948453574</v>
      </c>
      <c r="Q443" s="30"/>
      <c r="R443" s="12">
        <f>Таблица2[[#This Row],[Сумма в руб]]-Таблица2[[#This Row],[Оплата от клиента]]</f>
        <v>101307.21649484534</v>
      </c>
      <c r="S443" s="32"/>
      <c r="T443" s="32" t="s">
        <v>382</v>
      </c>
      <c r="U443" s="24" t="s">
        <v>31</v>
      </c>
      <c r="V443" s="2">
        <v>9.43</v>
      </c>
      <c r="W443" s="28"/>
      <c r="X443" s="9"/>
      <c r="Y443" s="16">
        <v>10775</v>
      </c>
      <c r="Z443" s="10">
        <v>44713</v>
      </c>
      <c r="AA443" s="26">
        <f>Таблица2[[#This Row],[Сумма перевода Долл/Евро]]*Таблица2[[#This Row],[Курс ДОЛЛ перевод]]+Таблица2[[#This Row],[Сумма за перевод руб]]</f>
        <v>3039.2164948453574</v>
      </c>
      <c r="AB44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43" s="9"/>
      <c r="AD443" s="41"/>
    </row>
    <row r="444" spans="1:30" x14ac:dyDescent="0.25">
      <c r="A444" s="6">
        <v>44704</v>
      </c>
      <c r="B444" s="38" t="s">
        <v>581</v>
      </c>
      <c r="C444" s="38" t="s">
        <v>582</v>
      </c>
      <c r="D444" s="1"/>
      <c r="E444" s="1"/>
      <c r="F444" s="3"/>
      <c r="G444" s="5"/>
      <c r="H444" s="2"/>
      <c r="I444" s="2"/>
      <c r="J444" s="2">
        <v>0.9</v>
      </c>
      <c r="K444" s="2"/>
      <c r="L444" s="2"/>
      <c r="M444" s="26">
        <f>Таблица2[[#This Row],[Сумма в руб]]*Таблица2[[#This Row],[% за перевод]]</f>
        <v>990000</v>
      </c>
      <c r="N444" s="24">
        <v>1100000</v>
      </c>
      <c r="O44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4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110000</v>
      </c>
      <c r="Q444" s="30">
        <v>1100000</v>
      </c>
      <c r="R444" s="12">
        <f>Таблица2[[#This Row],[Сумма в руб]]-Таблица2[[#This Row],[Оплата от клиента]]</f>
        <v>0</v>
      </c>
      <c r="S444" s="32">
        <v>44704</v>
      </c>
      <c r="T444" s="32" t="s">
        <v>720</v>
      </c>
      <c r="U444" s="24" t="s">
        <v>31</v>
      </c>
      <c r="V444" s="2"/>
      <c r="W444" s="28"/>
      <c r="X444" s="9"/>
      <c r="Y444" s="16">
        <v>101640</v>
      </c>
      <c r="Z444" s="2"/>
      <c r="AA444" s="26">
        <f>Таблица2[[#This Row],[Сумма перевода Долл/Евро]]*Таблица2[[#This Row],[Курс ДОЛЛ перевод]]+Таблица2[[#This Row],[Сумма за перевод руб]]</f>
        <v>110000</v>
      </c>
      <c r="AB44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44" s="9"/>
      <c r="AD444" s="41"/>
    </row>
    <row r="445" spans="1:30" x14ac:dyDescent="0.25">
      <c r="A445" s="6">
        <v>44705</v>
      </c>
      <c r="B445" s="2" t="s">
        <v>144</v>
      </c>
      <c r="C445" s="2" t="s">
        <v>724</v>
      </c>
      <c r="D445" s="1"/>
      <c r="E445" s="1"/>
      <c r="F445" s="3"/>
      <c r="G445" s="5">
        <v>9850</v>
      </c>
      <c r="H445" s="2"/>
      <c r="I445" s="2">
        <v>57.5</v>
      </c>
      <c r="J445" s="2">
        <v>0.97</v>
      </c>
      <c r="K445" s="2"/>
      <c r="L445" s="2"/>
      <c r="M445" s="26">
        <f>Таблица2[[#This Row],[Сумма Долл]]*Таблица2[[#This Row],[Курс ДОЛЛ]]</f>
        <v>566375</v>
      </c>
      <c r="N44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583891.75257731962</v>
      </c>
      <c r="O44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9831.6532800530476</v>
      </c>
      <c r="P44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17516.752577319625</v>
      </c>
      <c r="Q445" s="30">
        <v>583891.75</v>
      </c>
      <c r="R445" s="12">
        <f>Таблица2[[#This Row],[Сумма в руб]]-Таблица2[[#This Row],[Оплата от клиента]]</f>
        <v>2.5773196248337626E-3</v>
      </c>
      <c r="S445" s="32">
        <v>44705</v>
      </c>
      <c r="T445" s="32" t="s">
        <v>130</v>
      </c>
      <c r="U445" s="24" t="s">
        <v>31</v>
      </c>
      <c r="V445" s="2"/>
      <c r="W445" s="28">
        <v>57.607300000000002</v>
      </c>
      <c r="X445" s="9">
        <v>9850</v>
      </c>
      <c r="Y445" s="16"/>
      <c r="Z445" s="10">
        <v>44705</v>
      </c>
      <c r="AA445" s="26">
        <f>Таблица2[[#This Row],[Сумма перевода Долл/Евро]]*Таблица2[[#This Row],[Курс ДОЛЛ перевод]]+Таблица2[[#This Row],[Сумма за перевод руб]]</f>
        <v>584948.65757731965</v>
      </c>
      <c r="AB44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-18.346719946952362</v>
      </c>
      <c r="AC445" s="9"/>
      <c r="AD445" s="41"/>
    </row>
    <row r="446" spans="1:30" x14ac:dyDescent="0.25">
      <c r="A446" s="6">
        <v>44706</v>
      </c>
      <c r="B446" s="2" t="s">
        <v>72</v>
      </c>
      <c r="C446" s="2" t="s">
        <v>73</v>
      </c>
      <c r="D446" s="1" t="s">
        <v>725</v>
      </c>
      <c r="E446" s="1"/>
      <c r="F446" s="3"/>
      <c r="G446" s="5">
        <v>51103</v>
      </c>
      <c r="H446" s="2"/>
      <c r="I446" s="2">
        <v>57.2</v>
      </c>
      <c r="J446" s="2">
        <v>0.97</v>
      </c>
      <c r="K446" s="2"/>
      <c r="L446" s="2"/>
      <c r="M446" s="26">
        <f>Таблица2[[#This Row],[Сумма Долл]]*Таблица2[[#This Row],[Курс ДОЛЛ]]</f>
        <v>2923091.6</v>
      </c>
      <c r="N44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3013496.494845361</v>
      </c>
      <c r="O44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47010.611231372452</v>
      </c>
      <c r="P44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90404.89484536089</v>
      </c>
      <c r="Q446" s="30">
        <v>3013496.49</v>
      </c>
      <c r="R446" s="12">
        <f>Таблица2[[#This Row],[Сумма в руб]]-Таблица2[[#This Row],[Оплата от клиента]]</f>
        <v>4.8453607596457005E-3</v>
      </c>
      <c r="S446" s="32">
        <v>44706</v>
      </c>
      <c r="T446" s="32" t="s">
        <v>130</v>
      </c>
      <c r="U446" s="24" t="s">
        <v>31</v>
      </c>
      <c r="V446" s="2"/>
      <c r="W446" s="28">
        <v>62.179400000000001</v>
      </c>
      <c r="X446" s="9">
        <v>51103</v>
      </c>
      <c r="Y446" s="16"/>
      <c r="Z446" s="10">
        <v>44707</v>
      </c>
      <c r="AA446" s="26">
        <f>Таблица2[[#This Row],[Сумма перевода Долл/Евро]]*Таблица2[[#This Row],[Курс ДОЛЛ перевод]]+Таблица2[[#This Row],[Сумма за перевод руб]]</f>
        <v>3267958.773045361</v>
      </c>
      <c r="AB44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-4092.3887686275484</v>
      </c>
      <c r="AC446" s="9"/>
      <c r="AD446" s="41"/>
    </row>
    <row r="447" spans="1:30" ht="30" x14ac:dyDescent="0.25">
      <c r="A447" s="6">
        <v>44706</v>
      </c>
      <c r="B447" s="38" t="s">
        <v>726</v>
      </c>
      <c r="C447" s="38" t="s">
        <v>203</v>
      </c>
      <c r="D447" s="1" t="s">
        <v>727</v>
      </c>
      <c r="E447" s="1"/>
      <c r="F447" s="3">
        <v>25000</v>
      </c>
      <c r="G447" s="5"/>
      <c r="H447" s="2">
        <v>9.69</v>
      </c>
      <c r="I447" s="2"/>
      <c r="J447" s="2">
        <v>0.97</v>
      </c>
      <c r="K447" s="2"/>
      <c r="L447" s="2"/>
      <c r="M447" s="26">
        <f>Таблица2[[#This Row],[Сумма ЮА]]*Таблица2[[#This Row],[Курс ЮА]]</f>
        <v>242250</v>
      </c>
      <c r="N447" s="24">
        <f>Таблица2[[#This Row],[Сумма ЮА]]*Таблица2[[#This Row],[Курс ЮА]]/Таблица2[[#This Row],[% за перевод]]</f>
        <v>249742.26804123711</v>
      </c>
      <c r="O44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4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7492.2680412371119</v>
      </c>
      <c r="Q447" s="30">
        <v>249742.27</v>
      </c>
      <c r="R447" s="12">
        <f>Таблица2[[#This Row],[Сумма в руб]]-Таблица2[[#This Row],[Оплата от клиента]]</f>
        <v>-1.9587628776207566E-3</v>
      </c>
      <c r="S447" s="32">
        <v>44712</v>
      </c>
      <c r="T447" s="32" t="s">
        <v>382</v>
      </c>
      <c r="U447" s="24" t="s">
        <v>31</v>
      </c>
      <c r="V447" s="2">
        <v>9.4499999999999993</v>
      </c>
      <c r="W447" s="28"/>
      <c r="X447" s="9"/>
      <c r="Y447" s="16">
        <v>25000</v>
      </c>
      <c r="Z447" s="10">
        <v>44712</v>
      </c>
      <c r="AA447" s="26">
        <f>Таблица2[[#This Row],[Сумма перевода Долл/Евро]]*Таблица2[[#This Row],[Курс ДОЛЛ перевод]]+Таблица2[[#This Row],[Сумма за перевод руб]]</f>
        <v>7492.2680412371119</v>
      </c>
      <c r="AB44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47" s="9"/>
      <c r="AD447" s="41"/>
    </row>
    <row r="448" spans="1:30" x14ac:dyDescent="0.25">
      <c r="A448" s="6">
        <v>44706</v>
      </c>
      <c r="B448" s="59" t="s">
        <v>35</v>
      </c>
      <c r="C448" s="59" t="s">
        <v>36</v>
      </c>
      <c r="D448" s="1" t="s">
        <v>141</v>
      </c>
      <c r="E448" s="1"/>
      <c r="F448" s="3">
        <v>150</v>
      </c>
      <c r="G448" s="5"/>
      <c r="H448" s="2">
        <v>8.81</v>
      </c>
      <c r="I448" s="2"/>
      <c r="J448" s="2"/>
      <c r="K448" s="2"/>
      <c r="L448" s="2"/>
      <c r="M448" s="26">
        <f>Таблица2[[#This Row],[Сумма ЮА]]*Таблица2[[#This Row],[Курс ЮА]]</f>
        <v>1321.5</v>
      </c>
      <c r="N448" s="24">
        <f>Таблица2[[#This Row],[Сумма ЮА]]*Таблица2[[#This Row],[Курс ЮА]]</f>
        <v>1321.5</v>
      </c>
      <c r="O44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4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448" s="30">
        <v>1321.5</v>
      </c>
      <c r="R448" s="12">
        <f>Таблица2[[#This Row],[Сумма в руб]]-Таблица2[[#This Row],[Оплата от клиента]]</f>
        <v>0</v>
      </c>
      <c r="S448" s="32">
        <v>44706</v>
      </c>
      <c r="T448" s="32" t="s">
        <v>728</v>
      </c>
      <c r="U448" s="24" t="s">
        <v>31</v>
      </c>
      <c r="V448" s="2">
        <v>8.81</v>
      </c>
      <c r="W448" s="28"/>
      <c r="X448" s="9"/>
      <c r="Y448" s="16">
        <v>150</v>
      </c>
      <c r="Z448" s="10">
        <v>44706</v>
      </c>
      <c r="AA448" s="26">
        <f>Таблица2[[#This Row],[Сумма перевода Долл/Евро]]*Таблица2[[#This Row],[Курс ДОЛЛ перевод]]+Таблица2[[#This Row],[Сумма за перевод руб]]</f>
        <v>0</v>
      </c>
      <c r="AB44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48" s="9"/>
      <c r="AD448" s="41"/>
    </row>
    <row r="449" spans="1:30" x14ac:dyDescent="0.25">
      <c r="A449" s="6">
        <v>44706</v>
      </c>
      <c r="B449" s="38" t="s">
        <v>220</v>
      </c>
      <c r="C449" s="38" t="s">
        <v>221</v>
      </c>
      <c r="D449" s="1" t="s">
        <v>185</v>
      </c>
      <c r="E449" s="1"/>
      <c r="F449" s="3">
        <v>48820.35</v>
      </c>
      <c r="G449" s="5"/>
      <c r="H449" s="2">
        <v>9.6</v>
      </c>
      <c r="I449" s="2"/>
      <c r="J449" s="2">
        <v>0.97</v>
      </c>
      <c r="K449" s="2"/>
      <c r="L449" s="2"/>
      <c r="M449" s="26">
        <f>Таблица2[[#This Row],[Сумма ЮА]]*Таблица2[[#This Row],[Курс ЮА]]</f>
        <v>468675.36</v>
      </c>
      <c r="N449" s="24">
        <f>Таблица2[[#This Row],[Сумма ЮА]]*Таблица2[[#This Row],[Курс ЮА]]/Таблица2[[#This Row],[% за перевод]]</f>
        <v>483170.4742268041</v>
      </c>
      <c r="O44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4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14495.114226804115</v>
      </c>
      <c r="Q449" s="30">
        <v>483170.47</v>
      </c>
      <c r="R449" s="12">
        <f>Таблица2[[#This Row],[Сумма в руб]]-Таблица2[[#This Row],[Оплата от клиента]]</f>
        <v>4.2268041288480163E-3</v>
      </c>
      <c r="S449" s="32">
        <v>44706</v>
      </c>
      <c r="T449" s="32" t="s">
        <v>382</v>
      </c>
      <c r="U449" s="24" t="s">
        <v>31</v>
      </c>
      <c r="V449" s="2">
        <v>9.2899999999999991</v>
      </c>
      <c r="W449" s="28"/>
      <c r="X449" s="9"/>
      <c r="Y449" s="16">
        <v>48820.35</v>
      </c>
      <c r="Z449" s="10">
        <v>44707</v>
      </c>
      <c r="AA449" s="26">
        <f>Таблица2[[#This Row],[Сумма перевода Долл/Евро]]*Таблица2[[#This Row],[Курс ДОЛЛ перевод]]+Таблица2[[#This Row],[Сумма за перевод руб]]</f>
        <v>14495.114226804115</v>
      </c>
      <c r="AB44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49" s="9"/>
      <c r="AD449" s="41"/>
    </row>
    <row r="450" spans="1:30" x14ac:dyDescent="0.25">
      <c r="A450" s="6">
        <v>44706</v>
      </c>
      <c r="B450" s="2" t="s">
        <v>89</v>
      </c>
      <c r="C450" s="2" t="s">
        <v>330</v>
      </c>
      <c r="D450" s="1"/>
      <c r="E450" s="1"/>
      <c r="F450" s="3"/>
      <c r="G450" s="5">
        <v>9700.33</v>
      </c>
      <c r="H450" s="2"/>
      <c r="I450" s="2">
        <v>60.2</v>
      </c>
      <c r="J450" s="2">
        <v>0.97</v>
      </c>
      <c r="K450" s="2"/>
      <c r="L450" s="2"/>
      <c r="M450" s="26">
        <f>Таблица2[[#This Row],[Сумма Долл]]*Таблица2[[#This Row],[Курс ДОЛЛ]]</f>
        <v>583959.86600000004</v>
      </c>
      <c r="N45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602020.48041237122</v>
      </c>
      <c r="O45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9391.5326619427015</v>
      </c>
      <c r="P45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18060.614412371186</v>
      </c>
      <c r="Q450" s="30">
        <v>602020.48</v>
      </c>
      <c r="R450" s="12">
        <f>Таблица2[[#This Row],[Сумма в руб]]-Таблица2[[#This Row],[Оплата от клиента]]</f>
        <v>4.1237124241888523E-4</v>
      </c>
      <c r="S450" s="32">
        <v>44706</v>
      </c>
      <c r="T450" s="32" t="s">
        <v>130</v>
      </c>
      <c r="U450" s="24" t="s">
        <v>31</v>
      </c>
      <c r="V450" s="2"/>
      <c r="W450" s="28">
        <v>62.179400000000001</v>
      </c>
      <c r="X450" s="9">
        <v>9700.33</v>
      </c>
      <c r="Y450" s="16"/>
      <c r="Z450" s="10">
        <v>44707</v>
      </c>
      <c r="AA450" s="26">
        <f>Таблица2[[#This Row],[Сумма перевода Долл/Евро]]*Таблица2[[#This Row],[Курс ДОЛЛ перевод]]+Таблица2[[#This Row],[Сумма за перевод руб]]</f>
        <v>621221.31361437123</v>
      </c>
      <c r="AB45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-308.79733805729848</v>
      </c>
      <c r="AC450" s="9"/>
      <c r="AD450" s="41"/>
    </row>
    <row r="451" spans="1:30" x14ac:dyDescent="0.25">
      <c r="A451" s="6">
        <v>44706</v>
      </c>
      <c r="B451" s="38" t="s">
        <v>32</v>
      </c>
      <c r="C451" s="38" t="s">
        <v>33</v>
      </c>
      <c r="D451" s="1" t="s">
        <v>151</v>
      </c>
      <c r="E451" s="1"/>
      <c r="F451" s="3">
        <v>53897.19</v>
      </c>
      <c r="G451" s="5"/>
      <c r="H451" s="2">
        <v>9.6</v>
      </c>
      <c r="I451" s="2"/>
      <c r="J451" s="2">
        <v>0.97</v>
      </c>
      <c r="K451" s="2"/>
      <c r="L451" s="2"/>
      <c r="M451" s="26">
        <f>Таблица2[[#This Row],[Сумма ЮА]]*Таблица2[[#This Row],[Курс ЮА]]</f>
        <v>517413.02399999998</v>
      </c>
      <c r="N451" s="24">
        <f>Таблица2[[#This Row],[Сумма ЮА]]*Таблица2[[#This Row],[Курс ЮА]]/Таблица2[[#This Row],[% за перевод]]</f>
        <v>533415.48865979386</v>
      </c>
      <c r="O45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5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16002.464659793884</v>
      </c>
      <c r="Q451" s="30">
        <v>533415.49</v>
      </c>
      <c r="R451" s="12">
        <f>Таблица2[[#This Row],[Сумма в руб]]-Таблица2[[#This Row],[Оплата от клиента]]</f>
        <v>-1.3402061304077506E-3</v>
      </c>
      <c r="S451" s="32">
        <v>44706</v>
      </c>
      <c r="T451" s="32" t="s">
        <v>382</v>
      </c>
      <c r="U451" s="24" t="s">
        <v>31</v>
      </c>
      <c r="V451" s="2">
        <v>9.2899999999999991</v>
      </c>
      <c r="W451" s="28"/>
      <c r="X451" s="9"/>
      <c r="Y451" s="16">
        <v>53897.19</v>
      </c>
      <c r="Z451" s="10">
        <v>44707</v>
      </c>
      <c r="AA451" s="26">
        <f>Таблица2[[#This Row],[Сумма перевода Долл/Евро]]*Таблица2[[#This Row],[Курс ДОЛЛ перевод]]+Таблица2[[#This Row],[Сумма за перевод руб]]</f>
        <v>16002.464659793884</v>
      </c>
      <c r="AB45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51" s="9"/>
      <c r="AD451" s="41"/>
    </row>
    <row r="452" spans="1:30" x14ac:dyDescent="0.25">
      <c r="A452" s="6">
        <v>44707</v>
      </c>
      <c r="B452" s="2" t="s">
        <v>55</v>
      </c>
      <c r="C452" s="2" t="s">
        <v>56</v>
      </c>
      <c r="D452" s="1"/>
      <c r="E452" s="1"/>
      <c r="F452" s="3"/>
      <c r="G452" s="5">
        <v>7333.22</v>
      </c>
      <c r="H452" s="2"/>
      <c r="I452" s="2">
        <v>64.199100000000001</v>
      </c>
      <c r="J452" s="2">
        <v>0.97</v>
      </c>
      <c r="K452" s="2"/>
      <c r="L452" s="2"/>
      <c r="M452" s="26">
        <f>Таблица2[[#This Row],[Сумма Долл]]*Таблица2[[#This Row],[Курс ДОЛЛ]]</f>
        <v>470786.12410200003</v>
      </c>
      <c r="N45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485346.51969278353</v>
      </c>
      <c r="O45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7333.22</v>
      </c>
      <c r="P45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14560.395590783504</v>
      </c>
      <c r="Q452" s="30">
        <f>470989.28+14357.24</f>
        <v>485346.52</v>
      </c>
      <c r="R452" s="12">
        <f>Таблица2[[#This Row],[Сумма в руб]]-Таблица2[[#This Row],[Оплата от клиента]]</f>
        <v>-3.0721648363396525E-4</v>
      </c>
      <c r="S452" s="32">
        <v>44707</v>
      </c>
      <c r="T452" s="32" t="s">
        <v>130</v>
      </c>
      <c r="U452" s="24" t="s">
        <v>31</v>
      </c>
      <c r="V452" s="2"/>
      <c r="W452" s="28">
        <v>64.199100000000001</v>
      </c>
      <c r="X452" s="9">
        <v>7333.22</v>
      </c>
      <c r="Y452" s="16"/>
      <c r="Z452" s="10">
        <v>44708</v>
      </c>
      <c r="AA452" s="26">
        <f>Таблица2[[#This Row],[Сумма перевода Долл/Евро]]*Таблица2[[#This Row],[Курс ДОЛЛ перевод]]+Таблица2[[#This Row],[Сумма за перевод руб]]</f>
        <v>485346.51969278353</v>
      </c>
      <c r="AB45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452" s="9"/>
      <c r="AD452" s="41"/>
    </row>
    <row r="453" spans="1:30" ht="30" x14ac:dyDescent="0.25">
      <c r="A453" s="6">
        <v>44708</v>
      </c>
      <c r="B453" s="38" t="s">
        <v>32</v>
      </c>
      <c r="C453" s="38" t="s">
        <v>33</v>
      </c>
      <c r="D453" s="1" t="s">
        <v>729</v>
      </c>
      <c r="E453" s="1"/>
      <c r="F453" s="3">
        <v>31810</v>
      </c>
      <c r="G453" s="5"/>
      <c r="H453" s="2">
        <v>9.67</v>
      </c>
      <c r="I453" s="2"/>
      <c r="J453" s="2">
        <v>0.97</v>
      </c>
      <c r="K453" s="2"/>
      <c r="L453" s="2"/>
      <c r="M453" s="26">
        <f>Таблица2[[#This Row],[Сумма ЮА]]*Таблица2[[#This Row],[Курс ЮА]]</f>
        <v>307602.7</v>
      </c>
      <c r="N453" s="24">
        <f>Таблица2[[#This Row],[Сумма ЮА]]*Таблица2[[#This Row],[Курс ЮА]]/Таблица2[[#This Row],[% за перевод]]-19054.56</f>
        <v>298061.62556701031</v>
      </c>
      <c r="O45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5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-9541.0744329896988</v>
      </c>
      <c r="Q453" s="30">
        <v>298061.63</v>
      </c>
      <c r="R453" s="12">
        <f>Таблица2[[#This Row],[Сумма в руб]]-Таблица2[[#This Row],[Оплата от клиента]]</f>
        <v>-4.432989691849798E-3</v>
      </c>
      <c r="S453" s="32">
        <v>44713</v>
      </c>
      <c r="T453" s="32" t="s">
        <v>730</v>
      </c>
      <c r="U453" s="24" t="s">
        <v>375</v>
      </c>
      <c r="V453" s="2">
        <v>9.43</v>
      </c>
      <c r="W453" s="28"/>
      <c r="X453" s="9"/>
      <c r="Y453" s="16">
        <v>31810</v>
      </c>
      <c r="Z453" s="2"/>
      <c r="AA453" s="26">
        <f>Таблица2[[#This Row],[Сумма перевода Долл/Евро]]*Таблица2[[#This Row],[Курс ДОЛЛ перевод]]+Таблица2[[#This Row],[Сумма за перевод руб]]</f>
        <v>-9541.0744329896988</v>
      </c>
      <c r="AB45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53" s="9"/>
      <c r="AD453" s="41"/>
    </row>
    <row r="454" spans="1:30" ht="30" x14ac:dyDescent="0.25">
      <c r="A454" s="6">
        <v>44708</v>
      </c>
      <c r="B454" s="38" t="s">
        <v>584</v>
      </c>
      <c r="C454" s="38" t="s">
        <v>585</v>
      </c>
      <c r="D454" s="1" t="s">
        <v>731</v>
      </c>
      <c r="E454" s="1"/>
      <c r="F454" s="3">
        <v>80546</v>
      </c>
      <c r="G454" s="5"/>
      <c r="H454" s="2">
        <v>10.56</v>
      </c>
      <c r="I454" s="2"/>
      <c r="J454" s="2">
        <v>0.9</v>
      </c>
      <c r="K454" s="2"/>
      <c r="L454" s="2"/>
      <c r="M454" s="26">
        <f>Таблица2[[#This Row],[Сумма ЮА]]*Таблица2[[#This Row],[Курс ЮА]]</f>
        <v>850565.76</v>
      </c>
      <c r="N454" s="24">
        <f>Таблица2[[#This Row],[Сумма ЮА]]*Таблица2[[#This Row],[Курс ЮА]]/Таблица2[[#This Row],[% за перевод]]</f>
        <v>945073.06666666665</v>
      </c>
      <c r="O45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5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94507.306666666642</v>
      </c>
      <c r="Q454" s="30">
        <v>945073.07</v>
      </c>
      <c r="R454" s="12">
        <f>Таблица2[[#This Row],[Сумма в руб]]-Таблица2[[#This Row],[Оплата от клиента]]</f>
        <v>-3.3333332976326346E-3</v>
      </c>
      <c r="S454" s="32">
        <v>44708</v>
      </c>
      <c r="T454" s="32" t="s">
        <v>720</v>
      </c>
      <c r="U454" s="62" t="s">
        <v>31</v>
      </c>
      <c r="V454" s="2"/>
      <c r="W454" s="28"/>
      <c r="X454" s="9"/>
      <c r="Y454" s="16">
        <v>80546</v>
      </c>
      <c r="Z454" s="2"/>
      <c r="AA454" s="26">
        <f>Таблица2[[#This Row],[Сумма перевода Долл/Евро]]*Таблица2[[#This Row],[Курс ДОЛЛ перевод]]+Таблица2[[#This Row],[Сумма за перевод руб]]</f>
        <v>94507.306666666642</v>
      </c>
      <c r="AB45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54" s="9"/>
      <c r="AD454" s="41"/>
    </row>
    <row r="455" spans="1:30" x14ac:dyDescent="0.25">
      <c r="A455" s="6">
        <v>44708</v>
      </c>
      <c r="B455" s="38" t="s">
        <v>416</v>
      </c>
      <c r="C455" s="38" t="s">
        <v>430</v>
      </c>
      <c r="D455" s="1" t="s">
        <v>417</v>
      </c>
      <c r="E455" s="1"/>
      <c r="F455" s="3">
        <v>89508</v>
      </c>
      <c r="G455" s="5"/>
      <c r="H455" s="2">
        <v>10.56</v>
      </c>
      <c r="I455" s="2"/>
      <c r="J455" s="2">
        <v>0.97</v>
      </c>
      <c r="K455" s="2"/>
      <c r="L455" s="2"/>
      <c r="M455" s="26">
        <f>Таблица2[[#This Row],[Сумма ЮА]]*Таблица2[[#This Row],[Курс ЮА]]</f>
        <v>945204.4800000001</v>
      </c>
      <c r="N455" s="24">
        <f>Таблица2[[#This Row],[Сумма ЮА]]*Таблица2[[#This Row],[Курс ЮА]]/Таблица2[[#This Row],[% за перевод]]</f>
        <v>974437.60824742285</v>
      </c>
      <c r="O45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5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29233.128247422748</v>
      </c>
      <c r="Q455" s="30">
        <v>974437.61</v>
      </c>
      <c r="R455" s="12">
        <f>Таблица2[[#This Row],[Сумма в руб]]-Таблица2[[#This Row],[Оплата от клиента]]</f>
        <v>-1.7525771399959922E-3</v>
      </c>
      <c r="S455" s="32"/>
      <c r="T455" s="32" t="s">
        <v>107</v>
      </c>
      <c r="U455" s="24"/>
      <c r="V455" s="2"/>
      <c r="W455" s="28"/>
      <c r="X455" s="9"/>
      <c r="Y455" s="16"/>
      <c r="Z455" s="2"/>
      <c r="AA455" s="26">
        <f>Таблица2[[#This Row],[Сумма перевода Долл/Евро]]*Таблица2[[#This Row],[Курс ДОЛЛ перевод]]+Таблица2[[#This Row],[Сумма за перевод руб]]</f>
        <v>29233.128247422748</v>
      </c>
      <c r="AB45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55" s="9"/>
      <c r="AD455" s="41"/>
    </row>
    <row r="456" spans="1:30" x14ac:dyDescent="0.25">
      <c r="A456" s="6">
        <v>44711</v>
      </c>
      <c r="B456" s="38" t="s">
        <v>452</v>
      </c>
      <c r="C456" s="38" t="s">
        <v>447</v>
      </c>
      <c r="D456" s="1"/>
      <c r="E456" s="1"/>
      <c r="F456" s="3"/>
      <c r="G456" s="5">
        <v>871.97</v>
      </c>
      <c r="H456" s="2"/>
      <c r="I456" s="2">
        <v>62.27</v>
      </c>
      <c r="J456" s="2">
        <v>0.97</v>
      </c>
      <c r="K456" s="2"/>
      <c r="L456" s="2"/>
      <c r="M456" s="26">
        <f>Таблица2[[#This Row],[Сумма Долл]]*Таблица2[[#This Row],[Курс ДОЛЛ]]</f>
        <v>54297.571900000003</v>
      </c>
      <c r="N45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55976.878247422683</v>
      </c>
      <c r="O45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871.97</v>
      </c>
      <c r="P45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1679.3063474226801</v>
      </c>
      <c r="Q456" s="30">
        <v>55976.88</v>
      </c>
      <c r="R456" s="12">
        <f>Таблица2[[#This Row],[Сумма в руб]]-Таблица2[[#This Row],[Оплата от клиента]]</f>
        <v>-1.7525773146189749E-3</v>
      </c>
      <c r="S456" s="32">
        <v>44711</v>
      </c>
      <c r="T456" s="32" t="s">
        <v>107</v>
      </c>
      <c r="U456" s="24" t="s">
        <v>31</v>
      </c>
      <c r="V456" s="2">
        <v>9.58</v>
      </c>
      <c r="W456" s="28"/>
      <c r="X456" s="9"/>
      <c r="Y456" s="16">
        <f>Таблица2[[#This Row],[Сумма без %]]/Таблица2[[#This Row],[Курс ЮА перевод]]</f>
        <v>5667.8050000000003</v>
      </c>
      <c r="Z456" s="10">
        <v>44712</v>
      </c>
      <c r="AA456" s="26">
        <f>Таблица2[[#This Row],[Сумма перевода Долл/Евро]]*Таблица2[[#This Row],[Курс ДОЛЛ перевод]]+Таблица2[[#This Row],[Сумма за перевод руб]]</f>
        <v>1679.3063474226801</v>
      </c>
      <c r="AB45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280.34108559498952</v>
      </c>
      <c r="AC456" s="9"/>
      <c r="AD456" s="41"/>
    </row>
    <row r="457" spans="1:30" x14ac:dyDescent="0.25">
      <c r="A457" s="6">
        <v>44711</v>
      </c>
      <c r="B457" s="38" t="s">
        <v>452</v>
      </c>
      <c r="C457" s="38" t="s">
        <v>447</v>
      </c>
      <c r="D457" s="1"/>
      <c r="E457" s="1"/>
      <c r="F457" s="3"/>
      <c r="G457" s="5">
        <v>700.15</v>
      </c>
      <c r="H457" s="2"/>
      <c r="I457" s="2">
        <v>62.27</v>
      </c>
      <c r="J457" s="2">
        <v>0.97</v>
      </c>
      <c r="K457" s="2"/>
      <c r="L457" s="2"/>
      <c r="M457" s="26">
        <f>Таблица2[[#This Row],[Сумма Долл]]*Таблица2[[#This Row],[Курс ДОЛЛ]]</f>
        <v>43598.340499999998</v>
      </c>
      <c r="N45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44946.742783505157</v>
      </c>
      <c r="O45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700.15</v>
      </c>
      <c r="P45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1348.4022835051583</v>
      </c>
      <c r="Q457" s="30">
        <v>44946.74</v>
      </c>
      <c r="R457" s="12">
        <f>Таблица2[[#This Row],[Сумма в руб]]-Таблица2[[#This Row],[Оплата от клиента]]</f>
        <v>2.7835051587317139E-3</v>
      </c>
      <c r="S457" s="32">
        <v>44711</v>
      </c>
      <c r="T457" s="32" t="s">
        <v>107</v>
      </c>
      <c r="U457" s="24" t="s">
        <v>31</v>
      </c>
      <c r="V457" s="2">
        <v>9.57</v>
      </c>
      <c r="W457" s="28"/>
      <c r="X457" s="9"/>
      <c r="Y457" s="16">
        <f>Таблица2[[#This Row],[Сумма без %]]/Таблица2[[#This Row],[Курс ЮА перевод]]</f>
        <v>4555.730459770115</v>
      </c>
      <c r="Z457" s="10">
        <v>44712</v>
      </c>
      <c r="AA457" s="26">
        <f>Таблица2[[#This Row],[Сумма перевода Долл/Евро]]*Таблица2[[#This Row],[Курс ДОЛЛ перевод]]+Таблица2[[#This Row],[Сумма за перевод руб]]</f>
        <v>1348.4022835051583</v>
      </c>
      <c r="AB45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224.10710974188976</v>
      </c>
      <c r="AC457" s="9"/>
      <c r="AD457" s="41"/>
    </row>
    <row r="458" spans="1:30" ht="45" x14ac:dyDescent="0.25">
      <c r="A458" s="6">
        <v>44711</v>
      </c>
      <c r="B458" s="38" t="s">
        <v>165</v>
      </c>
      <c r="C458" s="38" t="s">
        <v>461</v>
      </c>
      <c r="D458" s="1" t="s">
        <v>732</v>
      </c>
      <c r="E458" s="1"/>
      <c r="F458" s="3">
        <v>55410</v>
      </c>
      <c r="G458" s="5"/>
      <c r="H458" s="2">
        <v>9.69</v>
      </c>
      <c r="I458" s="2"/>
      <c r="J458" s="2">
        <v>0.97</v>
      </c>
      <c r="K458" s="2"/>
      <c r="L458" s="2"/>
      <c r="M458" s="26">
        <f>Таблица2[[#This Row],[Сумма ЮА]]*Таблица2[[#This Row],[Курс ЮА]]</f>
        <v>536922.9</v>
      </c>
      <c r="N458" s="24">
        <f>Таблица2[[#This Row],[Сумма ЮА]]*Таблица2[[#This Row],[Курс ЮА]]/Таблица2[[#This Row],[% за перевод]]</f>
        <v>553528.76288659801</v>
      </c>
      <c r="O45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5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16605.862886597984</v>
      </c>
      <c r="Q458" s="30">
        <v>553528.76</v>
      </c>
      <c r="R458" s="12">
        <f>Таблица2[[#This Row],[Сумма в руб]]-Таблица2[[#This Row],[Оплата от клиента]]</f>
        <v>2.8865979984402657E-3</v>
      </c>
      <c r="S458" s="32">
        <v>44712</v>
      </c>
      <c r="T458" s="32" t="s">
        <v>107</v>
      </c>
      <c r="U458" s="24" t="s">
        <v>31</v>
      </c>
      <c r="V458" s="2">
        <v>9.43</v>
      </c>
      <c r="W458" s="28"/>
      <c r="X458" s="9"/>
      <c r="Y458" s="16">
        <v>55410</v>
      </c>
      <c r="Z458" s="10">
        <v>44713</v>
      </c>
      <c r="AA458" s="26">
        <f>Таблица2[[#This Row],[Сумма перевода Долл/Евро]]*Таблица2[[#This Row],[Курс ДОЛЛ перевод]]+Таблица2[[#This Row],[Сумма за перевод руб]]</f>
        <v>16605.862886597984</v>
      </c>
      <c r="AB45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58" s="9"/>
      <c r="AD458" s="41"/>
    </row>
    <row r="459" spans="1:30" ht="30" x14ac:dyDescent="0.25">
      <c r="A459" s="6">
        <v>44711</v>
      </c>
      <c r="B459" s="38" t="s">
        <v>733</v>
      </c>
      <c r="C459" s="38" t="s">
        <v>734</v>
      </c>
      <c r="D459" s="1" t="s">
        <v>735</v>
      </c>
      <c r="E459" s="1"/>
      <c r="F459" s="3">
        <v>15474</v>
      </c>
      <c r="G459" s="5"/>
      <c r="H459" s="2">
        <v>9.6</v>
      </c>
      <c r="I459" s="2"/>
      <c r="J459" s="2">
        <v>0.9</v>
      </c>
      <c r="K459" s="2"/>
      <c r="L459" s="2"/>
      <c r="M459" s="26">
        <f>Таблица2[[#This Row],[Сумма ЮА]]*Таблица2[[#This Row],[Курс ЮА]]</f>
        <v>148550.39999999999</v>
      </c>
      <c r="N459" s="24">
        <f>Таблица2[[#This Row],[Сумма ЮА]]*Таблица2[[#This Row],[Курс ЮА]]/Таблица2[[#This Row],[% за перевод]]</f>
        <v>165056</v>
      </c>
      <c r="O45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5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16505.600000000006</v>
      </c>
      <c r="Q459" s="30">
        <v>165056</v>
      </c>
      <c r="R459" s="12">
        <f>Таблица2[[#This Row],[Сумма в руб]]-Таблица2[[#This Row],[Оплата от клиента]]</f>
        <v>0</v>
      </c>
      <c r="S459" s="32">
        <v>44719</v>
      </c>
      <c r="T459" s="32" t="s">
        <v>720</v>
      </c>
      <c r="U459" s="24" t="s">
        <v>31</v>
      </c>
      <c r="V459" s="2"/>
      <c r="W459" s="28"/>
      <c r="X459" s="9"/>
      <c r="Y459" s="16">
        <v>15474</v>
      </c>
      <c r="Z459" s="2"/>
      <c r="AA459" s="26">
        <f>Таблица2[[#This Row],[Сумма перевода Долл/Евро]]*Таблица2[[#This Row],[Курс ДОЛЛ перевод]]+Таблица2[[#This Row],[Сумма за перевод руб]]</f>
        <v>16505.600000000006</v>
      </c>
      <c r="AB45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59" s="9"/>
      <c r="AD459" s="41"/>
    </row>
    <row r="460" spans="1:30" x14ac:dyDescent="0.25">
      <c r="A460" s="6">
        <v>44711</v>
      </c>
      <c r="B460" s="38" t="s">
        <v>178</v>
      </c>
      <c r="C460" s="38" t="s">
        <v>654</v>
      </c>
      <c r="D460" s="1" t="s">
        <v>736</v>
      </c>
      <c r="E460" s="1"/>
      <c r="F460" s="3">
        <v>96194</v>
      </c>
      <c r="G460" s="5"/>
      <c r="H460" s="2">
        <v>9.69</v>
      </c>
      <c r="I460" s="2"/>
      <c r="J460" s="2">
        <v>0.99</v>
      </c>
      <c r="K460" s="2"/>
      <c r="L460" s="2"/>
      <c r="M460" s="26">
        <f>Таблица2[[#This Row],[Сумма ЮА]]*Таблица2[[#This Row],[Курс ЮА]]</f>
        <v>932119.86</v>
      </c>
      <c r="N460" s="24">
        <f>Таблица2[[#This Row],[Сумма ЮА]]*Таблица2[[#This Row],[Курс ЮА]]/Таблица2[[#This Row],[% за перевод]]</f>
        <v>941535.21212121216</v>
      </c>
      <c r="O46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6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9415.3521212121705</v>
      </c>
      <c r="Q460" s="30">
        <v>960948.31</v>
      </c>
      <c r="R460" s="12">
        <f>Таблица2[[#This Row],[Сумма в руб]]-Таблица2[[#This Row],[Оплата от клиента]]</f>
        <v>-19413.097878787899</v>
      </c>
      <c r="S460" s="32">
        <v>44712</v>
      </c>
      <c r="T460" s="32" t="s">
        <v>382</v>
      </c>
      <c r="U460" s="24" t="s">
        <v>31</v>
      </c>
      <c r="V460" s="2">
        <v>9.44</v>
      </c>
      <c r="W460" s="28"/>
      <c r="X460" s="9"/>
      <c r="Y460" s="16">
        <v>96194</v>
      </c>
      <c r="Z460" s="10">
        <v>44712</v>
      </c>
      <c r="AA460" s="26">
        <f>Таблица2[[#This Row],[Сумма перевода Долл/Евро]]*Таблица2[[#This Row],[Курс ДОЛЛ перевод]]+Таблица2[[#This Row],[Сумма за перевод руб]]</f>
        <v>9415.3521212121705</v>
      </c>
      <c r="AB46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60" s="9"/>
      <c r="AD460" s="41"/>
    </row>
    <row r="461" spans="1:30" ht="30" x14ac:dyDescent="0.25">
      <c r="A461" s="6">
        <v>44712</v>
      </c>
      <c r="B461" s="50" t="s">
        <v>737</v>
      </c>
      <c r="C461" s="50" t="s">
        <v>738</v>
      </c>
      <c r="D461" s="1" t="s">
        <v>739</v>
      </c>
      <c r="E461" s="1"/>
      <c r="F461" s="3"/>
      <c r="G461" s="5">
        <v>1385</v>
      </c>
      <c r="H461" s="2"/>
      <c r="I461" s="2">
        <v>62.3</v>
      </c>
      <c r="J461" s="2">
        <v>0.97</v>
      </c>
      <c r="K461" s="2"/>
      <c r="L461" s="2"/>
      <c r="M461" s="26">
        <f>Таблица2[[#This Row],[Сумма Долл]]*Таблица2[[#This Row],[Курс ДОЛЛ]]</f>
        <v>86285.5</v>
      </c>
      <c r="N46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88954.123711340202</v>
      </c>
      <c r="O46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1381.516272769629</v>
      </c>
      <c r="P46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2668.6237113402021</v>
      </c>
      <c r="Q461" s="30">
        <v>88954.12</v>
      </c>
      <c r="R461" s="12">
        <f>Таблица2[[#This Row],[Сумма в руб]]-Таблица2[[#This Row],[Оплата от клиента]]</f>
        <v>3.7113402067916468E-3</v>
      </c>
      <c r="S461" s="32">
        <v>44713</v>
      </c>
      <c r="T461" s="32" t="s">
        <v>164</v>
      </c>
      <c r="U461" s="24" t="s">
        <v>751</v>
      </c>
      <c r="V461" s="2"/>
      <c r="W461" s="28">
        <v>62.457099999999997</v>
      </c>
      <c r="X461" s="9">
        <v>1385</v>
      </c>
      <c r="Y461" s="16"/>
      <c r="Z461" s="10">
        <v>44714</v>
      </c>
      <c r="AA461" s="26">
        <f>Таблица2[[#This Row],[Сумма перевода Долл/Евро]]*Таблица2[[#This Row],[Курс ДОЛЛ перевод]]+Таблица2[[#This Row],[Сумма за перевод руб]]</f>
        <v>89171.707211340195</v>
      </c>
      <c r="AB46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-3.4837272303709597</v>
      </c>
      <c r="AC461" s="9"/>
      <c r="AD461" s="41" t="s">
        <v>922</v>
      </c>
    </row>
    <row r="462" spans="1:30" ht="30" x14ac:dyDescent="0.25">
      <c r="A462" s="6">
        <v>44712</v>
      </c>
      <c r="B462" s="50" t="s">
        <v>81</v>
      </c>
      <c r="C462" s="50" t="s">
        <v>82</v>
      </c>
      <c r="D462" s="1" t="s">
        <v>740</v>
      </c>
      <c r="E462" s="1"/>
      <c r="F462" s="3"/>
      <c r="G462" s="5">
        <v>2410.35</v>
      </c>
      <c r="H462" s="2"/>
      <c r="I462" s="2">
        <v>64.099999999999994</v>
      </c>
      <c r="J462" s="2"/>
      <c r="K462" s="2">
        <v>80</v>
      </c>
      <c r="L462" s="2"/>
      <c r="M462" s="26">
        <f>Таблица2[[#This Row],[Сумма Долл]]*Таблица2[[#This Row],[Курс ДОЛЛ]]</f>
        <v>154503.43499999997</v>
      </c>
      <c r="N46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159631.43499999997</v>
      </c>
      <c r="O46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2489.15245035097</v>
      </c>
      <c r="P46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4965.6559999999999</v>
      </c>
      <c r="Q462" s="30">
        <v>159631.44</v>
      </c>
      <c r="R462" s="12">
        <f>Таблица2[[#This Row],[Сумма в руб]]-Таблица2[[#This Row],[Оплата от клиента]]</f>
        <v>-5.0000000337604433E-3</v>
      </c>
      <c r="S462" s="32">
        <v>44713</v>
      </c>
      <c r="T462" s="32" t="s">
        <v>164</v>
      </c>
      <c r="U462" s="66" t="s">
        <v>934</v>
      </c>
      <c r="V462" s="2"/>
      <c r="W462" s="28">
        <v>62.070700000000002</v>
      </c>
      <c r="X462" s="9">
        <v>2410.35</v>
      </c>
      <c r="Y462" s="16"/>
      <c r="Z462" s="10">
        <v>44713</v>
      </c>
      <c r="AA462" s="26">
        <f>Таблица2[[#This Row],[Сумма перевода Долл/Евро]]*Таблица2[[#This Row],[Курс ДОЛЛ перевод]]+Таблица2[[#This Row],[Сумма за перевод руб]]</f>
        <v>154577.76774499999</v>
      </c>
      <c r="AB46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78.802450350970048</v>
      </c>
      <c r="AC462" s="9"/>
      <c r="AD462" s="41"/>
    </row>
    <row r="463" spans="1:30" ht="30" x14ac:dyDescent="0.25">
      <c r="A463" s="6">
        <v>44712</v>
      </c>
      <c r="B463" s="38" t="s">
        <v>81</v>
      </c>
      <c r="C463" s="38" t="s">
        <v>82</v>
      </c>
      <c r="D463" s="1" t="s">
        <v>741</v>
      </c>
      <c r="E463" s="1"/>
      <c r="F463" s="3"/>
      <c r="G463" s="5">
        <v>130</v>
      </c>
      <c r="H463" s="2"/>
      <c r="I463" s="2">
        <v>64.099999999999994</v>
      </c>
      <c r="J463" s="2"/>
      <c r="K463" s="2">
        <v>80</v>
      </c>
      <c r="L463" s="2"/>
      <c r="M463" s="26">
        <f>Таблица2[[#This Row],[Сумма Долл]]*Таблица2[[#This Row],[Курс ДОЛЛ]]</f>
        <v>8333</v>
      </c>
      <c r="N46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13460.999999999998</v>
      </c>
      <c r="O46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130</v>
      </c>
      <c r="P46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5128</v>
      </c>
      <c r="Q463" s="30">
        <v>13461</v>
      </c>
      <c r="R463" s="12">
        <f>Таблица2[[#This Row],[Сумма в руб]]-Таблица2[[#This Row],[Оплата от клиента]]</f>
        <v>0</v>
      </c>
      <c r="S463" s="32">
        <v>44713</v>
      </c>
      <c r="T463" s="32" t="s">
        <v>720</v>
      </c>
      <c r="U463" s="24" t="s">
        <v>31</v>
      </c>
      <c r="V463" s="2"/>
      <c r="W463" s="28"/>
      <c r="X463" s="9"/>
      <c r="Y463" s="16">
        <v>1402.19</v>
      </c>
      <c r="Z463" s="2"/>
      <c r="AA463" s="26">
        <f>Таблица2[[#This Row],[Сумма перевода Долл/Евро]]*Таблица2[[#This Row],[Курс ДОЛЛ перевод]]+Таблица2[[#This Row],[Сумма за перевод руб]]</f>
        <v>5128</v>
      </c>
      <c r="AB46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63" s="9"/>
      <c r="AD463" s="41"/>
    </row>
    <row r="464" spans="1:30" ht="30" x14ac:dyDescent="0.25">
      <c r="A464" s="6">
        <v>44713</v>
      </c>
      <c r="B464" s="38" t="s">
        <v>57</v>
      </c>
      <c r="C464" s="38" t="s">
        <v>58</v>
      </c>
      <c r="D464" s="1" t="s">
        <v>183</v>
      </c>
      <c r="E464" s="1"/>
      <c r="F464" s="3">
        <v>40119.300000000003</v>
      </c>
      <c r="G464" s="5"/>
      <c r="H464" s="2">
        <v>9.52</v>
      </c>
      <c r="I464" s="2"/>
      <c r="J464" s="2">
        <v>0.97</v>
      </c>
      <c r="K464" s="2"/>
      <c r="L464" s="2"/>
      <c r="M464" s="26">
        <f>Таблица2[[#This Row],[Сумма ЮА]]*Таблица2[[#This Row],[Курс ЮА]]</f>
        <v>381935.73600000003</v>
      </c>
      <c r="N464" s="24">
        <f>Таблица2[[#This Row],[Сумма ЮА]]*Таблица2[[#This Row],[Курс ЮА]]/Таблица2[[#This Row],[% за перевод]]-32903.57</f>
        <v>360844.61144329899</v>
      </c>
      <c r="O46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6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-21091.124556701048</v>
      </c>
      <c r="Q464" s="30">
        <v>360844.61</v>
      </c>
      <c r="R464" s="12">
        <f>Таблица2[[#This Row],[Сумма в руб]]-Таблица2[[#This Row],[Оплата от клиента]]</f>
        <v>1.4432989992201328E-3</v>
      </c>
      <c r="S464" s="32">
        <v>44713</v>
      </c>
      <c r="T464" s="32" t="s">
        <v>107</v>
      </c>
      <c r="U464" s="24" t="s">
        <v>31</v>
      </c>
      <c r="V464" s="2">
        <v>9.39</v>
      </c>
      <c r="W464" s="28"/>
      <c r="X464" s="9"/>
      <c r="Y464" s="16">
        <v>40119.300000000003</v>
      </c>
      <c r="Z464" s="10">
        <v>44713</v>
      </c>
      <c r="AA464" s="26">
        <f>Таблица2[[#This Row],[Сумма перевода Долл/Евро]]*Таблица2[[#This Row],[Курс ДОЛЛ перевод]]+Таблица2[[#This Row],[Сумма за перевод руб]]</f>
        <v>-21091.124556701048</v>
      </c>
      <c r="AB46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64" s="9"/>
      <c r="AD464" s="41"/>
    </row>
    <row r="465" spans="1:30" ht="30" x14ac:dyDescent="0.25">
      <c r="A465" s="6">
        <v>44714</v>
      </c>
      <c r="B465" s="2" t="s">
        <v>81</v>
      </c>
      <c r="C465" s="2" t="s">
        <v>82</v>
      </c>
      <c r="D465" s="1" t="s">
        <v>742</v>
      </c>
      <c r="E465" s="1"/>
      <c r="F465" s="3"/>
      <c r="G465" s="5">
        <v>464</v>
      </c>
      <c r="H465" s="2"/>
      <c r="I465" s="2">
        <v>62.4</v>
      </c>
      <c r="J465" s="2"/>
      <c r="K465" s="2">
        <v>80</v>
      </c>
      <c r="L465" s="2"/>
      <c r="M465" s="26">
        <f>Таблица2[[#This Row],[Сумма Долл]]*Таблица2[[#This Row],[Курс ДОЛЛ]]</f>
        <v>28953.599999999999</v>
      </c>
      <c r="N46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33945.599999999999</v>
      </c>
      <c r="O46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466.06892777232264</v>
      </c>
      <c r="P46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4969.84</v>
      </c>
      <c r="Q465" s="30">
        <v>33945.599999999999</v>
      </c>
      <c r="R465" s="12">
        <f>Таблица2[[#This Row],[Сумма в руб]]-Таблица2[[#This Row],[Оплата от клиента]]</f>
        <v>0</v>
      </c>
      <c r="S465" s="32">
        <v>44715</v>
      </c>
      <c r="T465" s="32" t="s">
        <v>164</v>
      </c>
      <c r="U465" s="24" t="s">
        <v>31</v>
      </c>
      <c r="V465" s="2"/>
      <c r="W465" s="28">
        <v>62.122999999999998</v>
      </c>
      <c r="X465" s="9">
        <v>464</v>
      </c>
      <c r="Y465" s="16"/>
      <c r="Z465" s="10">
        <v>44718</v>
      </c>
      <c r="AA465" s="26">
        <f>Таблица2[[#This Row],[Сумма перевода Долл/Евро]]*Таблица2[[#This Row],[Курс ДОЛЛ перевод]]+Таблица2[[#This Row],[Сумма за перевод руб]]</f>
        <v>33794.911999999997</v>
      </c>
      <c r="AB46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2.0689277723226382</v>
      </c>
      <c r="AC465" s="9"/>
      <c r="AD465" s="41"/>
    </row>
    <row r="466" spans="1:30" ht="45" x14ac:dyDescent="0.25">
      <c r="A466" s="6">
        <v>44714</v>
      </c>
      <c r="B466" s="38" t="s">
        <v>726</v>
      </c>
      <c r="C466" s="38" t="s">
        <v>203</v>
      </c>
      <c r="D466" s="1" t="s">
        <v>743</v>
      </c>
      <c r="E466" s="1"/>
      <c r="F466" s="3">
        <v>9288.7999999999993</v>
      </c>
      <c r="G466" s="5"/>
      <c r="H466" s="2">
        <v>9.56</v>
      </c>
      <c r="I466" s="2"/>
      <c r="J466" s="2">
        <v>0.97</v>
      </c>
      <c r="K466" s="2"/>
      <c r="L466" s="2"/>
      <c r="M466" s="26">
        <f>Таблица2[[#This Row],[Сумма ЮА]]*Таблица2[[#This Row],[Курс ЮА]]</f>
        <v>88800.928</v>
      </c>
      <c r="N466" s="24">
        <f>Таблица2[[#This Row],[Сумма ЮА]]*Таблица2[[#This Row],[Курс ЮА]]/Таблица2[[#This Row],[% за перевод]]</f>
        <v>91547.348453608254</v>
      </c>
      <c r="O46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6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2746.4204536082543</v>
      </c>
      <c r="Q466" s="30">
        <v>91547.35</v>
      </c>
      <c r="R466" s="12">
        <f>Таблица2[[#This Row],[Сумма в руб]]-Таблица2[[#This Row],[Оплата от клиента]]</f>
        <v>-1.5463917516171932E-3</v>
      </c>
      <c r="S466" s="32">
        <v>44714</v>
      </c>
      <c r="T466" s="32" t="s">
        <v>107</v>
      </c>
      <c r="U466" s="24" t="s">
        <v>31</v>
      </c>
      <c r="V466" s="2">
        <v>9.41</v>
      </c>
      <c r="W466" s="28"/>
      <c r="X466" s="9"/>
      <c r="Y466" s="16">
        <v>9288.7999999999993</v>
      </c>
      <c r="Z466" s="10">
        <v>44714</v>
      </c>
      <c r="AA466" s="26">
        <f>Таблица2[[#This Row],[Сумма перевода Долл/Евро]]*Таблица2[[#This Row],[Курс ДОЛЛ перевод]]+Таблица2[[#This Row],[Сумма за перевод руб]]</f>
        <v>2746.4204536082543</v>
      </c>
      <c r="AB46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66" s="9"/>
      <c r="AD466" s="41"/>
    </row>
    <row r="467" spans="1:30" ht="45" x14ac:dyDescent="0.25">
      <c r="A467" s="6">
        <v>44714</v>
      </c>
      <c r="B467" s="38" t="s">
        <v>483</v>
      </c>
      <c r="C467" s="38" t="s">
        <v>484</v>
      </c>
      <c r="D467" s="1" t="s">
        <v>744</v>
      </c>
      <c r="E467" s="1"/>
      <c r="F467" s="3">
        <v>14550</v>
      </c>
      <c r="G467" s="5"/>
      <c r="H467" s="2">
        <v>9.56</v>
      </c>
      <c r="I467" s="2"/>
      <c r="J467" s="2">
        <v>0.9</v>
      </c>
      <c r="K467" s="2"/>
      <c r="L467" s="2"/>
      <c r="M467" s="26">
        <f>Таблица2[[#This Row],[Сумма ЮА]]*Таблица2[[#This Row],[Курс ЮА]]</f>
        <v>139098</v>
      </c>
      <c r="N467" s="24">
        <f>Таблица2[[#This Row],[Сумма ЮА]]*Таблица2[[#This Row],[Курс ЮА]]/Таблица2[[#This Row],[% за перевод]]</f>
        <v>154553.33333333334</v>
      </c>
      <c r="O46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2225.2511242399082</v>
      </c>
      <c r="P46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15455.333333333343</v>
      </c>
      <c r="Q467" s="30">
        <v>154553.32999999999</v>
      </c>
      <c r="R467" s="12">
        <f>Таблица2[[#This Row],[Сумма в руб]]-Таблица2[[#This Row],[Оплата от клиента]]</f>
        <v>3.3333333558402956E-3</v>
      </c>
      <c r="S467" s="32">
        <v>44714</v>
      </c>
      <c r="T467" s="32" t="s">
        <v>720</v>
      </c>
      <c r="U467" s="24" t="s">
        <v>31</v>
      </c>
      <c r="V467" s="2"/>
      <c r="W467" s="28">
        <v>62.508899999999997</v>
      </c>
      <c r="X467" s="9">
        <v>2317.96</v>
      </c>
      <c r="Y467" s="16">
        <v>14550</v>
      </c>
      <c r="Z467" s="2"/>
      <c r="AA467" s="26">
        <f>Таблица2[[#This Row],[Сумма перевода Долл/Евро]]*Таблица2[[#This Row],[Курс ДОЛЛ перевод]]+Таблица2[[#This Row],[Сумма за перевод руб]]</f>
        <v>160348.46317733332</v>
      </c>
      <c r="AB46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67" s="9"/>
      <c r="AD467" s="41"/>
    </row>
    <row r="468" spans="1:30" ht="30" x14ac:dyDescent="0.25">
      <c r="A468" s="6">
        <v>44714</v>
      </c>
      <c r="B468" s="38" t="s">
        <v>483</v>
      </c>
      <c r="C468" s="38" t="s">
        <v>484</v>
      </c>
      <c r="D468" s="1" t="s">
        <v>752</v>
      </c>
      <c r="E468" s="1"/>
      <c r="F468" s="3">
        <v>6099</v>
      </c>
      <c r="G468" s="5"/>
      <c r="H468" s="2">
        <v>9.56</v>
      </c>
      <c r="I468" s="2"/>
      <c r="J468" s="2">
        <v>0.9</v>
      </c>
      <c r="K468" s="2"/>
      <c r="L468" s="2"/>
      <c r="M468" s="26">
        <f>Таблица2[[#This Row],[Сумма ЮА]]*Таблица2[[#This Row],[Курс ЮА]]</f>
        <v>58306.44</v>
      </c>
      <c r="N468" s="24">
        <f>Таблица2[[#This Row],[Сумма ЮА]]*Таблица2[[#This Row],[Курс ЮА]]/Таблица2[[#This Row],[% за перевод]]</f>
        <v>64784.933333333334</v>
      </c>
      <c r="O46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932.77021352159466</v>
      </c>
      <c r="P46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6478.493333333332</v>
      </c>
      <c r="Q468" s="30">
        <v>64784.93</v>
      </c>
      <c r="R468" s="12">
        <f>Таблица2[[#This Row],[Сумма в руб]]-Таблица2[[#This Row],[Оплата от клиента]]</f>
        <v>3.3333333340124227E-3</v>
      </c>
      <c r="S468" s="32">
        <v>44714</v>
      </c>
      <c r="T468" s="32" t="s">
        <v>720</v>
      </c>
      <c r="U468" s="24" t="s">
        <v>31</v>
      </c>
      <c r="V468" s="2"/>
      <c r="W468" s="28">
        <v>62.508899999999997</v>
      </c>
      <c r="X468" s="9">
        <v>971.63</v>
      </c>
      <c r="Y468" s="16">
        <v>6099</v>
      </c>
      <c r="Z468" s="2"/>
      <c r="AA468" s="26">
        <f>Таблица2[[#This Row],[Сумма перевода Долл/Евро]]*Таблица2[[#This Row],[Курс ДОЛЛ перевод]]+Таблица2[[#This Row],[Сумма за перевод руб]]</f>
        <v>67214.015840333333</v>
      </c>
      <c r="AB46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68" s="9"/>
      <c r="AD468" s="41"/>
    </row>
    <row r="469" spans="1:30" ht="60" x14ac:dyDescent="0.25">
      <c r="A469" s="6">
        <v>44714</v>
      </c>
      <c r="B469" s="38" t="s">
        <v>483</v>
      </c>
      <c r="C469" s="38" t="s">
        <v>484</v>
      </c>
      <c r="D469" s="1" t="s">
        <v>753</v>
      </c>
      <c r="E469" s="1"/>
      <c r="F469" s="3">
        <v>28710</v>
      </c>
      <c r="G469" s="5"/>
      <c r="H469" s="2">
        <v>9.56</v>
      </c>
      <c r="I469" s="2"/>
      <c r="J469" s="2">
        <v>0.9</v>
      </c>
      <c r="K469" s="2"/>
      <c r="L469" s="2"/>
      <c r="M469" s="26">
        <f>Таблица2[[#This Row],[Сумма ЮА]]*Таблица2[[#This Row],[Курс ЮА]]</f>
        <v>274467.60000000003</v>
      </c>
      <c r="N469" s="24">
        <f>Таблица2[[#This Row],[Сумма ЮА]]*Таблица2[[#This Row],[Курс ЮА]]/Таблица2[[#This Row],[% за перевод]]</f>
        <v>304964.00000000006</v>
      </c>
      <c r="O46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4390.8563420568917</v>
      </c>
      <c r="P46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30496.400000000023</v>
      </c>
      <c r="Q469" s="30">
        <v>304964</v>
      </c>
      <c r="R469" s="12">
        <f>Таблица2[[#This Row],[Сумма в руб]]-Таблица2[[#This Row],[Оплата от клиента]]</f>
        <v>0</v>
      </c>
      <c r="S469" s="32">
        <v>44714</v>
      </c>
      <c r="T469" s="32" t="s">
        <v>720</v>
      </c>
      <c r="U469" s="24" t="s">
        <v>31</v>
      </c>
      <c r="V469" s="2"/>
      <c r="W469" s="28">
        <v>62.508899999999997</v>
      </c>
      <c r="X469" s="9">
        <v>4403.8</v>
      </c>
      <c r="Y469" s="16">
        <v>28710</v>
      </c>
      <c r="Z469" s="2"/>
      <c r="AA469" s="26">
        <f>Таблица2[[#This Row],[Сумма перевода Долл/Евро]]*Таблица2[[#This Row],[Курс ДОЛЛ перевод]]+Таблица2[[#This Row],[Сумма за перевод руб]]</f>
        <v>305773.09382000001</v>
      </c>
      <c r="AB46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69" s="9"/>
      <c r="AD469" s="41"/>
    </row>
    <row r="470" spans="1:30" ht="45" x14ac:dyDescent="0.25">
      <c r="A470" s="6">
        <v>44715</v>
      </c>
      <c r="B470" s="38" t="s">
        <v>61</v>
      </c>
      <c r="C470" s="38" t="s">
        <v>745</v>
      </c>
      <c r="D470" s="1" t="s">
        <v>746</v>
      </c>
      <c r="E470" s="1"/>
      <c r="F470" s="3">
        <v>59200</v>
      </c>
      <c r="G470" s="5"/>
      <c r="H470" s="2">
        <v>9.43</v>
      </c>
      <c r="I470" s="2"/>
      <c r="J470" s="2">
        <v>0.97</v>
      </c>
      <c r="K470" s="2"/>
      <c r="L470" s="2"/>
      <c r="M470" s="26">
        <f>Таблица2[[#This Row],[Сумма ЮА]]*Таблица2[[#This Row],[Курс ЮА]]</f>
        <v>558256</v>
      </c>
      <c r="N470" s="24">
        <f>Таблица2[[#This Row],[Сумма ЮА]]*Таблица2[[#This Row],[Курс ЮА]]/Таблица2[[#This Row],[% за перевод]]</f>
        <v>575521.64948453614</v>
      </c>
      <c r="O47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7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17265.649484536145</v>
      </c>
      <c r="Q470" s="30">
        <v>575521.65</v>
      </c>
      <c r="R470" s="12">
        <f>Таблица2[[#This Row],[Сумма в руб]]-Таблица2[[#This Row],[Оплата от клиента]]</f>
        <v>-5.154638784006238E-4</v>
      </c>
      <c r="S470" s="32">
        <v>44715</v>
      </c>
      <c r="T470" s="32" t="s">
        <v>107</v>
      </c>
      <c r="U470" s="24" t="s">
        <v>31</v>
      </c>
      <c r="V470" s="2">
        <v>9.33</v>
      </c>
      <c r="W470" s="28"/>
      <c r="X470" s="9"/>
      <c r="Y470" s="16">
        <v>59200</v>
      </c>
      <c r="Z470" s="10">
        <v>44718</v>
      </c>
      <c r="AA470" s="26">
        <f>Таблица2[[#This Row],[Сумма перевода Долл/Евро]]*Таблица2[[#This Row],[Курс ДОЛЛ перевод]]+Таблица2[[#This Row],[Сумма за перевод руб]]</f>
        <v>17265.649484536145</v>
      </c>
      <c r="AB47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70" s="9"/>
      <c r="AD470" s="41"/>
    </row>
    <row r="471" spans="1:30" x14ac:dyDescent="0.25">
      <c r="A471" s="6">
        <v>44719</v>
      </c>
      <c r="B471" s="2" t="s">
        <v>81</v>
      </c>
      <c r="C471" s="2" t="s">
        <v>82</v>
      </c>
      <c r="D471" s="1" t="s">
        <v>747</v>
      </c>
      <c r="E471" s="1"/>
      <c r="F471" s="3"/>
      <c r="G471" s="5">
        <v>2103</v>
      </c>
      <c r="H471" s="2"/>
      <c r="I471" s="2">
        <v>62.2</v>
      </c>
      <c r="J471" s="2"/>
      <c r="K471" s="2">
        <v>80</v>
      </c>
      <c r="L471" s="2"/>
      <c r="M471" s="26">
        <f>Таблица2[[#This Row],[Сумма Долл]]*Таблица2[[#This Row],[Курс ДОЛЛ]]</f>
        <v>130806.6</v>
      </c>
      <c r="N47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135782.6</v>
      </c>
      <c r="O47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2208.75758588898</v>
      </c>
      <c r="P47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4737.7440000000006</v>
      </c>
      <c r="Q471" s="30">
        <v>135782.6</v>
      </c>
      <c r="R471" s="12">
        <f>Таблица2[[#This Row],[Сумма в руб]]-Таблица2[[#This Row],[Оплата от клиента]]</f>
        <v>0</v>
      </c>
      <c r="S471" s="32">
        <v>44720</v>
      </c>
      <c r="T471" s="32" t="s">
        <v>720</v>
      </c>
      <c r="U471" s="24" t="s">
        <v>375</v>
      </c>
      <c r="V471" s="2"/>
      <c r="W471" s="28">
        <v>59.221800000000002</v>
      </c>
      <c r="X471" s="9">
        <v>2063</v>
      </c>
      <c r="Y471" s="16"/>
      <c r="Z471" s="10">
        <v>44721</v>
      </c>
      <c r="AA471" s="26">
        <f>Таблица2[[#This Row],[Сумма перевода Долл/Евро]]*Таблица2[[#This Row],[Курс ДОЛЛ перевод]]+Таблица2[[#This Row],[Сумма за перевод руб]]</f>
        <v>126912.31740000001</v>
      </c>
      <c r="AB47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145.75758588897997</v>
      </c>
      <c r="AC471" s="9"/>
      <c r="AD471" s="41"/>
    </row>
    <row r="472" spans="1:30" ht="45" x14ac:dyDescent="0.25">
      <c r="A472" s="6">
        <v>44719</v>
      </c>
      <c r="B472" s="38" t="s">
        <v>726</v>
      </c>
      <c r="C472" s="38" t="s">
        <v>203</v>
      </c>
      <c r="D472" s="1" t="s">
        <v>748</v>
      </c>
      <c r="E472" s="1"/>
      <c r="F472" s="3">
        <v>5544</v>
      </c>
      <c r="G472" s="5"/>
      <c r="H472" s="2">
        <v>9.4499999999999993</v>
      </c>
      <c r="I472" s="2">
        <v>61.4</v>
      </c>
      <c r="J472" s="2"/>
      <c r="K472" s="2">
        <v>80</v>
      </c>
      <c r="L472" s="2"/>
      <c r="M472" s="26">
        <f>Таблица2[[#This Row],[Сумма ЮА]]*Таблица2[[#This Row],[Курс ЮА]]</f>
        <v>52390.799999999996</v>
      </c>
      <c r="N472" s="24">
        <f>Таблица2[[#This Row],[Сумма ЮА]]*Таблица2[[#This Row],[Курс ЮА]]+Таблица2[[#This Row],[Долл за перевод]]*Таблица2[[#This Row],[Курс ДОЛЛ]]</f>
        <v>57302.799999999996</v>
      </c>
      <c r="O47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853.27035830618888</v>
      </c>
      <c r="P47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4912</v>
      </c>
      <c r="Q472" s="30">
        <v>57302.8</v>
      </c>
      <c r="R472" s="12">
        <f>Таблица2[[#This Row],[Сумма в руб]]-Таблица2[[#This Row],[Оплата от клиента]]</f>
        <v>0</v>
      </c>
      <c r="S472" s="32">
        <v>44720</v>
      </c>
      <c r="T472" s="32" t="s">
        <v>107</v>
      </c>
      <c r="U472" s="24" t="s">
        <v>31</v>
      </c>
      <c r="V472" s="2"/>
      <c r="W472" s="28"/>
      <c r="X472" s="9"/>
      <c r="Y472" s="16">
        <v>5544</v>
      </c>
      <c r="Z472" s="10">
        <v>44721</v>
      </c>
      <c r="AA472" s="26">
        <f>Таблица2[[#This Row],[Сумма перевода Долл/Евро]]*Таблица2[[#This Row],[Курс ДОЛЛ перевод]]+Таблица2[[#This Row],[Сумма за перевод руб]]</f>
        <v>4912</v>
      </c>
      <c r="AB47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72" s="9"/>
      <c r="AD472" s="41"/>
    </row>
    <row r="473" spans="1:30" ht="30" x14ac:dyDescent="0.25">
      <c r="A473" s="6">
        <v>44719</v>
      </c>
      <c r="B473" s="2" t="s">
        <v>55</v>
      </c>
      <c r="C473" s="2" t="s">
        <v>595</v>
      </c>
      <c r="D473" s="1" t="s">
        <v>749</v>
      </c>
      <c r="E473" s="1"/>
      <c r="F473" s="3"/>
      <c r="G473" s="5">
        <v>4130</v>
      </c>
      <c r="H473" s="2"/>
      <c r="I473" s="2">
        <v>61.4</v>
      </c>
      <c r="J473" s="2">
        <v>0.97</v>
      </c>
      <c r="K473" s="2"/>
      <c r="L473" s="2"/>
      <c r="M473" s="26">
        <f>Таблица2[[#This Row],[Сумма Долл]]*Таблица2[[#This Row],[Курс ДОЛЛ]]</f>
        <v>253582</v>
      </c>
      <c r="N47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261424.74226804124</v>
      </c>
      <c r="O47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4700.0537504865342</v>
      </c>
      <c r="P47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7842.7422680412419</v>
      </c>
      <c r="Q473" s="30">
        <v>261424.74</v>
      </c>
      <c r="R473" s="12">
        <f>Таблица2[[#This Row],[Сумма в руб]]-Таблица2[[#This Row],[Оплата от клиента]]</f>
        <v>2.2680412512272596E-3</v>
      </c>
      <c r="S473" s="32">
        <v>44734</v>
      </c>
      <c r="T473" s="32" t="s">
        <v>164</v>
      </c>
      <c r="U473" s="24" t="s">
        <v>31</v>
      </c>
      <c r="V473" s="2"/>
      <c r="W473" s="28">
        <v>53.953000000000003</v>
      </c>
      <c r="X473" s="9">
        <v>4130</v>
      </c>
      <c r="Y473" s="16"/>
      <c r="Z473" s="10">
        <v>44735</v>
      </c>
      <c r="AA473" s="26">
        <f>Таблица2[[#This Row],[Сумма перевода Долл/Евро]]*Таблица2[[#This Row],[Курс ДОЛЛ перевод]]+Таблица2[[#This Row],[Сумма за перевод руб]]</f>
        <v>230668.63226804126</v>
      </c>
      <c r="AB47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570.05375048653423</v>
      </c>
      <c r="AC473" s="9"/>
      <c r="AD473" s="41"/>
    </row>
    <row r="474" spans="1:30" x14ac:dyDescent="0.25">
      <c r="A474" s="6">
        <v>44720</v>
      </c>
      <c r="B474" s="2" t="s">
        <v>59</v>
      </c>
      <c r="C474" s="2" t="s">
        <v>435</v>
      </c>
      <c r="D474" s="4" t="s">
        <v>766</v>
      </c>
      <c r="E474" s="1"/>
      <c r="F474" s="3"/>
      <c r="G474" s="5"/>
      <c r="H474" s="2"/>
      <c r="I474" s="2"/>
      <c r="J474" s="2">
        <v>0.99</v>
      </c>
      <c r="K474" s="2"/>
      <c r="L474" s="2"/>
      <c r="M474" s="26">
        <f>Таблица2[[#This Row],[Сумма Долл]]*Таблица2[[#This Row],[Курс ДОЛЛ]]</f>
        <v>0</v>
      </c>
      <c r="N474" s="24">
        <v>750000</v>
      </c>
      <c r="O47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474" s="12">
        <f>Таблица2[[#This Row],[Оплата от клиента]]-Таблица2[[#This Row],[Оплата от клиента]]*Таблица2[[#This Row],[% за перевод]]</f>
        <v>7500</v>
      </c>
      <c r="Q474" s="30">
        <v>750000</v>
      </c>
      <c r="R474" s="12">
        <f>Таблица2[[#This Row],[Сумма в руб]]-Таблица2[[#This Row],[Оплата от клиента]]</f>
        <v>0</v>
      </c>
      <c r="S474" s="32">
        <v>44720</v>
      </c>
      <c r="T474" s="32" t="s">
        <v>164</v>
      </c>
      <c r="U474" s="24" t="s">
        <v>31</v>
      </c>
      <c r="V474" s="2"/>
      <c r="W474" s="28">
        <v>60.013100000000001</v>
      </c>
      <c r="X474" s="9">
        <v>12372.29</v>
      </c>
      <c r="Y474" s="16"/>
      <c r="Z474" s="10">
        <v>44720</v>
      </c>
      <c r="AA474" s="26">
        <f>Таблица2[[#This Row],[Сумма перевода Долл/Евро]]*Таблица2[[#This Row],[Курс ДОЛЛ перевод]]+Таблица2[[#This Row],[Сумма за перевод руб]]</f>
        <v>749999.47699900006</v>
      </c>
      <c r="AB47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-12372.29</v>
      </c>
      <c r="AC474" s="9"/>
      <c r="AD474" s="41"/>
    </row>
    <row r="475" spans="1:30" ht="30" x14ac:dyDescent="0.25">
      <c r="A475" s="6">
        <v>44720</v>
      </c>
      <c r="B475" s="38" t="s">
        <v>483</v>
      </c>
      <c r="C475" s="38" t="s">
        <v>484</v>
      </c>
      <c r="D475" s="1" t="s">
        <v>750</v>
      </c>
      <c r="E475" s="1"/>
      <c r="F475" s="3">
        <v>21900</v>
      </c>
      <c r="G475" s="5"/>
      <c r="H475" s="2">
        <v>8.91</v>
      </c>
      <c r="I475" s="2"/>
      <c r="J475" s="2">
        <v>0.9</v>
      </c>
      <c r="K475" s="2"/>
      <c r="L475" s="2"/>
      <c r="M475" s="26">
        <f>Таблица2[[#This Row],[Сумма ЮА]]*Таблица2[[#This Row],[Курс ЮА]]</f>
        <v>195129</v>
      </c>
      <c r="N475" s="24">
        <f>Таблица2[[#This Row],[Сумма ЮА]]*Таблица2[[#This Row],[Курс ЮА]]/Таблица2[[#This Row],[% за перевод]]</f>
        <v>216810</v>
      </c>
      <c r="O47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3383.0925990460782</v>
      </c>
      <c r="P47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21681</v>
      </c>
      <c r="Q475" s="30">
        <v>216810</v>
      </c>
      <c r="R475" s="12">
        <f>Таблица2[[#This Row],[Сумма в руб]]-Таблица2[[#This Row],[Оплата от клиента]]</f>
        <v>0</v>
      </c>
      <c r="S475" s="32">
        <v>44728</v>
      </c>
      <c r="T475" s="32" t="s">
        <v>720</v>
      </c>
      <c r="U475" s="24" t="s">
        <v>31</v>
      </c>
      <c r="V475" s="2"/>
      <c r="W475" s="28">
        <v>57.677700000000002</v>
      </c>
      <c r="X475" s="9">
        <v>3524.05</v>
      </c>
      <c r="Y475" s="16">
        <v>21900</v>
      </c>
      <c r="Z475" s="2"/>
      <c r="AA475" s="26">
        <f>Таблица2[[#This Row],[Сумма перевода Долл/Евро]]*Таблица2[[#This Row],[Курс ДОЛЛ перевод]]+Таблица2[[#This Row],[Сумма за перевод руб]]</f>
        <v>224940.098685</v>
      </c>
      <c r="AB47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75" s="9"/>
      <c r="AD475" s="41"/>
    </row>
    <row r="476" spans="1:30" ht="45" x14ac:dyDescent="0.25">
      <c r="A476" s="6">
        <v>44721</v>
      </c>
      <c r="B476" s="38" t="s">
        <v>726</v>
      </c>
      <c r="C476" s="38" t="s">
        <v>203</v>
      </c>
      <c r="D476" s="1" t="s">
        <v>754</v>
      </c>
      <c r="E476" s="1"/>
      <c r="F476" s="8">
        <v>2691</v>
      </c>
      <c r="G476" s="5"/>
      <c r="H476" s="2">
        <v>9.2799999999999994</v>
      </c>
      <c r="I476" s="2">
        <v>59.1</v>
      </c>
      <c r="J476" s="2"/>
      <c r="K476" s="2">
        <v>80</v>
      </c>
      <c r="L476" s="2"/>
      <c r="M476" s="26">
        <f>Таблица2[[#This Row],[Сумма ЮА]]*Таблица2[[#This Row],[Курс ЮА]]</f>
        <v>24972.48</v>
      </c>
      <c r="N476" s="24">
        <f>Таблица2[[#This Row],[Сумма ЮА]]*Таблица2[[#This Row],[Курс ЮА]]+Таблица2[[#This Row],[Долл за перевод]]*Таблица2[[#This Row],[Курс ДОЛЛ]]</f>
        <v>29700.48</v>
      </c>
      <c r="O47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422.54619289340098</v>
      </c>
      <c r="P47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4728</v>
      </c>
      <c r="Q476" s="30">
        <v>29700.48</v>
      </c>
      <c r="R476" s="12">
        <f>Таблица2[[#This Row],[Сумма в руб]]-Таблица2[[#This Row],[Оплата от клиента]]</f>
        <v>0</v>
      </c>
      <c r="S476" s="32">
        <v>44722</v>
      </c>
      <c r="T476" s="32" t="s">
        <v>107</v>
      </c>
      <c r="U476" s="24" t="s">
        <v>31</v>
      </c>
      <c r="V476" s="2"/>
      <c r="W476" s="28"/>
      <c r="X476" s="9"/>
      <c r="Y476" s="16">
        <v>2691</v>
      </c>
      <c r="Z476" s="10">
        <v>44722</v>
      </c>
      <c r="AA476" s="26">
        <f>Таблица2[[#This Row],[Сумма перевода Долл/Евро]]*Таблица2[[#This Row],[Курс ДОЛЛ перевод]]+Таблица2[[#This Row],[Сумма за перевод руб]]</f>
        <v>4728</v>
      </c>
      <c r="AB47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76" s="9"/>
      <c r="AD476" s="41"/>
    </row>
    <row r="477" spans="1:30" x14ac:dyDescent="0.25">
      <c r="A477" s="6">
        <v>44721</v>
      </c>
      <c r="B477" s="38" t="s">
        <v>755</v>
      </c>
      <c r="C477" s="38" t="s">
        <v>354</v>
      </c>
      <c r="D477" s="1" t="s">
        <v>756</v>
      </c>
      <c r="E477" s="1"/>
      <c r="F477" s="8">
        <v>23145</v>
      </c>
      <c r="G477" s="5"/>
      <c r="H477" s="2">
        <v>9.2799999999999994</v>
      </c>
      <c r="I477" s="2"/>
      <c r="J477" s="2">
        <v>0.97</v>
      </c>
      <c r="K477" s="2"/>
      <c r="L477" s="2"/>
      <c r="M477" s="26">
        <f>Таблица2[[#This Row],[Сумма ЮА]]*Таблица2[[#This Row],[Курс ЮА]]</f>
        <v>214785.59999999998</v>
      </c>
      <c r="N477" s="24">
        <f>Таблица2[[#This Row],[Сумма ЮА]]*Таблица2[[#This Row],[Курс ЮА]]/Таблица2[[#This Row],[% за перевод]]</f>
        <v>221428.45360824739</v>
      </c>
      <c r="O47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7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6642.8536082474166</v>
      </c>
      <c r="Q477" s="30">
        <v>221428.45</v>
      </c>
      <c r="R477" s="12">
        <f>Таблица2[[#This Row],[Сумма в руб]]-Таблица2[[#This Row],[Оплата от клиента]]</f>
        <v>3.6082473816350102E-3</v>
      </c>
      <c r="S477" s="32">
        <v>44722</v>
      </c>
      <c r="T477" s="32" t="s">
        <v>107</v>
      </c>
      <c r="U477" s="24" t="s">
        <v>31</v>
      </c>
      <c r="V477" s="2"/>
      <c r="W477" s="28"/>
      <c r="X477" s="9"/>
      <c r="Y477" s="16">
        <v>23145</v>
      </c>
      <c r="Z477" s="10">
        <v>44722</v>
      </c>
      <c r="AA477" s="26">
        <f>Таблица2[[#This Row],[Сумма перевода Долл/Евро]]*Таблица2[[#This Row],[Курс ДОЛЛ перевод]]+Таблица2[[#This Row],[Сумма за перевод руб]]</f>
        <v>6642.8536082474166</v>
      </c>
      <c r="AB47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77" s="9"/>
      <c r="AD477" s="41"/>
    </row>
    <row r="478" spans="1:30" x14ac:dyDescent="0.25">
      <c r="A478" s="6">
        <v>44721</v>
      </c>
      <c r="B478" s="38" t="s">
        <v>32</v>
      </c>
      <c r="C478" s="38" t="s">
        <v>33</v>
      </c>
      <c r="D478" s="1" t="s">
        <v>757</v>
      </c>
      <c r="E478" s="1"/>
      <c r="F478" s="8">
        <v>14780</v>
      </c>
      <c r="G478" s="5"/>
      <c r="H478" s="2">
        <v>9.34</v>
      </c>
      <c r="I478" s="2"/>
      <c r="J478" s="2">
        <v>0.97</v>
      </c>
      <c r="K478" s="2"/>
      <c r="L478" s="2"/>
      <c r="M478" s="26">
        <f>Таблица2[[#This Row],[Сумма ЮА]]*Таблица2[[#This Row],[Курс ЮА]]</f>
        <v>138045.20000000001</v>
      </c>
      <c r="N478" s="24">
        <f>Таблица2[[#This Row],[Сумма ЮА]]*Таблица2[[#This Row],[Курс ЮА]]/Таблица2[[#This Row],[% за перевод]]</f>
        <v>142314.63917525776</v>
      </c>
      <c r="O47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7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4269.4391752577503</v>
      </c>
      <c r="Q478" s="30">
        <v>142314.64000000001</v>
      </c>
      <c r="R478" s="12">
        <f>Таблица2[[#This Row],[Сумма в руб]]-Таблица2[[#This Row],[Оплата от клиента]]</f>
        <v>-8.2474225200712681E-4</v>
      </c>
      <c r="S478" s="32">
        <v>44721</v>
      </c>
      <c r="T478" s="32" t="s">
        <v>107</v>
      </c>
      <c r="U478" s="24" t="s">
        <v>31</v>
      </c>
      <c r="V478" s="2"/>
      <c r="W478" s="28"/>
      <c r="X478" s="9"/>
      <c r="Y478" s="16">
        <v>14780</v>
      </c>
      <c r="Z478" s="10">
        <v>44722</v>
      </c>
      <c r="AA478" s="26">
        <f>Таблица2[[#This Row],[Сумма перевода Долл/Евро]]*Таблица2[[#This Row],[Курс ДОЛЛ перевод]]+Таблица2[[#This Row],[Сумма за перевод руб]]</f>
        <v>4269.4391752577503</v>
      </c>
      <c r="AB47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78" s="9"/>
      <c r="AD478" s="41"/>
    </row>
    <row r="479" spans="1:30" ht="30" x14ac:dyDescent="0.25">
      <c r="A479" s="6">
        <v>44722</v>
      </c>
      <c r="B479" s="38" t="s">
        <v>500</v>
      </c>
      <c r="C479" s="38" t="s">
        <v>504</v>
      </c>
      <c r="D479" s="1" t="s">
        <v>750</v>
      </c>
      <c r="E479" s="1"/>
      <c r="F479" s="3">
        <v>101700</v>
      </c>
      <c r="G479" s="5"/>
      <c r="H479" s="2">
        <v>9.43</v>
      </c>
      <c r="I479" s="2"/>
      <c r="J479" s="2">
        <v>0.9</v>
      </c>
      <c r="K479" s="2"/>
      <c r="L479" s="2"/>
      <c r="M479" s="26">
        <f>Таблица2[[#This Row],[Сумма ЮА]]*Таблица2[[#This Row],[Курс ЮА]]</f>
        <v>959031</v>
      </c>
      <c r="N479" s="24">
        <f>Таблица2[[#This Row],[Сумма ЮА]]*Таблица2[[#This Row],[Курс ЮА]]/Таблица2[[#This Row],[% за перевод]]</f>
        <v>1065590</v>
      </c>
      <c r="O47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16628.134796238246</v>
      </c>
      <c r="P47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106559</v>
      </c>
      <c r="Q479" s="30">
        <v>1065590</v>
      </c>
      <c r="R479" s="12">
        <f>Таблица2[[#This Row],[Сумма в руб]]-Таблица2[[#This Row],[Оплата от клиента]]</f>
        <v>0</v>
      </c>
      <c r="S479" s="32">
        <v>44722</v>
      </c>
      <c r="T479" s="32" t="s">
        <v>720</v>
      </c>
      <c r="U479" s="24" t="s">
        <v>31</v>
      </c>
      <c r="V479" s="2"/>
      <c r="W479" s="28">
        <v>57.675199999999997</v>
      </c>
      <c r="X479" s="9">
        <v>16628.13</v>
      </c>
      <c r="Y479" s="16">
        <v>10700</v>
      </c>
      <c r="Z479" s="2"/>
      <c r="AA479" s="26">
        <f>Таблица2[[#This Row],[Сумма перевода Долл/Евро]]*Таблица2[[#This Row],[Курс ДОЛЛ перевод]]+Таблица2[[#This Row],[Сумма за перевод руб]]</f>
        <v>1065589.7233759998</v>
      </c>
      <c r="AB47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79" s="9"/>
      <c r="AD479" s="41"/>
    </row>
    <row r="480" spans="1:30" ht="45" x14ac:dyDescent="0.25">
      <c r="A480" s="6">
        <v>44722</v>
      </c>
      <c r="B480" s="38" t="s">
        <v>173</v>
      </c>
      <c r="C480" s="38" t="s">
        <v>315</v>
      </c>
      <c r="D480" s="1" t="s">
        <v>758</v>
      </c>
      <c r="E480" s="1"/>
      <c r="F480" s="3">
        <v>25086</v>
      </c>
      <c r="G480" s="5"/>
      <c r="H480" s="2">
        <v>9.31</v>
      </c>
      <c r="I480" s="2"/>
      <c r="J480" s="2">
        <v>0.97</v>
      </c>
      <c r="K480" s="2"/>
      <c r="L480" s="2"/>
      <c r="M480" s="26">
        <f>Таблица2[[#This Row],[Сумма ЮА]]*Таблица2[[#This Row],[Курс ЮА]]</f>
        <v>233550.66</v>
      </c>
      <c r="N480" s="24">
        <f>Таблица2[[#This Row],[Сумма ЮА]]*Таблица2[[#This Row],[Курс ЮА]]/Таблица2[[#This Row],[% за перевод]]</f>
        <v>240773.87628865981</v>
      </c>
      <c r="O48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8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7223.2162886598089</v>
      </c>
      <c r="Q480" s="30">
        <v>240773.88</v>
      </c>
      <c r="R480" s="12">
        <f>Таблица2[[#This Row],[Сумма в руб]]-Таблица2[[#This Row],[Оплата от клиента]]</f>
        <v>-3.7113401922397316E-3</v>
      </c>
      <c r="S480" s="32">
        <v>44732</v>
      </c>
      <c r="T480" s="32" t="s">
        <v>107</v>
      </c>
      <c r="U480" s="24" t="s">
        <v>31</v>
      </c>
      <c r="V480" s="2">
        <v>8.52</v>
      </c>
      <c r="W480" s="28"/>
      <c r="X480" s="9"/>
      <c r="Y480" s="16">
        <v>25086</v>
      </c>
      <c r="Z480" s="10">
        <v>44732</v>
      </c>
      <c r="AA480" s="26">
        <f>Таблица2[[#This Row],[Сумма перевода Долл/Евро]]*Таблица2[[#This Row],[Курс ДОЛЛ перевод]]+Таблица2[[#This Row],[Сумма за перевод руб]]</f>
        <v>7223.2162886598089</v>
      </c>
      <c r="AB48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80" s="9"/>
      <c r="AD480" s="41"/>
    </row>
    <row r="481" spans="1:30" ht="30" x14ac:dyDescent="0.25">
      <c r="A481" s="6">
        <v>44722</v>
      </c>
      <c r="B481" s="38" t="s">
        <v>337</v>
      </c>
      <c r="C481" s="38" t="s">
        <v>338</v>
      </c>
      <c r="D481" s="1" t="s">
        <v>759</v>
      </c>
      <c r="E481" s="1"/>
      <c r="F481" s="3">
        <v>10606</v>
      </c>
      <c r="G481" s="5"/>
      <c r="H481" s="2">
        <v>9.01</v>
      </c>
      <c r="I481" s="2">
        <v>59.2</v>
      </c>
      <c r="J481" s="2"/>
      <c r="K481" s="2">
        <v>80</v>
      </c>
      <c r="L481" s="2"/>
      <c r="M481" s="26">
        <f>Таблица2[[#This Row],[Сумма ЮА]]*Таблица2[[#This Row],[Курс ЮА]]</f>
        <v>95560.06</v>
      </c>
      <c r="N481" s="24">
        <f>Таблица2[[#This Row],[Сумма ЮА]]*Таблица2[[#This Row],[Курс ЮА]]+Таблица2[[#This Row],[Долл за перевод]]*Таблица2[[#This Row],[Курс ДОЛЛ]]</f>
        <v>100296.06</v>
      </c>
      <c r="O48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1614.1902027027027</v>
      </c>
      <c r="P48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4736</v>
      </c>
      <c r="Q481" s="30">
        <v>100296.06</v>
      </c>
      <c r="R481" s="12">
        <f>Таблица2[[#This Row],[Сумма в руб]]-Таблица2[[#This Row],[Оплата от клиента]]</f>
        <v>0</v>
      </c>
      <c r="S481" s="32">
        <v>44722</v>
      </c>
      <c r="T481" s="32" t="s">
        <v>720</v>
      </c>
      <c r="U481" s="24" t="s">
        <v>31</v>
      </c>
      <c r="V481" s="2"/>
      <c r="W481" s="28"/>
      <c r="X481" s="9"/>
      <c r="Y481" s="16">
        <v>10606</v>
      </c>
      <c r="Z481" s="2"/>
      <c r="AA481" s="26">
        <f>Таблица2[[#This Row],[Сумма перевода Долл/Евро]]*Таблица2[[#This Row],[Курс ДОЛЛ перевод]]+Таблица2[[#This Row],[Сумма за перевод руб]]</f>
        <v>4736</v>
      </c>
      <c r="AB48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81" s="9"/>
      <c r="AD481" s="41"/>
    </row>
    <row r="482" spans="1:30" ht="75" x14ac:dyDescent="0.25">
      <c r="A482" s="6">
        <v>44722</v>
      </c>
      <c r="B482" s="2" t="s">
        <v>61</v>
      </c>
      <c r="C482" s="2" t="s">
        <v>461</v>
      </c>
      <c r="D482" s="1" t="s">
        <v>760</v>
      </c>
      <c r="E482" s="1"/>
      <c r="F482" s="3"/>
      <c r="G482" s="5">
        <v>8422.2999999999993</v>
      </c>
      <c r="H482" s="2"/>
      <c r="I482" s="2">
        <v>58.1</v>
      </c>
      <c r="J482" s="2">
        <v>0.97</v>
      </c>
      <c r="K482" s="2"/>
      <c r="L482" s="2"/>
      <c r="M482" s="26">
        <f>Таблица2[[#This Row],[Сумма Долл]]*Таблица2[[#This Row],[Курс ДОЛЛ]]</f>
        <v>489335.62999999995</v>
      </c>
      <c r="N48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504469.72164948448</v>
      </c>
      <c r="O48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8394.6741532169508</v>
      </c>
      <c r="P48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15134.09164948453</v>
      </c>
      <c r="Q482" s="30">
        <v>504469.72</v>
      </c>
      <c r="R482" s="12">
        <f>Таблица2[[#This Row],[Сумма в руб]]-Таблица2[[#This Row],[Оплата от клиента]]</f>
        <v>1.6494845040142536E-3</v>
      </c>
      <c r="S482" s="32">
        <v>44726</v>
      </c>
      <c r="T482" s="32" t="s">
        <v>164</v>
      </c>
      <c r="U482" s="24" t="s">
        <v>31</v>
      </c>
      <c r="V482" s="2"/>
      <c r="W482" s="28">
        <v>58.291200000000003</v>
      </c>
      <c r="X482" s="9">
        <v>8422.2999999999993</v>
      </c>
      <c r="Y482" s="16"/>
      <c r="Z482" s="10">
        <v>44726</v>
      </c>
      <c r="AA482" s="26">
        <f>Таблица2[[#This Row],[Сумма перевода Долл/Евро]]*Таблица2[[#This Row],[Курс ДОЛЛ перевод]]+Таблица2[[#This Row],[Сумма за перевод руб]]</f>
        <v>506080.06540948449</v>
      </c>
      <c r="AB48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-27.625846783048473</v>
      </c>
      <c r="AC482" s="9"/>
      <c r="AD482" s="41"/>
    </row>
    <row r="483" spans="1:30" x14ac:dyDescent="0.25">
      <c r="A483" s="6">
        <v>44726</v>
      </c>
      <c r="B483" s="38" t="s">
        <v>72</v>
      </c>
      <c r="C483" s="38" t="s">
        <v>73</v>
      </c>
      <c r="D483" s="1"/>
      <c r="E483" s="1"/>
      <c r="F483" s="3">
        <v>300000</v>
      </c>
      <c r="G483" s="5"/>
      <c r="H483" s="2">
        <v>9.2100000000000009</v>
      </c>
      <c r="I483" s="2"/>
      <c r="J483" s="2">
        <v>0.9</v>
      </c>
      <c r="K483" s="2"/>
      <c r="L483" s="2"/>
      <c r="M483" s="26">
        <f>Таблица2[[#This Row],[Сумма ЮА]]*Таблица2[[#This Row],[Курс ЮА]]</f>
        <v>2763000.0000000005</v>
      </c>
      <c r="N483" s="24">
        <f>Таблица2[[#This Row],[Сумма ЮА]]*Таблица2[[#This Row],[Курс ЮА]]/Таблица2[[#This Row],[% за перевод]]</f>
        <v>3070000.0000000005</v>
      </c>
      <c r="O48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48993.618239882555</v>
      </c>
      <c r="P48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307000</v>
      </c>
      <c r="Q483" s="30">
        <v>3070000</v>
      </c>
      <c r="R483" s="12">
        <f>Таблица2[[#This Row],[Сумма в руб]]-Таблица2[[#This Row],[Оплата от клиента]]</f>
        <v>0</v>
      </c>
      <c r="S483" s="32">
        <v>44727</v>
      </c>
      <c r="T483" s="32" t="s">
        <v>720</v>
      </c>
      <c r="U483" s="24" t="s">
        <v>31</v>
      </c>
      <c r="V483" s="2"/>
      <c r="W483" s="28">
        <v>56.395099999999999</v>
      </c>
      <c r="X483" s="9">
        <v>45289.855072463768</v>
      </c>
      <c r="Y483" s="16">
        <v>300000</v>
      </c>
      <c r="Z483" s="2"/>
      <c r="AA483" s="26">
        <f>Таблица2[[#This Row],[Сумма перевода Долл/Евро]]*Таблица2[[#This Row],[Курс ДОЛЛ перевод]]+Таблица2[[#This Row],[Сумма за перевод руб]]</f>
        <v>2861125.9057971016</v>
      </c>
      <c r="AB48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83" s="9"/>
      <c r="AD483" s="41"/>
    </row>
    <row r="484" spans="1:30" x14ac:dyDescent="0.25">
      <c r="A484" s="6">
        <v>44726</v>
      </c>
      <c r="B484" s="38" t="s">
        <v>762</v>
      </c>
      <c r="C484" s="38" t="s">
        <v>761</v>
      </c>
      <c r="D484" s="1"/>
      <c r="E484" s="1"/>
      <c r="F484" s="3">
        <v>13650</v>
      </c>
      <c r="G484" s="5"/>
      <c r="H484" s="2">
        <v>8.7899999999999991</v>
      </c>
      <c r="I484" s="2"/>
      <c r="J484" s="2">
        <v>0.99</v>
      </c>
      <c r="K484" s="2"/>
      <c r="L484" s="2"/>
      <c r="M484" s="26">
        <f>Таблица2[[#This Row],[Сумма ЮА]]*Таблица2[[#This Row],[Курс ЮА]]</f>
        <v>119983.49999999999</v>
      </c>
      <c r="N484" s="24">
        <f>Таблица2[[#This Row],[Сумма ЮА]]*Таблица2[[#This Row],[Курс ЮА]]/Таблица2[[#This Row],[% за перевод]]</f>
        <v>121195.45454545453</v>
      </c>
      <c r="O48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8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1211.9545454545441</v>
      </c>
      <c r="Q484" s="30">
        <v>121195.45</v>
      </c>
      <c r="R484" s="12">
        <f>Таблица2[[#This Row],[Сумма в руб]]-Таблица2[[#This Row],[Оплата от клиента]]</f>
        <v>4.5454545324901119E-3</v>
      </c>
      <c r="S484" s="32">
        <v>44727</v>
      </c>
      <c r="T484" s="32" t="s">
        <v>107</v>
      </c>
      <c r="U484" s="24" t="s">
        <v>31</v>
      </c>
      <c r="V484" s="2">
        <v>8.5399999999999991</v>
      </c>
      <c r="W484" s="28"/>
      <c r="X484" s="9"/>
      <c r="Y484" s="16">
        <v>13650</v>
      </c>
      <c r="Z484" s="10">
        <v>44727</v>
      </c>
      <c r="AA484" s="26">
        <f>Таблица2[[#This Row],[Сумма перевода Долл/Евро]]*Таблица2[[#This Row],[Курс ДОЛЛ перевод]]+Таблица2[[#This Row],[Сумма за перевод руб]]</f>
        <v>1211.9545454545441</v>
      </c>
      <c r="AB48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84" s="9"/>
      <c r="AD484" s="41"/>
    </row>
    <row r="485" spans="1:30" x14ac:dyDescent="0.25">
      <c r="A485" s="6">
        <v>44727</v>
      </c>
      <c r="B485" s="38" t="s">
        <v>178</v>
      </c>
      <c r="C485" s="38" t="s">
        <v>179</v>
      </c>
      <c r="D485" s="1"/>
      <c r="E485" s="1"/>
      <c r="F485" s="3">
        <v>27640</v>
      </c>
      <c r="G485" s="5"/>
      <c r="H485" s="2">
        <v>9.2100000000000009</v>
      </c>
      <c r="I485" s="2"/>
      <c r="J485" s="2">
        <v>0.99</v>
      </c>
      <c r="K485" s="2"/>
      <c r="L485" s="2"/>
      <c r="M485" s="26">
        <f>Таблица2[[#This Row],[Сумма ЮА]]*Таблица2[[#This Row],[Курс ЮА]]</f>
        <v>254564.40000000002</v>
      </c>
      <c r="N485" s="24">
        <f>Таблица2[[#This Row],[Сумма ЮА]]*Таблица2[[#This Row],[Курс ЮА]]/Таблица2[[#This Row],[% за перевод]]</f>
        <v>257135.7575757576</v>
      </c>
      <c r="O48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8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2571.3575757575745</v>
      </c>
      <c r="Q485" s="30">
        <v>200000</v>
      </c>
      <c r="R485" s="12">
        <f>Таблица2[[#This Row],[Сумма в руб]]-Таблица2[[#This Row],[Оплата от клиента]]</f>
        <v>57135.757575757598</v>
      </c>
      <c r="S485" s="32">
        <v>44727</v>
      </c>
      <c r="T485" s="32" t="s">
        <v>107</v>
      </c>
      <c r="U485" s="24" t="s">
        <v>31</v>
      </c>
      <c r="V485" s="2">
        <v>8.57</v>
      </c>
      <c r="W485" s="28"/>
      <c r="X485" s="9"/>
      <c r="Y485" s="16">
        <v>27640</v>
      </c>
      <c r="Z485" s="10">
        <v>44755</v>
      </c>
      <c r="AA485" s="26">
        <f>Таблица2[[#This Row],[Сумма перевода Долл/Евро]]*Таблица2[[#This Row],[Курс ДОЛЛ перевод]]+Таблица2[[#This Row],[Сумма за перевод руб]]</f>
        <v>2571.3575757575745</v>
      </c>
      <c r="AB48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85" s="9"/>
      <c r="AD485" s="41"/>
    </row>
    <row r="486" spans="1:30" x14ac:dyDescent="0.25">
      <c r="A486" s="6">
        <v>44727</v>
      </c>
      <c r="B486" s="38" t="s">
        <v>483</v>
      </c>
      <c r="C486" s="38" t="s">
        <v>484</v>
      </c>
      <c r="D486" s="1"/>
      <c r="E486" s="1"/>
      <c r="F486" s="3">
        <v>22631</v>
      </c>
      <c r="G486" s="5"/>
      <c r="H486" s="2">
        <v>8.91</v>
      </c>
      <c r="I486" s="2"/>
      <c r="J486" s="2">
        <v>0.9</v>
      </c>
      <c r="K486" s="2"/>
      <c r="L486" s="2"/>
      <c r="M486" s="26">
        <f>Таблица2[[#This Row],[Сумма ЮА]]*Таблица2[[#This Row],[Курс ЮА]]</f>
        <v>201642.21</v>
      </c>
      <c r="N486" s="24">
        <f>Таблица2[[#This Row],[Сумма ЮА]]*Таблица2[[#This Row],[Курс ЮА]]/Таблица2[[#This Row],[% за перевод]]</f>
        <v>224046.9</v>
      </c>
      <c r="O48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3496.0168314617258</v>
      </c>
      <c r="P48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22404.690000000002</v>
      </c>
      <c r="Q486" s="30">
        <v>224046.9</v>
      </c>
      <c r="R486" s="12">
        <f>Таблица2[[#This Row],[Сумма в руб]]-Таблица2[[#This Row],[Оплата от клиента]]</f>
        <v>0</v>
      </c>
      <c r="S486" s="32">
        <v>44728</v>
      </c>
      <c r="T486" s="32" t="s">
        <v>720</v>
      </c>
      <c r="U486" s="24" t="s">
        <v>31</v>
      </c>
      <c r="V486" s="2"/>
      <c r="W486" s="28">
        <v>57.677700000000002</v>
      </c>
      <c r="X486" s="9">
        <v>3641.68</v>
      </c>
      <c r="Y486" s="16">
        <v>22631</v>
      </c>
      <c r="Z486" s="2"/>
      <c r="AA486" s="26">
        <f>Таблица2[[#This Row],[Сумма перевода Долл/Евро]]*Таблица2[[#This Row],[Курс ДОЛЛ перевод]]+Таблица2[[#This Row],[Сумма за перевод руб]]</f>
        <v>232448.416536</v>
      </c>
      <c r="AB48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86" s="9"/>
      <c r="AD486" s="41"/>
    </row>
    <row r="487" spans="1:30" x14ac:dyDescent="0.25">
      <c r="A487" s="6">
        <v>44727</v>
      </c>
      <c r="B487" s="2" t="s">
        <v>55</v>
      </c>
      <c r="C487" s="2" t="s">
        <v>595</v>
      </c>
      <c r="D487" s="1"/>
      <c r="E487" s="1"/>
      <c r="F487" s="3"/>
      <c r="G487" s="5">
        <v>1567.8</v>
      </c>
      <c r="H487" s="2"/>
      <c r="I487" s="2">
        <v>58.1</v>
      </c>
      <c r="J487" s="2"/>
      <c r="K487" s="2">
        <v>80</v>
      </c>
      <c r="L487" s="2"/>
      <c r="M487" s="26">
        <f>Таблица2[[#This Row],[Сумма Долл]]*Таблица2[[#This Row],[Курс ДОЛЛ]]</f>
        <v>91089.18</v>
      </c>
      <c r="N48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95737.18</v>
      </c>
      <c r="O48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1567.8</v>
      </c>
      <c r="P48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4648</v>
      </c>
      <c r="Q487" s="30"/>
      <c r="R487" s="12">
        <f>Таблица2[[#This Row],[Сумма в руб]]-Таблица2[[#This Row],[Оплата от клиента]]</f>
        <v>95737.18</v>
      </c>
      <c r="S487" s="32"/>
      <c r="T487" s="32" t="s">
        <v>164</v>
      </c>
      <c r="U487" s="24"/>
      <c r="V487" s="2"/>
      <c r="W487" s="28"/>
      <c r="X487" s="9"/>
      <c r="Y487" s="16"/>
      <c r="Z487" s="2"/>
      <c r="AA487" s="26">
        <f>Таблица2[[#This Row],[Сумма перевода Долл/Евро]]*Таблица2[[#This Row],[Курс ДОЛЛ перевод]]+Таблица2[[#This Row],[Сумма за перевод руб]]</f>
        <v>4648</v>
      </c>
      <c r="AB48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1567.8</v>
      </c>
      <c r="AC487" s="9"/>
      <c r="AD487" s="41"/>
    </row>
    <row r="488" spans="1:30" x14ac:dyDescent="0.25">
      <c r="A488" s="6">
        <v>44728</v>
      </c>
      <c r="B488" s="38">
        <v>72334</v>
      </c>
      <c r="C488" s="38" t="s">
        <v>763</v>
      </c>
      <c r="D488" s="1"/>
      <c r="E488" s="1"/>
      <c r="F488" s="3">
        <v>4620</v>
      </c>
      <c r="G488" s="5"/>
      <c r="H488" s="2">
        <v>8.81</v>
      </c>
      <c r="I488" s="2">
        <v>57.9</v>
      </c>
      <c r="J488" s="2">
        <v>0.9</v>
      </c>
      <c r="K488" s="2">
        <v>80</v>
      </c>
      <c r="L488" s="2"/>
      <c r="M488" s="26">
        <f>Таблица2[[#This Row],[Сумма ЮА]]*Таблица2[[#This Row],[Курс ЮА]]</f>
        <v>40702.200000000004</v>
      </c>
      <c r="N488" s="24">
        <f>Таблица2[[#This Row],[Сумма ЮА]]*Таблица2[[#This Row],[Курс ЮА]]/Таблица2[[#This Row],[% за перевод]]+Таблица2[[#This Row],[Курс ДОЛЛ]]*Таблица2[[#This Row],[Долл за перевод]]</f>
        <v>49856.666666666672</v>
      </c>
      <c r="O48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702.97409326424884</v>
      </c>
      <c r="P488" s="12" t="b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488" s="30">
        <v>49856.67</v>
      </c>
      <c r="R488" s="12">
        <f>Таблица2[[#This Row],[Сумма в руб]]-Таблица2[[#This Row],[Оплата от клиента]]</f>
        <v>-3.3333333267364651E-3</v>
      </c>
      <c r="S488" s="32">
        <v>44728</v>
      </c>
      <c r="T488" s="32" t="s">
        <v>720</v>
      </c>
      <c r="U488" s="24" t="s">
        <v>31</v>
      </c>
      <c r="V488" s="2"/>
      <c r="W488" s="28"/>
      <c r="X488" s="9"/>
      <c r="Y488" s="16">
        <v>4620</v>
      </c>
      <c r="Z488" s="2"/>
      <c r="AA488" s="26">
        <f>Таблица2[[#This Row],[Сумма перевода Долл/Евро]]*Таблица2[[#This Row],[Курс ДОЛЛ перевод]]+Таблица2[[#This Row],[Сумма за перевод руб]]</f>
        <v>0</v>
      </c>
      <c r="AB48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88" s="9"/>
      <c r="AD488" s="41"/>
    </row>
    <row r="489" spans="1:30" ht="30" x14ac:dyDescent="0.25">
      <c r="A489" s="6">
        <v>44728</v>
      </c>
      <c r="B489" s="38" t="s">
        <v>57</v>
      </c>
      <c r="C489" s="38" t="s">
        <v>58</v>
      </c>
      <c r="D489" s="1" t="s">
        <v>183</v>
      </c>
      <c r="E489" s="1"/>
      <c r="F489" s="3">
        <v>80238.600000000006</v>
      </c>
      <c r="G489" s="5"/>
      <c r="H489" s="2">
        <v>8.81</v>
      </c>
      <c r="I489" s="2"/>
      <c r="J489" s="2">
        <v>0.97</v>
      </c>
      <c r="K489" s="2"/>
      <c r="L489" s="2"/>
      <c r="M489" s="26">
        <f>Таблица2[[#This Row],[Сумма ЮА]]*Таблица2[[#This Row],[Курс ЮА]]</f>
        <v>706902.06600000011</v>
      </c>
      <c r="N489" s="24">
        <f>Таблица2[[#This Row],[Сумма ЮА]]*Таблица2[[#This Row],[Курс ЮА]]/Таблица2[[#This Row],[% за перевод]]</f>
        <v>728765.01649484551</v>
      </c>
      <c r="O48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8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21862.950494845398</v>
      </c>
      <c r="Q489" s="30">
        <v>728765.02</v>
      </c>
      <c r="R489" s="12">
        <f>Таблица2[[#This Row],[Сумма в руб]]-Таблица2[[#This Row],[Оплата от клиента]]</f>
        <v>-3.505154512822628E-3</v>
      </c>
      <c r="S489" s="32">
        <v>44728</v>
      </c>
      <c r="T489" s="32" t="s">
        <v>107</v>
      </c>
      <c r="U489" s="24" t="s">
        <v>31</v>
      </c>
      <c r="V489" s="2">
        <v>8.5500000000000007</v>
      </c>
      <c r="W489" s="28"/>
      <c r="X489" s="9"/>
      <c r="Y489" s="16">
        <v>80238.600000000006</v>
      </c>
      <c r="Z489" s="10">
        <v>44728</v>
      </c>
      <c r="AA489" s="26">
        <f>Таблица2[[#This Row],[Сумма перевода Долл/Евро]]*Таблица2[[#This Row],[Курс ДОЛЛ перевод]]+Таблица2[[#This Row],[Сумма за перевод руб]]</f>
        <v>21862.950494845398</v>
      </c>
      <c r="AB48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89" s="9"/>
      <c r="AD489" s="41"/>
    </row>
    <row r="490" spans="1:30" x14ac:dyDescent="0.25">
      <c r="A490" s="6">
        <v>44729</v>
      </c>
      <c r="B490" s="38" t="s">
        <v>178</v>
      </c>
      <c r="C490" s="38" t="s">
        <v>179</v>
      </c>
      <c r="D490" s="1"/>
      <c r="E490" s="1"/>
      <c r="F490" s="3">
        <v>61796</v>
      </c>
      <c r="G490" s="5"/>
      <c r="H490" s="2">
        <v>8.7799999999999994</v>
      </c>
      <c r="I490" s="2"/>
      <c r="J490" s="2">
        <v>0.99</v>
      </c>
      <c r="K490" s="2"/>
      <c r="L490" s="2"/>
      <c r="M490" s="26">
        <f>Таблица2[[#This Row],[Сумма ЮА]]*Таблица2[[#This Row],[Курс ЮА]]</f>
        <v>542568.88</v>
      </c>
      <c r="N490" s="24">
        <f>Таблица2[[#This Row],[Сумма ЮА]]*Таблица2[[#This Row],[Курс ЮА]]/Таблица2[[#This Row],[% за перевод]]</f>
        <v>548049.37373737374</v>
      </c>
      <c r="O49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9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5480.4937373737339</v>
      </c>
      <c r="Q490" s="30">
        <v>543612.32999999996</v>
      </c>
      <c r="R490" s="12">
        <f>Таблица2[[#This Row],[Сумма в руб]]-Таблица2[[#This Row],[Оплата от клиента]]</f>
        <v>4437.0437373737805</v>
      </c>
      <c r="S490" s="32">
        <v>44729</v>
      </c>
      <c r="T490" s="32" t="s">
        <v>107</v>
      </c>
      <c r="U490" s="24" t="s">
        <v>31</v>
      </c>
      <c r="V490" s="2">
        <v>8.5500000000000007</v>
      </c>
      <c r="W490" s="28"/>
      <c r="X490" s="9"/>
      <c r="Y490" s="16">
        <v>61796</v>
      </c>
      <c r="Z490" s="10">
        <v>44729</v>
      </c>
      <c r="AA490" s="26">
        <f>Таблица2[[#This Row],[Сумма перевода Долл/Евро]]*Таблица2[[#This Row],[Курс ДОЛЛ перевод]]+Таблица2[[#This Row],[Сумма за перевод руб]]</f>
        <v>5480.4937373737339</v>
      </c>
      <c r="AB49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90" s="9"/>
      <c r="AD490" s="41"/>
    </row>
    <row r="491" spans="1:30" ht="30" x14ac:dyDescent="0.25">
      <c r="A491" s="60">
        <v>44729</v>
      </c>
      <c r="B491" s="2" t="s">
        <v>59</v>
      </c>
      <c r="C491" s="2" t="s">
        <v>435</v>
      </c>
      <c r="D491" s="1" t="s">
        <v>411</v>
      </c>
      <c r="E491" s="1"/>
      <c r="F491" s="3"/>
      <c r="G491" s="5">
        <v>1096</v>
      </c>
      <c r="H491" s="2"/>
      <c r="I491" s="2">
        <v>56.6</v>
      </c>
      <c r="J491" s="2">
        <v>0.99</v>
      </c>
      <c r="K491" s="2"/>
      <c r="L491" s="2"/>
      <c r="M491" s="26">
        <f>Таблица2[[#This Row],[Сумма Долл]]*Таблица2[[#This Row],[Курс ДОЛЛ]]</f>
        <v>62033.599999999999</v>
      </c>
      <c r="N49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62660.202020202021</v>
      </c>
      <c r="O49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1091.5182184810074</v>
      </c>
      <c r="P49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626.60202020202269</v>
      </c>
      <c r="Q491" s="30">
        <v>62660.2</v>
      </c>
      <c r="R491" s="12">
        <f>Таблица2[[#This Row],[Сумма в руб]]-Таблица2[[#This Row],[Оплата от клиента]]</f>
        <v>2.0202020241413265E-3</v>
      </c>
      <c r="S491" s="32">
        <v>44732</v>
      </c>
      <c r="T491" s="32" t="s">
        <v>164</v>
      </c>
      <c r="U491" s="24" t="s">
        <v>31</v>
      </c>
      <c r="V491" s="2"/>
      <c r="W491" s="28">
        <v>56.8324</v>
      </c>
      <c r="X491" s="9">
        <v>1096</v>
      </c>
      <c r="Y491" s="16"/>
      <c r="Z491" s="10">
        <v>44732</v>
      </c>
      <c r="AA491" s="26">
        <f>Таблица2[[#This Row],[Сумма перевода Долл/Евро]]*Таблица2[[#This Row],[Курс ДОЛЛ перевод]]+Таблица2[[#This Row],[Сумма за перевод руб]]</f>
        <v>62914.912420202025</v>
      </c>
      <c r="AB49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-4.4817815189926478</v>
      </c>
      <c r="AC491" s="9"/>
      <c r="AD491" s="41"/>
    </row>
    <row r="492" spans="1:30" ht="30" x14ac:dyDescent="0.25">
      <c r="A492" s="6">
        <v>44732</v>
      </c>
      <c r="B492" s="38">
        <v>72334</v>
      </c>
      <c r="C492" s="38" t="s">
        <v>763</v>
      </c>
      <c r="D492" s="1" t="s">
        <v>764</v>
      </c>
      <c r="E492" s="1"/>
      <c r="F492" s="3">
        <v>9618</v>
      </c>
      <c r="G492" s="5"/>
      <c r="H492" s="2">
        <v>8.66</v>
      </c>
      <c r="I492" s="2"/>
      <c r="J492" s="2">
        <v>0.9</v>
      </c>
      <c r="K492" s="2"/>
      <c r="L492" s="2"/>
      <c r="M492" s="26">
        <f>Таблица2[[#This Row],[Сумма ЮА]]*Таблица2[[#This Row],[Курс ЮА]]</f>
        <v>83291.88</v>
      </c>
      <c r="N492" s="24">
        <f>Таблица2[[#This Row],[Сумма ЮА]]*Таблица2[[#This Row],[Курс ЮА]]/Таблица2[[#This Row],[% за перевод]]</f>
        <v>92546.53333333334</v>
      </c>
      <c r="O49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9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9254.6533333333355</v>
      </c>
      <c r="Q492" s="30"/>
      <c r="R492" s="12">
        <f>Таблица2[[#This Row],[Сумма в руб]]-Таблица2[[#This Row],[Оплата от клиента]]</f>
        <v>92546.53333333334</v>
      </c>
      <c r="S492" s="32"/>
      <c r="T492" s="32" t="s">
        <v>720</v>
      </c>
      <c r="U492" s="24"/>
      <c r="V492" s="2"/>
      <c r="W492" s="28"/>
      <c r="X492" s="9"/>
      <c r="Y492" s="16"/>
      <c r="Z492" s="2"/>
      <c r="AA492" s="26">
        <f>Таблица2[[#This Row],[Сумма перевода Долл/Евро]]*Таблица2[[#This Row],[Курс ДОЛЛ перевод]]+Таблица2[[#This Row],[Сумма за перевод руб]]</f>
        <v>9254.6533333333355</v>
      </c>
      <c r="AB49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92" s="9"/>
      <c r="AD492" s="41"/>
    </row>
    <row r="493" spans="1:30" x14ac:dyDescent="0.25">
      <c r="A493" s="6">
        <v>44732</v>
      </c>
      <c r="B493" s="38" t="s">
        <v>452</v>
      </c>
      <c r="C493" s="38" t="s">
        <v>447</v>
      </c>
      <c r="D493" s="1"/>
      <c r="E493" s="1"/>
      <c r="F493" s="61"/>
      <c r="G493" s="5">
        <v>615.08000000000004</v>
      </c>
      <c r="H493" s="2"/>
      <c r="I493" s="2">
        <v>57.1</v>
      </c>
      <c r="J493" s="2">
        <v>0.9</v>
      </c>
      <c r="K493" s="2"/>
      <c r="L493" s="2"/>
      <c r="M493" s="26">
        <f>Таблица2[[#This Row],[Сумма Долл]]*Таблица2[[#This Row],[Курс ДОЛЛ]]</f>
        <v>35121.068000000007</v>
      </c>
      <c r="N49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39023.408888888895</v>
      </c>
      <c r="O49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628.85084226207539</v>
      </c>
      <c r="P49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3902.340888888888</v>
      </c>
      <c r="Q493" s="30">
        <v>39023.410000000003</v>
      </c>
      <c r="R493" s="12">
        <f>Таблица2[[#This Row],[Сумма в руб]]-Таблица2[[#This Row],[Оплата от клиента]]</f>
        <v>-1.111111108912155E-3</v>
      </c>
      <c r="S493" s="32">
        <v>44733</v>
      </c>
      <c r="T493" s="32" t="s">
        <v>720</v>
      </c>
      <c r="U493" s="24" t="s">
        <v>31</v>
      </c>
      <c r="V493" s="2"/>
      <c r="W493" s="28">
        <v>55.849600000000002</v>
      </c>
      <c r="X493" s="9">
        <v>615.08000000000004</v>
      </c>
      <c r="Y493" s="16">
        <v>4074.29</v>
      </c>
      <c r="Z493" s="2"/>
      <c r="AA493" s="26">
        <f>Таблица2[[#This Row],[Сумма перевода Долл/Евро]]*Таблица2[[#This Row],[Курс ДОЛЛ перевод]]+Таблица2[[#This Row],[Сумма за перевод руб]]</f>
        <v>38254.312856888893</v>
      </c>
      <c r="AB49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93" s="9"/>
      <c r="AD493" s="41"/>
    </row>
    <row r="494" spans="1:30" x14ac:dyDescent="0.25">
      <c r="A494" s="6">
        <v>44732</v>
      </c>
      <c r="B494" s="38" t="s">
        <v>32</v>
      </c>
      <c r="C494" s="38" t="s">
        <v>33</v>
      </c>
      <c r="D494" s="1" t="s">
        <v>757</v>
      </c>
      <c r="E494" s="1"/>
      <c r="F494" s="8">
        <v>118535</v>
      </c>
      <c r="G494" s="5"/>
      <c r="H494" s="2">
        <v>8.5399999999999991</v>
      </c>
      <c r="I494" s="2"/>
      <c r="J494" s="2">
        <v>0.97</v>
      </c>
      <c r="K494" s="2"/>
      <c r="L494" s="2"/>
      <c r="M494" s="26">
        <f>Таблица2[[#This Row],[Сумма ЮА]]*Таблица2[[#This Row],[Курс ЮА]]</f>
        <v>1012288.8999999999</v>
      </c>
      <c r="N494" s="24">
        <f>Таблица2[[#This Row],[Сумма ЮА]]*Таблица2[[#This Row],[Курс ЮА]]/Таблица2[[#This Row],[% за перевод]]</f>
        <v>1043596.8041237113</v>
      </c>
      <c r="O49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49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31307.9041237114</v>
      </c>
      <c r="Q494" s="30">
        <v>1043596.8</v>
      </c>
      <c r="R494" s="12">
        <f>Таблица2[[#This Row],[Сумма в руб]]-Таблица2[[#This Row],[Оплата от клиента]]</f>
        <v>4.123711260035634E-3</v>
      </c>
      <c r="S494" s="32">
        <v>44733</v>
      </c>
      <c r="T494" s="32" t="s">
        <v>107</v>
      </c>
      <c r="U494" s="24" t="s">
        <v>31</v>
      </c>
      <c r="V494" s="2">
        <v>8.08</v>
      </c>
      <c r="W494" s="28"/>
      <c r="X494" s="9"/>
      <c r="Y494" s="16">
        <v>118535</v>
      </c>
      <c r="Z494" s="10">
        <v>44734</v>
      </c>
      <c r="AA494" s="26">
        <f>Таблица2[[#This Row],[Сумма перевода Долл/Евро]]*Таблица2[[#This Row],[Курс ДОЛЛ перевод]]+Таблица2[[#This Row],[Сумма за перевод руб]]</f>
        <v>31307.9041237114</v>
      </c>
      <c r="AB49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494" s="9"/>
      <c r="AD494" s="41"/>
    </row>
    <row r="495" spans="1:30" x14ac:dyDescent="0.25">
      <c r="A495" s="6">
        <v>44732</v>
      </c>
      <c r="B495" s="2" t="s">
        <v>59</v>
      </c>
      <c r="C495" s="2" t="s">
        <v>435</v>
      </c>
      <c r="D495" s="4" t="s">
        <v>766</v>
      </c>
      <c r="E495" s="1"/>
      <c r="F495" s="3"/>
      <c r="G495" s="5"/>
      <c r="H495" s="2"/>
      <c r="I495" s="2"/>
      <c r="J495" s="2">
        <v>0.99</v>
      </c>
      <c r="K495" s="2"/>
      <c r="L495" s="2"/>
      <c r="M495" s="26">
        <f>Таблица2[[#This Row],[Сумма Долл]]*Таблица2[[#This Row],[Курс ДОЛЛ]]</f>
        <v>0</v>
      </c>
      <c r="N495" s="24">
        <v>750000</v>
      </c>
      <c r="O49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495" s="12">
        <f>Таблица2[[#This Row],[Оплата от клиента]]-Таблица2[[#This Row],[Оплата от клиента]]*Таблица2[[#This Row],[% за перевод]]</f>
        <v>7500</v>
      </c>
      <c r="Q495" s="30">
        <v>750000</v>
      </c>
      <c r="R495" s="12">
        <f>Таблица2[[#This Row],[Сумма в руб]]-Таблица2[[#This Row],[Оплата от клиента]]</f>
        <v>0</v>
      </c>
      <c r="S495" s="32">
        <v>44732</v>
      </c>
      <c r="T495" s="32" t="s">
        <v>164</v>
      </c>
      <c r="U495" s="24" t="s">
        <v>31</v>
      </c>
      <c r="V495" s="2"/>
      <c r="W495" s="28">
        <v>55.344499999999996</v>
      </c>
      <c r="X495" s="9">
        <v>13415.96</v>
      </c>
      <c r="Y495" s="16"/>
      <c r="Z495" s="10">
        <v>44733</v>
      </c>
      <c r="AA495" s="26">
        <f>Таблица2[[#This Row],[Сумма перевода Долл/Евро]]*Таблица2[[#This Row],[Курс ДОЛЛ перевод]]+Таблица2[[#This Row],[Сумма за перевод руб]]</f>
        <v>749999.59821999993</v>
      </c>
      <c r="AB49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-13415.96</v>
      </c>
      <c r="AC495" s="9"/>
      <c r="AD495" s="41"/>
    </row>
    <row r="496" spans="1:30" x14ac:dyDescent="0.25">
      <c r="A496" s="6">
        <v>44733</v>
      </c>
      <c r="B496" s="2" t="s">
        <v>55</v>
      </c>
      <c r="C496" s="2" t="s">
        <v>595</v>
      </c>
      <c r="D496" s="1"/>
      <c r="E496" s="1"/>
      <c r="F496" s="3"/>
      <c r="G496" s="5">
        <v>1455.6</v>
      </c>
      <c r="H496" s="2"/>
      <c r="I496" s="2">
        <v>55.039700000000003</v>
      </c>
      <c r="J496" s="2"/>
      <c r="K496" s="2">
        <v>80</v>
      </c>
      <c r="L496" s="2"/>
      <c r="M496" s="26">
        <f>Таблица2[[#This Row],[Сумма Долл]]*Таблица2[[#This Row],[Курс ДОЛЛ]]</f>
        <v>80115.787320000003</v>
      </c>
      <c r="N49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84518.963319999995</v>
      </c>
      <c r="O49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1455.6</v>
      </c>
      <c r="P49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4403.1760000000004</v>
      </c>
      <c r="Q496" s="30">
        <f>81033.25+3485.71</f>
        <v>84518.96</v>
      </c>
      <c r="R496" s="12">
        <f>Таблица2[[#This Row],[Сумма в руб]]-Таблица2[[#This Row],[Оплата от клиента]]</f>
        <v>3.3199999888893217E-3</v>
      </c>
      <c r="S496" s="32">
        <v>44733</v>
      </c>
      <c r="T496" s="32" t="s">
        <v>164</v>
      </c>
      <c r="U496" s="24" t="s">
        <v>31</v>
      </c>
      <c r="V496" s="2"/>
      <c r="W496" s="28">
        <v>55.039700000000003</v>
      </c>
      <c r="X496" s="9">
        <v>1455.6</v>
      </c>
      <c r="Y496" s="16"/>
      <c r="Z496" s="10">
        <v>44735</v>
      </c>
      <c r="AA496" s="26">
        <f>Таблица2[[#This Row],[Сумма перевода Долл/Евро]]*Таблица2[[#This Row],[Курс ДОЛЛ перевод]]+Таблица2[[#This Row],[Сумма за перевод руб]]</f>
        <v>84518.96332000001</v>
      </c>
      <c r="AB49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496" s="9"/>
      <c r="AD496" s="41"/>
    </row>
    <row r="497" spans="1:30" x14ac:dyDescent="0.25">
      <c r="A497" s="6">
        <v>44733</v>
      </c>
      <c r="B497" s="2" t="s">
        <v>81</v>
      </c>
      <c r="C497" s="2" t="s">
        <v>82</v>
      </c>
      <c r="D497" s="1" t="s">
        <v>765</v>
      </c>
      <c r="E497" s="1"/>
      <c r="F497" s="3"/>
      <c r="G497" s="5">
        <v>1639.26</v>
      </c>
      <c r="H497" s="2"/>
      <c r="I497" s="2">
        <v>55.33</v>
      </c>
      <c r="J497" s="2"/>
      <c r="K497" s="2">
        <v>80</v>
      </c>
      <c r="L497" s="2"/>
      <c r="M497" s="26">
        <f>Таблица2[[#This Row],[Сумма Долл]]*Таблица2[[#This Row],[Курс ДОЛЛ]]</f>
        <v>90700.255799999999</v>
      </c>
      <c r="N49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95126.655799999993</v>
      </c>
      <c r="O49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1681.0040736896729</v>
      </c>
      <c r="P49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4316.4800000000005</v>
      </c>
      <c r="Q497" s="30">
        <v>95126.66</v>
      </c>
      <c r="R497" s="12">
        <f>Таблица2[[#This Row],[Сумма в руб]]-Таблица2[[#This Row],[Оплата от клиента]]</f>
        <v>-4.2000000103143975E-3</v>
      </c>
      <c r="S497" s="32">
        <v>44735</v>
      </c>
      <c r="T497" s="32" t="s">
        <v>164</v>
      </c>
      <c r="U497" s="24" t="s">
        <v>31</v>
      </c>
      <c r="V497" s="2"/>
      <c r="W497" s="28">
        <v>53.956000000000003</v>
      </c>
      <c r="X497" s="9">
        <v>1639.26</v>
      </c>
      <c r="Y497" s="16"/>
      <c r="Z497" s="10">
        <v>44739</v>
      </c>
      <c r="AA497" s="26">
        <f>Таблица2[[#This Row],[Сумма перевода Долл/Евро]]*Таблица2[[#This Row],[Курс ДОЛЛ перевод]]+Таблица2[[#This Row],[Сумма за перевод руб]]</f>
        <v>92764.392560000008</v>
      </c>
      <c r="AB49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41.744073689672859</v>
      </c>
      <c r="AC497" s="9"/>
      <c r="AD497" s="41"/>
    </row>
    <row r="498" spans="1:30" x14ac:dyDescent="0.25">
      <c r="A498" s="6">
        <v>44734</v>
      </c>
      <c r="B498" s="2" t="s">
        <v>35</v>
      </c>
      <c r="C498" s="2" t="s">
        <v>36</v>
      </c>
      <c r="D498" s="1"/>
      <c r="E498" s="1"/>
      <c r="F498" s="3"/>
      <c r="G498" s="5">
        <v>1615</v>
      </c>
      <c r="H498" s="2"/>
      <c r="I498" s="2">
        <v>54.7</v>
      </c>
      <c r="J498" s="2"/>
      <c r="K498" s="2">
        <v>80</v>
      </c>
      <c r="L498" s="2"/>
      <c r="M498" s="26">
        <f>Таблица2[[#This Row],[Сумма Долл]]*Таблица2[[#This Row],[Курс ДОЛЛ]]</f>
        <v>88340.5</v>
      </c>
      <c r="N49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92716.5</v>
      </c>
      <c r="O49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1636.368519811728</v>
      </c>
      <c r="P49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4318.8559999999998</v>
      </c>
      <c r="Q498" s="30">
        <v>92716.5</v>
      </c>
      <c r="R498" s="12">
        <f>Таблица2[[#This Row],[Сумма в руб]]-Таблица2[[#This Row],[Оплата от клиента]]</f>
        <v>0</v>
      </c>
      <c r="S498" s="32">
        <v>44734</v>
      </c>
      <c r="T498" s="32" t="s">
        <v>164</v>
      </c>
      <c r="U498" s="24" t="s">
        <v>31</v>
      </c>
      <c r="V498" s="2"/>
      <c r="W498" s="28">
        <v>53.985700000000001</v>
      </c>
      <c r="X498" s="9">
        <v>1615</v>
      </c>
      <c r="Y498" s="16"/>
      <c r="Z498" s="10">
        <v>44735</v>
      </c>
      <c r="AA498" s="26">
        <f>Таблица2[[#This Row],[Сумма перевода Долл/Евро]]*Таблица2[[#This Row],[Курс ДОЛЛ перевод]]+Таблица2[[#This Row],[Сумма за перевод руб]]</f>
        <v>91505.761500000008</v>
      </c>
      <c r="AB49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21.368519811727992</v>
      </c>
      <c r="AC498" s="9"/>
      <c r="AD498" s="41"/>
    </row>
    <row r="499" spans="1:30" x14ac:dyDescent="0.25">
      <c r="A499" s="6">
        <v>44734</v>
      </c>
      <c r="B499" s="2" t="s">
        <v>35</v>
      </c>
      <c r="C499" s="2" t="s">
        <v>36</v>
      </c>
      <c r="D499" s="1"/>
      <c r="E499" s="1"/>
      <c r="F499" s="3"/>
      <c r="G499" s="5">
        <f>3017-199.26</f>
        <v>2817.74</v>
      </c>
      <c r="H499" s="2"/>
      <c r="I499" s="2">
        <v>54.7</v>
      </c>
      <c r="J499" s="2">
        <v>0.97</v>
      </c>
      <c r="K499" s="2"/>
      <c r="L499" s="2"/>
      <c r="M499" s="26">
        <f>Таблица2[[#This Row],[Сумма Долл]]*Таблица2[[#This Row],[Курс ДОЛЛ]]</f>
        <v>154130.378</v>
      </c>
      <c r="N49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158897.29690721649</v>
      </c>
      <c r="O49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2855.0223114639616</v>
      </c>
      <c r="P49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4766.9189072164882</v>
      </c>
      <c r="Q499" s="30">
        <v>158897.29</v>
      </c>
      <c r="R499" s="12">
        <f>Таблица2[[#This Row],[Сумма в руб]]-Таблица2[[#This Row],[Оплата от клиента]]</f>
        <v>6.9072164769750088E-3</v>
      </c>
      <c r="S499" s="32">
        <v>44734</v>
      </c>
      <c r="T499" s="32" t="s">
        <v>164</v>
      </c>
      <c r="U499" s="24" t="s">
        <v>31</v>
      </c>
      <c r="V499" s="2"/>
      <c r="W499" s="28">
        <v>53.985700000000001</v>
      </c>
      <c r="X499" s="9">
        <f>3017-199.26</f>
        <v>2817.74</v>
      </c>
      <c r="Y499" s="16"/>
      <c r="Z499" s="10">
        <v>44735</v>
      </c>
      <c r="AA499" s="26">
        <f>Таблица2[[#This Row],[Сумма перевода Долл/Евро]]*Таблица2[[#This Row],[Курс ДОЛЛ перевод]]+Таблица2[[#This Row],[Сумма за перевод руб]]</f>
        <v>156884.58522521649</v>
      </c>
      <c r="AB49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37.282311463961832</v>
      </c>
      <c r="AC499" s="9"/>
      <c r="AD499" s="41"/>
    </row>
    <row r="500" spans="1:30" ht="45" x14ac:dyDescent="0.25">
      <c r="A500" s="6">
        <v>44734</v>
      </c>
      <c r="B500" s="38" t="s">
        <v>521</v>
      </c>
      <c r="C500" s="38" t="s">
        <v>767</v>
      </c>
      <c r="D500" s="1" t="s">
        <v>768</v>
      </c>
      <c r="E500" s="1"/>
      <c r="F500" s="3"/>
      <c r="G500" s="5">
        <v>4641</v>
      </c>
      <c r="H500" s="2"/>
      <c r="I500" s="2">
        <v>54.3</v>
      </c>
      <c r="J500" s="2">
        <v>0.97</v>
      </c>
      <c r="K500" s="2"/>
      <c r="L500" s="2"/>
      <c r="M500" s="26">
        <f>Таблица2[[#This Row],[Сумма Долл]]*Таблица2[[#This Row],[Курс ДОЛЛ]]</f>
        <v>252006.3</v>
      </c>
      <c r="N50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259800.3092783505</v>
      </c>
      <c r="O50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4653.4434620753836</v>
      </c>
      <c r="P50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7794.0092783505097</v>
      </c>
      <c r="Q500" s="30">
        <v>259800.31</v>
      </c>
      <c r="R500" s="12">
        <f>Таблица2[[#This Row],[Сумма в руб]]-Таблица2[[#This Row],[Оплата от клиента]]</f>
        <v>-7.2164949961006641E-4</v>
      </c>
      <c r="S500" s="32">
        <v>44735</v>
      </c>
      <c r="T500" s="32" t="s">
        <v>720</v>
      </c>
      <c r="U500" s="24" t="s">
        <v>375</v>
      </c>
      <c r="V500" s="2"/>
      <c r="W500" s="28">
        <v>54.154800000000002</v>
      </c>
      <c r="X500" s="9">
        <v>4461</v>
      </c>
      <c r="Y500" s="16"/>
      <c r="Z500" s="2"/>
      <c r="AA500" s="26">
        <f>Таблица2[[#This Row],[Сумма перевода Долл/Евро]]*Таблица2[[#This Row],[Курс ДОЛЛ перевод]]+Таблица2[[#This Row],[Сумма за перевод руб]]</f>
        <v>249378.57207835052</v>
      </c>
      <c r="AB50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192.44346207538365</v>
      </c>
      <c r="AC500" s="9"/>
      <c r="AD500" s="41"/>
    </row>
    <row r="501" spans="1:30" ht="30" x14ac:dyDescent="0.25">
      <c r="A501" s="6">
        <v>44734</v>
      </c>
      <c r="B501" s="38" t="s">
        <v>220</v>
      </c>
      <c r="C501" s="38" t="s">
        <v>221</v>
      </c>
      <c r="D501" s="56" t="s">
        <v>769</v>
      </c>
      <c r="E501" s="1"/>
      <c r="F501" s="3">
        <v>113914.13</v>
      </c>
      <c r="G501" s="5"/>
      <c r="H501" s="2">
        <v>8.14</v>
      </c>
      <c r="I501" s="2"/>
      <c r="J501" s="2">
        <v>0.97</v>
      </c>
      <c r="K501" s="2"/>
      <c r="L501" s="2"/>
      <c r="M501" s="26">
        <f>Таблица2[[#This Row],[Сумма ЮА]]*Таблица2[[#This Row],[Курс ЮА]]</f>
        <v>927261.01820000005</v>
      </c>
      <c r="N501" s="24">
        <f>Таблица2[[#This Row],[Сумма ЮА]]*Таблица2[[#This Row],[Курс ЮА]]/Таблица2[[#This Row],[% за перевод]]</f>
        <v>955939.19402061868</v>
      </c>
      <c r="O50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0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28678.175820618635</v>
      </c>
      <c r="Q501" s="30">
        <v>955939.19</v>
      </c>
      <c r="R501" s="12">
        <f>Таблица2[[#This Row],[Сумма в руб]]-Таблица2[[#This Row],[Оплата от клиента]]</f>
        <v>4.0206187404692173E-3</v>
      </c>
      <c r="S501" s="32">
        <v>44735</v>
      </c>
      <c r="T501" s="32" t="s">
        <v>107</v>
      </c>
      <c r="U501" s="24" t="s">
        <v>31</v>
      </c>
      <c r="V501" s="2">
        <v>8.09</v>
      </c>
      <c r="W501" s="28"/>
      <c r="X501" s="9"/>
      <c r="Y501" s="16">
        <v>113914.13</v>
      </c>
      <c r="Z501" s="10">
        <v>44735</v>
      </c>
      <c r="AA501" s="26">
        <f>Таблица2[[#This Row],[Сумма перевода Долл/Евро]]*Таблица2[[#This Row],[Курс ДОЛЛ перевод]]+Таблица2[[#This Row],[Сумма за перевод руб]]</f>
        <v>28678.175820618635</v>
      </c>
      <c r="AB50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01" s="9"/>
      <c r="AD501" s="41"/>
    </row>
    <row r="502" spans="1:30" x14ac:dyDescent="0.25">
      <c r="A502" s="6">
        <v>44735</v>
      </c>
      <c r="B502" s="38" t="s">
        <v>158</v>
      </c>
      <c r="C502" s="38" t="s">
        <v>322</v>
      </c>
      <c r="D502" s="1" t="s">
        <v>770</v>
      </c>
      <c r="E502" s="1"/>
      <c r="F502" s="3">
        <v>17404.8</v>
      </c>
      <c r="G502" s="5"/>
      <c r="H502" s="2">
        <v>8.11</v>
      </c>
      <c r="I502" s="2"/>
      <c r="J502" s="2">
        <v>0.9</v>
      </c>
      <c r="K502" s="2"/>
      <c r="L502" s="2"/>
      <c r="M502" s="26">
        <f>Таблица2[[#This Row],[Сумма ЮА]]*Таблица2[[#This Row],[Курс ЮА]]</f>
        <v>141152.92799999999</v>
      </c>
      <c r="N502" s="24">
        <f>Таблица2[[#This Row],[Сумма ЮА]]*Таблица2[[#This Row],[Курс ЮА]]/Таблица2[[#This Row],[% за перевод]]</f>
        <v>156836.58666666664</v>
      </c>
      <c r="O50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0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15683.658666666655</v>
      </c>
      <c r="Q502" s="30">
        <v>156836.59</v>
      </c>
      <c r="R502" s="12">
        <f>Таблица2[[#This Row],[Сумма в руб]]-Таблица2[[#This Row],[Оплата от клиента]]</f>
        <v>-3.3333333558402956E-3</v>
      </c>
      <c r="S502" s="32">
        <v>44735</v>
      </c>
      <c r="T502" s="32" t="s">
        <v>730</v>
      </c>
      <c r="U502" s="24" t="s">
        <v>31</v>
      </c>
      <c r="V502" s="2"/>
      <c r="W502" s="28"/>
      <c r="X502" s="9"/>
      <c r="Y502" s="16">
        <v>17404.8</v>
      </c>
      <c r="Z502" s="2"/>
      <c r="AA502" s="26">
        <f>Таблица2[[#This Row],[Сумма перевода Долл/Евро]]*Таблица2[[#This Row],[Курс ДОЛЛ перевод]]+Таблица2[[#This Row],[Сумма за перевод руб]]</f>
        <v>15683.658666666655</v>
      </c>
      <c r="AB50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02" s="9"/>
      <c r="AD502" s="41"/>
    </row>
    <row r="503" spans="1:30" x14ac:dyDescent="0.25">
      <c r="A503" s="6">
        <v>44735</v>
      </c>
      <c r="B503" s="38" t="s">
        <v>158</v>
      </c>
      <c r="C503" s="38" t="s">
        <v>322</v>
      </c>
      <c r="D503" s="1" t="s">
        <v>770</v>
      </c>
      <c r="E503" s="1"/>
      <c r="F503" s="8">
        <v>16520</v>
      </c>
      <c r="G503" s="5"/>
      <c r="H503" s="2">
        <v>8.11</v>
      </c>
      <c r="I503" s="2"/>
      <c r="J503" s="2">
        <v>0.9</v>
      </c>
      <c r="K503" s="2"/>
      <c r="L503" s="2"/>
      <c r="M503" s="26">
        <f>Таблица2[[#This Row],[Сумма ЮА]]*Таблица2[[#This Row],[Курс ЮА]]</f>
        <v>133977.19999999998</v>
      </c>
      <c r="N503" s="24">
        <f>Таблица2[[#This Row],[Сумма ЮА]]*Таблица2[[#This Row],[Курс ЮА]]/Таблица2[[#This Row],[% за перевод]]</f>
        <v>148863.55555555553</v>
      </c>
      <c r="O50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0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14886.35555555555</v>
      </c>
      <c r="Q503" s="30">
        <v>148863.56</v>
      </c>
      <c r="R503" s="12">
        <f>Таблица2[[#This Row],[Сумма в руб]]-Таблица2[[#This Row],[Оплата от клиента]]</f>
        <v>-4.4444444647524506E-3</v>
      </c>
      <c r="S503" s="32">
        <v>44735</v>
      </c>
      <c r="T503" s="32" t="s">
        <v>730</v>
      </c>
      <c r="U503" s="24" t="s">
        <v>31</v>
      </c>
      <c r="V503" s="2"/>
      <c r="W503" s="28"/>
      <c r="X503" s="9"/>
      <c r="Y503" s="16">
        <v>16520</v>
      </c>
      <c r="Z503" s="2"/>
      <c r="AA503" s="26">
        <f>Таблица2[[#This Row],[Сумма перевода Долл/Евро]]*Таблица2[[#This Row],[Курс ДОЛЛ перевод]]+Таблица2[[#This Row],[Сумма за перевод руб]]</f>
        <v>14886.35555555555</v>
      </c>
      <c r="AB50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03" s="9"/>
      <c r="AD503" s="41"/>
    </row>
    <row r="504" spans="1:30" ht="45" x14ac:dyDescent="0.25">
      <c r="A504" s="6">
        <v>44736</v>
      </c>
      <c r="B504" s="38" t="s">
        <v>173</v>
      </c>
      <c r="C504" s="38" t="s">
        <v>315</v>
      </c>
      <c r="D504" s="1" t="s">
        <v>758</v>
      </c>
      <c r="E504" s="1"/>
      <c r="F504" s="3">
        <v>22245</v>
      </c>
      <c r="G504" s="5"/>
      <c r="H504" s="2">
        <v>8.17</v>
      </c>
      <c r="I504" s="2">
        <v>53.8</v>
      </c>
      <c r="J504" s="2"/>
      <c r="K504" s="2">
        <v>80</v>
      </c>
      <c r="L504" s="2"/>
      <c r="M504" s="26">
        <f>Таблица2[[#This Row],[Сумма ЮА]]*Таблица2[[#This Row],[Курс ЮА]]</f>
        <v>181741.65</v>
      </c>
      <c r="N504" s="24">
        <f>Таблица2[[#This Row],[Сумма ЮА]]*Таблица2[[#This Row],[Курс ЮА]]+Таблица2[[#This Row],[Долл за перевод]]*Таблица2[[#This Row],[Курс ДОЛЛ]]</f>
        <v>186045.65</v>
      </c>
      <c r="O50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3378.0975836431226</v>
      </c>
      <c r="P50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4304</v>
      </c>
      <c r="Q504" s="30">
        <v>186045.65</v>
      </c>
      <c r="R504" s="12">
        <f>Таблица2[[#This Row],[Сумма в руб]]-Таблица2[[#This Row],[Оплата от клиента]]</f>
        <v>0</v>
      </c>
      <c r="S504" s="32">
        <v>44736</v>
      </c>
      <c r="T504" s="32" t="s">
        <v>107</v>
      </c>
      <c r="U504" s="24" t="s">
        <v>31</v>
      </c>
      <c r="V504" s="2">
        <v>8.06</v>
      </c>
      <c r="W504" s="28"/>
      <c r="X504" s="9"/>
      <c r="Y504" s="16">
        <v>22245</v>
      </c>
      <c r="Z504" s="10">
        <v>44741</v>
      </c>
      <c r="AA504" s="26">
        <f>Таблица2[[#This Row],[Сумма перевода Долл/Евро]]*Таблица2[[#This Row],[Курс ДОЛЛ перевод]]+Таблица2[[#This Row],[Сумма за перевод руб]]</f>
        <v>4304</v>
      </c>
      <c r="AB50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618.17202533046748</v>
      </c>
      <c r="AC504" s="9"/>
      <c r="AD504" s="41"/>
    </row>
    <row r="505" spans="1:30" ht="45" x14ac:dyDescent="0.25">
      <c r="A505" s="6">
        <v>44736</v>
      </c>
      <c r="B505" s="38" t="s">
        <v>167</v>
      </c>
      <c r="C505" s="38" t="s">
        <v>168</v>
      </c>
      <c r="D505" s="1" t="s">
        <v>771</v>
      </c>
      <c r="E505" s="1"/>
      <c r="F505" s="3">
        <v>5303</v>
      </c>
      <c r="G505" s="5"/>
      <c r="H505" s="2">
        <v>8.17</v>
      </c>
      <c r="I505" s="2"/>
      <c r="J505" s="2">
        <v>0.9</v>
      </c>
      <c r="K505" s="2"/>
      <c r="L505" s="2"/>
      <c r="M505" s="26">
        <f>Таблица2[[#This Row],[Сумма ЮА]]*Таблица2[[#This Row],[Курс ЮА]]</f>
        <v>43325.51</v>
      </c>
      <c r="N505" s="24">
        <f>Таблица2[[#This Row],[Сумма ЮА]]*Таблица2[[#This Row],[Курс ЮА]]/Таблица2[[#This Row],[% за перевод]]</f>
        <v>48139.455555555556</v>
      </c>
      <c r="O50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0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4813.9455555555542</v>
      </c>
      <c r="Q505" s="30">
        <v>48139.46</v>
      </c>
      <c r="R505" s="12">
        <f>Таблица2[[#This Row],[Сумма в руб]]-Таблица2[[#This Row],[Оплата от клиента]]</f>
        <v>-4.4444444429245777E-3</v>
      </c>
      <c r="S505" s="32">
        <v>44738</v>
      </c>
      <c r="T505" s="32" t="s">
        <v>720</v>
      </c>
      <c r="U505" s="24" t="s">
        <v>31</v>
      </c>
      <c r="V505" s="2"/>
      <c r="W505" s="28"/>
      <c r="X505" s="9"/>
      <c r="Y505" s="16">
        <v>5303</v>
      </c>
      <c r="Z505" s="2"/>
      <c r="AA505" s="26">
        <f>Таблица2[[#This Row],[Сумма перевода Долл/Евро]]*Таблица2[[#This Row],[Курс ДОЛЛ перевод]]+Таблица2[[#This Row],[Сумма за перевод руб]]</f>
        <v>4813.9455555555542</v>
      </c>
      <c r="AB50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05" s="9"/>
      <c r="AD505" s="41">
        <v>53.32</v>
      </c>
    </row>
    <row r="506" spans="1:30" ht="30" x14ac:dyDescent="0.25">
      <c r="A506" s="6">
        <v>44736</v>
      </c>
      <c r="B506" s="38" t="s">
        <v>167</v>
      </c>
      <c r="C506" s="38" t="s">
        <v>168</v>
      </c>
      <c r="D506" s="1" t="s">
        <v>772</v>
      </c>
      <c r="E506" s="1"/>
      <c r="F506" s="3">
        <v>18077</v>
      </c>
      <c r="G506" s="5"/>
      <c r="H506" s="2">
        <v>8.15</v>
      </c>
      <c r="I506" s="2"/>
      <c r="J506" s="2">
        <v>0.9</v>
      </c>
      <c r="K506" s="2"/>
      <c r="L506" s="2"/>
      <c r="M506" s="26">
        <f>Таблица2[[#This Row],[Сумма ЮА]]*Таблица2[[#This Row],[Курс ЮА]]</f>
        <v>147327.55000000002</v>
      </c>
      <c r="N506" s="24">
        <f>Таблица2[[#This Row],[Сумма ЮА]]*Таблица2[[#This Row],[Курс ЮА]]/Таблица2[[#This Row],[% за перевод]]</f>
        <v>163697.27777777778</v>
      </c>
      <c r="O50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0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16369.727777777764</v>
      </c>
      <c r="Q506" s="30">
        <v>163697.28</v>
      </c>
      <c r="R506" s="12">
        <f>Таблица2[[#This Row],[Сумма в руб]]-Таблица2[[#This Row],[Оплата от клиента]]</f>
        <v>-2.2222222178243101E-3</v>
      </c>
      <c r="S506" s="32">
        <v>44738</v>
      </c>
      <c r="T506" s="32" t="s">
        <v>720</v>
      </c>
      <c r="U506" s="24" t="s">
        <v>31</v>
      </c>
      <c r="V506" s="2"/>
      <c r="W506" s="28"/>
      <c r="X506" s="9"/>
      <c r="Y506" s="16">
        <v>18077</v>
      </c>
      <c r="Z506" s="2"/>
      <c r="AA506" s="26">
        <f>Таблица2[[#This Row],[Сумма перевода Долл/Евро]]*Таблица2[[#This Row],[Курс ДОЛЛ перевод]]+Таблица2[[#This Row],[Сумма за перевод руб]]</f>
        <v>16369.727777777764</v>
      </c>
      <c r="AB50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06" s="9"/>
      <c r="AD506" s="41"/>
    </row>
    <row r="507" spans="1:30" ht="30" x14ac:dyDescent="0.25">
      <c r="A507" s="6">
        <v>44736</v>
      </c>
      <c r="B507" s="38" t="s">
        <v>773</v>
      </c>
      <c r="C507" s="38" t="s">
        <v>774</v>
      </c>
      <c r="D507" s="1" t="s">
        <v>776</v>
      </c>
      <c r="E507" s="1"/>
      <c r="F507" s="3">
        <v>138749.79999999999</v>
      </c>
      <c r="G507" s="5"/>
      <c r="H507" s="2">
        <v>8.07</v>
      </c>
      <c r="I507" s="2"/>
      <c r="J507" s="2">
        <v>0.97</v>
      </c>
      <c r="K507" s="2"/>
      <c r="L507" s="2"/>
      <c r="M507" s="26">
        <f>Таблица2[[#This Row],[Сумма ЮА]]*Таблица2[[#This Row],[Курс ЮА]]</f>
        <v>1119710.8859999999</v>
      </c>
      <c r="N507" s="24">
        <f>Таблица2[[#This Row],[Сумма ЮА]]*Таблица2[[#This Row],[Курс ЮА]]/Таблица2[[#This Row],[% за перевод]]</f>
        <v>1154341.1195876289</v>
      </c>
      <c r="O50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0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34630.233587628929</v>
      </c>
      <c r="Q507" s="30">
        <v>1154341.1200000001</v>
      </c>
      <c r="R507" s="12">
        <f>Таблица2[[#This Row],[Сумма в руб]]-Таблица2[[#This Row],[Оплата от клиента]]</f>
        <v>-4.1237124241888523E-4</v>
      </c>
      <c r="S507" s="32">
        <v>44736</v>
      </c>
      <c r="T507" s="32" t="s">
        <v>107</v>
      </c>
      <c r="U507" s="24" t="s">
        <v>31</v>
      </c>
      <c r="V507" s="2">
        <v>8.06</v>
      </c>
      <c r="W507" s="28"/>
      <c r="X507" s="9"/>
      <c r="Y507" s="16">
        <v>138749.79999999999</v>
      </c>
      <c r="Z507" s="10">
        <v>44739</v>
      </c>
      <c r="AA507" s="26">
        <f>Таблица2[[#This Row],[Сумма перевода Долл/Евро]]*Таблица2[[#This Row],[Курс ДОЛЛ перевод]]+Таблица2[[#This Row],[Сумма за перевод руб]]</f>
        <v>34630.233587628929</v>
      </c>
      <c r="AB50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07" s="9"/>
      <c r="AD507" s="41"/>
    </row>
    <row r="508" spans="1:30" ht="30" x14ac:dyDescent="0.25">
      <c r="A508" s="6">
        <v>44736</v>
      </c>
      <c r="B508" s="38" t="s">
        <v>773</v>
      </c>
      <c r="C508" s="38" t="s">
        <v>774</v>
      </c>
      <c r="D508" s="1" t="s">
        <v>776</v>
      </c>
      <c r="E508" s="1"/>
      <c r="F508" s="3">
        <v>74556</v>
      </c>
      <c r="G508" s="5"/>
      <c r="H508" s="2">
        <v>8.07</v>
      </c>
      <c r="I508" s="2"/>
      <c r="J508" s="2">
        <v>0.97</v>
      </c>
      <c r="K508" s="2"/>
      <c r="L508" s="2"/>
      <c r="M508" s="26">
        <f>Таблица2[[#This Row],[Сумма ЮА]]*Таблица2[[#This Row],[Курс ЮА]]</f>
        <v>601666.92000000004</v>
      </c>
      <c r="N508" s="24">
        <f>Таблица2[[#This Row],[Сумма ЮА]]*Таблица2[[#This Row],[Курс ЮА]]/Таблица2[[#This Row],[% за перевод]]</f>
        <v>620275.17525773204</v>
      </c>
      <c r="O50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0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18608.255257732002</v>
      </c>
      <c r="Q508" s="30">
        <v>620275.18000000005</v>
      </c>
      <c r="R508" s="12">
        <f>Таблица2[[#This Row],[Сумма в руб]]-Таблица2[[#This Row],[Оплата от клиента]]</f>
        <v>-4.7422680072486401E-3</v>
      </c>
      <c r="S508" s="32">
        <v>44736</v>
      </c>
      <c r="T508" s="32" t="s">
        <v>107</v>
      </c>
      <c r="U508" s="24" t="s">
        <v>31</v>
      </c>
      <c r="V508" s="2">
        <v>8.06</v>
      </c>
      <c r="W508" s="28"/>
      <c r="X508" s="9"/>
      <c r="Y508" s="16">
        <v>74556</v>
      </c>
      <c r="Z508" s="10">
        <v>44739</v>
      </c>
      <c r="AA508" s="26">
        <f>Таблица2[[#This Row],[Сумма перевода Долл/Евро]]*Таблица2[[#This Row],[Курс ДОЛЛ перевод]]+Таблица2[[#This Row],[Сумма за перевод руб]]</f>
        <v>18608.255257732002</v>
      </c>
      <c r="AB50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08" s="9"/>
      <c r="AD508" s="41"/>
    </row>
    <row r="509" spans="1:30" ht="30" x14ac:dyDescent="0.25">
      <c r="A509" s="6">
        <v>44736</v>
      </c>
      <c r="B509" s="38" t="s">
        <v>773</v>
      </c>
      <c r="C509" s="38" t="s">
        <v>774</v>
      </c>
      <c r="D509" s="1" t="s">
        <v>775</v>
      </c>
      <c r="E509" s="1"/>
      <c r="F509" s="3">
        <v>26718</v>
      </c>
      <c r="G509" s="5"/>
      <c r="H509" s="2">
        <v>8.07</v>
      </c>
      <c r="I509" s="2"/>
      <c r="J509" s="2">
        <v>0.97</v>
      </c>
      <c r="K509" s="2"/>
      <c r="L509" s="2"/>
      <c r="M509" s="26">
        <f>Таблица2[[#This Row],[Сумма ЮА]]*Таблица2[[#This Row],[Курс ЮА]]</f>
        <v>215614.26</v>
      </c>
      <c r="N509" s="24">
        <f>Таблица2[[#This Row],[Сумма ЮА]]*Таблица2[[#This Row],[Курс ЮА]]/Таблица2[[#This Row],[% за перевод]]</f>
        <v>222282.74226804124</v>
      </c>
      <c r="O50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0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6668.4822680412326</v>
      </c>
      <c r="Q509" s="30">
        <v>222282.74</v>
      </c>
      <c r="R509" s="12">
        <f>Таблица2[[#This Row],[Сумма в руб]]-Таблица2[[#This Row],[Оплата от клиента]]</f>
        <v>2.2680412512272596E-3</v>
      </c>
      <c r="S509" s="32">
        <v>44736</v>
      </c>
      <c r="T509" s="32" t="s">
        <v>107</v>
      </c>
      <c r="U509" s="24" t="s">
        <v>31</v>
      </c>
      <c r="V509" s="2">
        <v>8.06</v>
      </c>
      <c r="W509" s="28"/>
      <c r="X509" s="9"/>
      <c r="Y509" s="16">
        <v>26718</v>
      </c>
      <c r="Z509" s="10">
        <v>44739</v>
      </c>
      <c r="AA509" s="26">
        <f>Таблица2[[#This Row],[Сумма перевода Долл/Евро]]*Таблица2[[#This Row],[Курс ДОЛЛ перевод]]+Таблица2[[#This Row],[Сумма за перевод руб]]</f>
        <v>6668.4822680412326</v>
      </c>
      <c r="AB50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09" s="9"/>
      <c r="AD509" s="41"/>
    </row>
    <row r="510" spans="1:30" x14ac:dyDescent="0.25">
      <c r="A510" s="6">
        <v>44736</v>
      </c>
      <c r="B510" s="38" t="s">
        <v>72</v>
      </c>
      <c r="C510" s="38" t="s">
        <v>73</v>
      </c>
      <c r="D510" s="1" t="s">
        <v>777</v>
      </c>
      <c r="E510" s="1"/>
      <c r="F510" s="3">
        <v>300000</v>
      </c>
      <c r="G510" s="5"/>
      <c r="H510" s="2">
        <v>8.14</v>
      </c>
      <c r="I510" s="2"/>
      <c r="J510" s="2">
        <v>0.9</v>
      </c>
      <c r="K510" s="2"/>
      <c r="L510" s="2"/>
      <c r="M510" s="26">
        <f>Таблица2[[#This Row],[Сумма ЮА]]*Таблица2[[#This Row],[Курс ЮА]]</f>
        <v>2442000</v>
      </c>
      <c r="N510" s="24">
        <f>Таблица2[[#This Row],[Сумма ЮА]]*Таблица2[[#This Row],[Курс ЮА]]/Таблица2[[#This Row],[% за перевод]]</f>
        <v>2713333.3333333335</v>
      </c>
      <c r="O51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271333.33333333349</v>
      </c>
      <c r="Q510" s="30">
        <v>2713333.33</v>
      </c>
      <c r="R510" s="12">
        <f>Таблица2[[#This Row],[Сумма в руб]]-Таблица2[[#This Row],[Оплата от клиента]]</f>
        <v>3.3333334140479565E-3</v>
      </c>
      <c r="S510" s="32">
        <v>44736</v>
      </c>
      <c r="T510" s="32" t="s">
        <v>720</v>
      </c>
      <c r="U510" s="24" t="s">
        <v>31</v>
      </c>
      <c r="V510" s="2"/>
      <c r="W510" s="28"/>
      <c r="X510" s="9">
        <f>Таблица2[[#This Row],[Сумма перевода ЮА]]/6.64</f>
        <v>45180.722891566271</v>
      </c>
      <c r="Y510" s="16">
        <v>300000</v>
      </c>
      <c r="Z510" s="2"/>
      <c r="AA510" s="26">
        <f>Таблица2[[#This Row],[Сумма перевода Долл/Евро]]*Таблица2[[#This Row],[Курс ДОЛЛ перевод]]+Таблица2[[#This Row],[Сумма за перевод руб]]</f>
        <v>271333.33333333349</v>
      </c>
      <c r="AB51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10" s="9"/>
      <c r="AD510" s="41"/>
    </row>
    <row r="511" spans="1:30" ht="30" x14ac:dyDescent="0.25">
      <c r="A511" s="6">
        <v>44736</v>
      </c>
      <c r="B511" s="38" t="s">
        <v>72</v>
      </c>
      <c r="C511" s="38" t="s">
        <v>73</v>
      </c>
      <c r="D511" s="1" t="s">
        <v>371</v>
      </c>
      <c r="E511" s="1"/>
      <c r="F511" s="3">
        <v>150000</v>
      </c>
      <c r="G511" s="5"/>
      <c r="H511" s="2">
        <v>8.14</v>
      </c>
      <c r="I511" s="2"/>
      <c r="J511" s="2">
        <v>0.9</v>
      </c>
      <c r="K511" s="2"/>
      <c r="L511" s="2"/>
      <c r="M511" s="26">
        <f>Таблица2[[#This Row],[Сумма ЮА]]*Таблица2[[#This Row],[Курс ЮА]]</f>
        <v>1221000</v>
      </c>
      <c r="N511" s="24">
        <f>Таблица2[[#This Row],[Сумма ЮА]]*Таблица2[[#This Row],[Курс ЮА]]/Таблица2[[#This Row],[% за перевод]]</f>
        <v>1356666.6666666667</v>
      </c>
      <c r="O51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1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135666.66666666674</v>
      </c>
      <c r="Q511" s="30">
        <v>1356666.67</v>
      </c>
      <c r="R511" s="12">
        <f>Таблица2[[#This Row],[Сумма в руб]]-Таблица2[[#This Row],[Оплата от клиента]]</f>
        <v>-3.3333331812173128E-3</v>
      </c>
      <c r="S511" s="32">
        <v>44736</v>
      </c>
      <c r="T511" s="32" t="s">
        <v>720</v>
      </c>
      <c r="U511" s="62" t="s">
        <v>936</v>
      </c>
      <c r="V511" s="2"/>
      <c r="W511" s="28"/>
      <c r="X511" s="9"/>
      <c r="Y511" s="16">
        <v>133817</v>
      </c>
      <c r="Z511" s="2"/>
      <c r="AA511" s="26">
        <f>Таблица2[[#This Row],[Сумма перевода Долл/Евро]]*Таблица2[[#This Row],[Курс ДОЛЛ перевод]]+Таблица2[[#This Row],[Сумма за перевод руб]]</f>
        <v>135666.66666666674</v>
      </c>
      <c r="AB51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11" s="9"/>
      <c r="AD511" s="41"/>
    </row>
    <row r="512" spans="1:30" x14ac:dyDescent="0.25">
      <c r="A512" s="6">
        <v>44739</v>
      </c>
      <c r="B512" s="38" t="s">
        <v>500</v>
      </c>
      <c r="C512" s="38" t="s">
        <v>504</v>
      </c>
      <c r="D512" s="1"/>
      <c r="E512" s="1"/>
      <c r="F512" s="3">
        <v>100000</v>
      </c>
      <c r="G512" s="5"/>
      <c r="H512" s="2">
        <v>8.42</v>
      </c>
      <c r="I512" s="2"/>
      <c r="J512" s="2">
        <v>0.9</v>
      </c>
      <c r="K512" s="2"/>
      <c r="L512" s="2"/>
      <c r="M512" s="26">
        <f>Таблица2[[#This Row],[Сумма ЮА]]*Таблица2[[#This Row],[Курс ЮА]]</f>
        <v>842000</v>
      </c>
      <c r="N512" s="24">
        <f>Таблица2[[#This Row],[Сумма ЮА]]*Таблица2[[#This Row],[Курс ЮА]]/Таблица2[[#This Row],[% за перевод]]</f>
        <v>935555.5555555555</v>
      </c>
      <c r="O51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93555.555555555504</v>
      </c>
      <c r="Q512" s="30">
        <v>935555.56</v>
      </c>
      <c r="R512" s="12">
        <f>Таблица2[[#This Row],[Сумма в руб]]-Таблица2[[#This Row],[Оплата от клиента]]</f>
        <v>-4.444444552063942E-3</v>
      </c>
      <c r="S512" s="32">
        <v>44740</v>
      </c>
      <c r="T512" s="32" t="s">
        <v>720</v>
      </c>
      <c r="U512" s="24" t="s">
        <v>31</v>
      </c>
      <c r="V512" s="2"/>
      <c r="W512" s="28"/>
      <c r="X512" s="9"/>
      <c r="Y512" s="16">
        <v>100000</v>
      </c>
      <c r="Z512" s="2"/>
      <c r="AA512" s="26">
        <f>Таблица2[[#This Row],[Сумма перевода Долл/Евро]]*Таблица2[[#This Row],[Курс ДОЛЛ перевод]]+Таблица2[[#This Row],[Сумма за перевод руб]]</f>
        <v>93555.555555555504</v>
      </c>
      <c r="AB51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12" s="9"/>
      <c r="AD512" s="41"/>
    </row>
    <row r="513" spans="1:30" ht="45" x14ac:dyDescent="0.25">
      <c r="A513" s="6">
        <v>44740</v>
      </c>
      <c r="B513" s="38" t="s">
        <v>726</v>
      </c>
      <c r="C513" s="38" t="s">
        <v>203</v>
      </c>
      <c r="D513" s="1" t="s">
        <v>778</v>
      </c>
      <c r="E513" s="1"/>
      <c r="F513" s="3">
        <v>23143.27</v>
      </c>
      <c r="G513" s="5"/>
      <c r="H513" s="2">
        <v>8.1300000000000008</v>
      </c>
      <c r="I513" s="2"/>
      <c r="J513" s="2">
        <v>0.97</v>
      </c>
      <c r="K513" s="2"/>
      <c r="L513" s="2"/>
      <c r="M513" s="26">
        <f>Таблица2[[#This Row],[Сумма ЮА]]*Таблица2[[#This Row],[Курс ЮА]]</f>
        <v>188154.78510000001</v>
      </c>
      <c r="N513" s="24">
        <f>Таблица2[[#This Row],[Сумма ЮА]]*Таблица2[[#This Row],[Курс ЮА]]/Таблица2[[#This Row],[% за перевод]]</f>
        <v>193974.00525773197</v>
      </c>
      <c r="O51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1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5819.2201577319647</v>
      </c>
      <c r="Q513" s="30">
        <v>193974.01</v>
      </c>
      <c r="R513" s="12">
        <f>Таблица2[[#This Row],[Сумма в руб]]-Таблица2[[#This Row],[Оплата от клиента]]</f>
        <v>-4.7422680363524705E-3</v>
      </c>
      <c r="S513" s="32">
        <v>44741</v>
      </c>
      <c r="T513" s="32" t="s">
        <v>107</v>
      </c>
      <c r="U513" s="24" t="s">
        <v>31</v>
      </c>
      <c r="V513" s="2">
        <v>7.8703000000000003</v>
      </c>
      <c r="W513" s="28"/>
      <c r="X513" s="9"/>
      <c r="Y513" s="16">
        <v>23143.27</v>
      </c>
      <c r="Z513" s="10">
        <v>44742</v>
      </c>
      <c r="AA513" s="26">
        <f>Таблица2[[#This Row],[Сумма перевода Долл/Евро]]*Таблица2[[#This Row],[Курс ДОЛЛ перевод]]+Таблица2[[#This Row],[Сумма за перевод руб]]</f>
        <v>5819.2201577319647</v>
      </c>
      <c r="AB51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13" s="9"/>
      <c r="AD513" s="41"/>
    </row>
    <row r="514" spans="1:30" ht="30" x14ac:dyDescent="0.25">
      <c r="A514" s="6">
        <v>44740</v>
      </c>
      <c r="B514" s="38" t="s">
        <v>779</v>
      </c>
      <c r="C514" s="38" t="s">
        <v>780</v>
      </c>
      <c r="D514" s="1" t="s">
        <v>781</v>
      </c>
      <c r="E514" s="1"/>
      <c r="F514" s="3">
        <v>43550</v>
      </c>
      <c r="G514" s="5"/>
      <c r="H514" s="2">
        <v>8.1300000000000008</v>
      </c>
      <c r="I514" s="2"/>
      <c r="J514" s="2">
        <v>0.9</v>
      </c>
      <c r="K514" s="2"/>
      <c r="L514" s="2"/>
      <c r="M514" s="26">
        <f>Таблица2[[#This Row],[Сумма ЮА]]*Таблица2[[#This Row],[Курс ЮА]]</f>
        <v>354061.50000000006</v>
      </c>
      <c r="N514" s="24">
        <f>Таблица2[[#This Row],[Сумма ЮА]]*Таблица2[[#This Row],[Курс ЮА]]/Таблица2[[#This Row],[% за перевод]]</f>
        <v>393401.66666666674</v>
      </c>
      <c r="O51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5682.9147325641879</v>
      </c>
      <c r="P51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39340.166666666686</v>
      </c>
      <c r="Q514" s="30">
        <v>393401.67</v>
      </c>
      <c r="R514" s="12">
        <f>Таблица2[[#This Row],[Сумма в руб]]-Таблица2[[#This Row],[Оплата от клиента]]</f>
        <v>-3.3333332394249737E-3</v>
      </c>
      <c r="S514" s="32">
        <v>44740</v>
      </c>
      <c r="T514" s="32" t="s">
        <v>720</v>
      </c>
      <c r="U514" s="24" t="s">
        <v>31</v>
      </c>
      <c r="V514" s="2"/>
      <c r="W514" s="28">
        <v>62.302799999999998</v>
      </c>
      <c r="X514" s="9" t="s">
        <v>899</v>
      </c>
      <c r="Y514" s="16">
        <v>43550</v>
      </c>
      <c r="Z514" s="2"/>
      <c r="AA514" s="26" t="e">
        <f>Таблица2[[#This Row],[Сумма перевода Долл/Евро]]*Таблица2[[#This Row],[Курс ДОЛЛ перевод]]+Таблица2[[#This Row],[Сумма за перевод руб]]</f>
        <v>#VALUE!</v>
      </c>
      <c r="AB51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14" s="9" t="s">
        <v>1094</v>
      </c>
      <c r="AD514" s="41"/>
    </row>
    <row r="515" spans="1:30" x14ac:dyDescent="0.25">
      <c r="A515" s="6">
        <v>44740</v>
      </c>
      <c r="B515" s="2" t="s">
        <v>59</v>
      </c>
      <c r="C515" s="2" t="s">
        <v>435</v>
      </c>
      <c r="D515" s="4" t="s">
        <v>766</v>
      </c>
      <c r="E515" s="1"/>
      <c r="F515" s="3"/>
      <c r="G515" s="5"/>
      <c r="H515" s="2"/>
      <c r="I515" s="2"/>
      <c r="J515" s="2">
        <v>0.99</v>
      </c>
      <c r="K515" s="2"/>
      <c r="L515" s="2"/>
      <c r="M515" s="26">
        <f>Таблица2[[#This Row],[Сумма Долл]]*Таблица2[[#This Row],[Курс ДОЛЛ]]</f>
        <v>0</v>
      </c>
      <c r="N515" s="24">
        <v>750000</v>
      </c>
      <c r="O51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515" s="12">
        <f>Таблица2[[#This Row],[Оплата от клиента]]-Таблица2[[#This Row],[Оплата от клиента]]*Таблица2[[#This Row],[% за перевод]]</f>
        <v>7500</v>
      </c>
      <c r="Q515" s="30">
        <v>750000</v>
      </c>
      <c r="R515" s="12">
        <f>Таблица2[[#This Row],[Сумма в руб]]-Таблица2[[#This Row],[Оплата от клиента]]</f>
        <v>0</v>
      </c>
      <c r="S515" s="32">
        <v>44740</v>
      </c>
      <c r="T515" s="32" t="s">
        <v>164</v>
      </c>
      <c r="U515" s="24" t="s">
        <v>31</v>
      </c>
      <c r="V515" s="2"/>
      <c r="W515" s="28">
        <v>52.7532</v>
      </c>
      <c r="X515" s="9">
        <v>14074.97</v>
      </c>
      <c r="Y515" s="16"/>
      <c r="Z515" s="10">
        <v>44741</v>
      </c>
      <c r="AA515" s="26">
        <f>Таблица2[[#This Row],[Сумма перевода Долл/Евро]]*Таблица2[[#This Row],[Курс ДОЛЛ перевод]]+Таблица2[[#This Row],[Сумма за перевод руб]]</f>
        <v>749999.70740399999</v>
      </c>
      <c r="AB51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-14074.97</v>
      </c>
      <c r="AC515" s="9"/>
      <c r="AD515" s="41"/>
    </row>
    <row r="516" spans="1:30" x14ac:dyDescent="0.25">
      <c r="A516" s="6">
        <v>44741</v>
      </c>
      <c r="B516" s="2" t="s">
        <v>59</v>
      </c>
      <c r="C516" s="2" t="s">
        <v>435</v>
      </c>
      <c r="D516" s="4" t="s">
        <v>766</v>
      </c>
      <c r="E516" s="1"/>
      <c r="F516" s="3"/>
      <c r="G516" s="5"/>
      <c r="H516" s="2"/>
      <c r="I516" s="2"/>
      <c r="J516" s="2">
        <v>0.99</v>
      </c>
      <c r="K516" s="2"/>
      <c r="L516" s="2"/>
      <c r="M516" s="26">
        <f>Таблица2[[#This Row],[Сумма Долл]]*Таблица2[[#This Row],[Курс ДОЛЛ]]</f>
        <v>0</v>
      </c>
      <c r="N516" s="24">
        <v>750000</v>
      </c>
      <c r="O51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516" s="12">
        <f>Таблица2[[#This Row],[Оплата от клиента]]-Таблица2[[#This Row],[Оплата от клиента]]*Таблица2[[#This Row],[% за перевод]]</f>
        <v>7500</v>
      </c>
      <c r="Q516" s="30">
        <v>750000</v>
      </c>
      <c r="R516" s="12">
        <f>Таблица2[[#This Row],[Сумма в руб]]-Таблица2[[#This Row],[Оплата от клиента]]</f>
        <v>0</v>
      </c>
      <c r="S516" s="32">
        <v>44741</v>
      </c>
      <c r="T516" s="32" t="s">
        <v>164</v>
      </c>
      <c r="U516" s="24" t="s">
        <v>31</v>
      </c>
      <c r="V516" s="2"/>
      <c r="W516" s="28">
        <v>52.584600000000002</v>
      </c>
      <c r="X516" s="9">
        <v>14120.1</v>
      </c>
      <c r="Y516" s="16"/>
      <c r="Z516" s="10">
        <v>44742</v>
      </c>
      <c r="AA516" s="26">
        <f>Таблица2[[#This Row],[Сумма перевода Долл/Евро]]*Таблица2[[#This Row],[Курс ДОЛЛ перевод]]+Таблица2[[#This Row],[Сумма за перевод руб]]</f>
        <v>749999.81046000007</v>
      </c>
      <c r="AB51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-14120.1</v>
      </c>
      <c r="AC516" s="9"/>
      <c r="AD516" s="41"/>
    </row>
    <row r="517" spans="1:30" ht="45" x14ac:dyDescent="0.25">
      <c r="A517" s="6">
        <v>44743</v>
      </c>
      <c r="B517" s="2" t="s">
        <v>165</v>
      </c>
      <c r="C517" s="2" t="s">
        <v>461</v>
      </c>
      <c r="D517" s="1" t="s">
        <v>782</v>
      </c>
      <c r="E517" s="1"/>
      <c r="F517" s="3"/>
      <c r="G517" s="5">
        <v>1837</v>
      </c>
      <c r="H517" s="2"/>
      <c r="I517" s="2">
        <v>54.37</v>
      </c>
      <c r="J517" s="2">
        <v>0.97</v>
      </c>
      <c r="K517" s="2"/>
      <c r="L517" s="2"/>
      <c r="M517" s="26">
        <f>Таблица2[[#This Row],[Сумма Долл]]*Таблица2[[#This Row],[Курс ДОЛЛ]]</f>
        <v>99877.69</v>
      </c>
      <c r="N51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102966.69072164949</v>
      </c>
      <c r="O51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#VALUE!</v>
      </c>
      <c r="P51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3089.0007216494851</v>
      </c>
      <c r="Q517" s="30">
        <v>102966.69</v>
      </c>
      <c r="R517" s="12">
        <f>Таблица2[[#This Row],[Сумма в руб]]-Таблица2[[#This Row],[Оплата от клиента]]</f>
        <v>7.2164948505815119E-4</v>
      </c>
      <c r="S517" s="32">
        <v>44743</v>
      </c>
      <c r="T517" s="32" t="s">
        <v>164</v>
      </c>
      <c r="U517" s="24" t="s">
        <v>31</v>
      </c>
      <c r="V517" s="2"/>
      <c r="W517" s="28" t="s">
        <v>798</v>
      </c>
      <c r="X517" s="9">
        <v>1837</v>
      </c>
      <c r="Y517" s="16"/>
      <c r="Z517" s="10">
        <v>44749</v>
      </c>
      <c r="AA517" s="26" t="e">
        <f>Таблица2[[#This Row],[Сумма перевода Долл/Евро]]*Таблица2[[#This Row],[Курс ДОЛЛ перевод]]+Таблица2[[#This Row],[Сумма за перевод руб]]</f>
        <v>#VALUE!</v>
      </c>
      <c r="AB51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#VALUE!</v>
      </c>
      <c r="AC517" s="9"/>
      <c r="AD517" s="41"/>
    </row>
    <row r="518" spans="1:30" ht="30" x14ac:dyDescent="0.25">
      <c r="A518" s="6">
        <v>44746</v>
      </c>
      <c r="B518" s="38" t="s">
        <v>783</v>
      </c>
      <c r="C518" s="38" t="s">
        <v>784</v>
      </c>
      <c r="D518" s="1" t="s">
        <v>729</v>
      </c>
      <c r="E518" s="1"/>
      <c r="F518" s="3">
        <v>12060</v>
      </c>
      <c r="G518" s="5"/>
      <c r="H518" s="2">
        <v>9.07</v>
      </c>
      <c r="I518" s="2"/>
      <c r="J518" s="2">
        <v>0.97</v>
      </c>
      <c r="K518" s="2"/>
      <c r="L518" s="2"/>
      <c r="M518" s="26">
        <f>Таблица2[[#This Row],[Сумма ЮА]]*Таблица2[[#This Row],[Курс ЮА]]</f>
        <v>109384.2</v>
      </c>
      <c r="N518" s="24">
        <f>Таблица2[[#This Row],[Сумма ЮА]]*Таблица2[[#This Row],[Курс ЮА]]/Таблица2[[#This Row],[% за перевод]]</f>
        <v>112767.21649484536</v>
      </c>
      <c r="O51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1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3383.0164948453603</v>
      </c>
      <c r="Q518" s="30">
        <v>112767.22</v>
      </c>
      <c r="R518" s="12">
        <f>Таблица2[[#This Row],[Сумма в руб]]-Таблица2[[#This Row],[Оплата от клиента]]</f>
        <v>-3.5051546437898651E-3</v>
      </c>
      <c r="S518" s="32">
        <v>44746</v>
      </c>
      <c r="T518" s="32" t="s">
        <v>107</v>
      </c>
      <c r="U518" s="24" t="s">
        <v>31</v>
      </c>
      <c r="V518" s="2">
        <v>8.9635999999999996</v>
      </c>
      <c r="W518" s="28"/>
      <c r="X518" s="9"/>
      <c r="Y518" s="16">
        <v>12060</v>
      </c>
      <c r="Z518" s="10">
        <v>44747</v>
      </c>
      <c r="AA518" s="26">
        <f>Таблица2[[#This Row],[Сумма перевода Долл/Евро]]*Таблица2[[#This Row],[Курс ДОЛЛ перевод]]+Таблица2[[#This Row],[Сумма за перевод руб]]</f>
        <v>3383.0164948453603</v>
      </c>
      <c r="AB51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18" s="9"/>
      <c r="AD518" s="41"/>
    </row>
    <row r="519" spans="1:30" ht="30" x14ac:dyDescent="0.25">
      <c r="A519" s="6">
        <v>44746</v>
      </c>
      <c r="B519" s="38" t="s">
        <v>786</v>
      </c>
      <c r="C519" s="38" t="s">
        <v>785</v>
      </c>
      <c r="D519" s="1" t="s">
        <v>787</v>
      </c>
      <c r="E519" s="1"/>
      <c r="F519" s="3">
        <v>22485</v>
      </c>
      <c r="G519" s="5"/>
      <c r="H519" s="2">
        <v>8.98</v>
      </c>
      <c r="I519" s="2"/>
      <c r="J519" s="2">
        <v>0.92</v>
      </c>
      <c r="K519" s="2"/>
      <c r="L519" s="2"/>
      <c r="M519" s="26">
        <f>Таблица2[[#This Row],[Сумма ЮА]]*Таблица2[[#This Row],[Курс ЮА]]</f>
        <v>201915.30000000002</v>
      </c>
      <c r="N519" s="24">
        <f>Таблица2[[#This Row],[Сумма ЮА]]*Таблица2[[#This Row],[Курс ЮА]]/Таблица2[[#This Row],[% за перевод]]</f>
        <v>219473.15217391305</v>
      </c>
      <c r="O51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3433.390637195138</v>
      </c>
      <c r="P5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17557.852173913037</v>
      </c>
      <c r="Q519" s="30">
        <f>188189.67+ 31283.48</f>
        <v>219473.15000000002</v>
      </c>
      <c r="R519" s="12">
        <f>Таблица2[[#This Row],[Сумма в руб]]-Таблица2[[#This Row],[Оплата от клиента]]</f>
        <v>2.1739130315836519E-3</v>
      </c>
      <c r="S519" s="32">
        <v>44754</v>
      </c>
      <c r="T519" s="32" t="s">
        <v>720</v>
      </c>
      <c r="U519" s="24" t="s">
        <v>31</v>
      </c>
      <c r="V519" s="2"/>
      <c r="W519" s="28">
        <v>58.8093</v>
      </c>
      <c r="X519" s="9">
        <v>3576.44</v>
      </c>
      <c r="Y519" s="16">
        <v>22485</v>
      </c>
      <c r="Z519" s="2"/>
      <c r="AA519" s="26">
        <f>Таблица2[[#This Row],[Сумма перевода Долл/Евро]]*Таблица2[[#This Row],[Курс ДОЛЛ перевод]]+Таблица2[[#This Row],[Сумма за перевод руб]]</f>
        <v>227885.78506591305</v>
      </c>
      <c r="AB51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19" s="9"/>
      <c r="AD519" s="41"/>
    </row>
    <row r="520" spans="1:30" x14ac:dyDescent="0.25">
      <c r="A520" s="6">
        <v>44747</v>
      </c>
      <c r="B520" s="2" t="s">
        <v>126</v>
      </c>
      <c r="C520" s="2" t="s">
        <v>52</v>
      </c>
      <c r="D520" s="1" t="s">
        <v>789</v>
      </c>
      <c r="E520" s="1"/>
      <c r="F520" s="3"/>
      <c r="G520" s="5">
        <v>4000</v>
      </c>
      <c r="H520" s="2"/>
      <c r="I520" s="2">
        <v>58.41</v>
      </c>
      <c r="J520" s="2">
        <v>0.97</v>
      </c>
      <c r="K520" s="2"/>
      <c r="L520" s="2"/>
      <c r="M520" s="26">
        <f>Таблица2[[#This Row],[Сумма Долл]]*Таблица2[[#This Row],[Курс ДОЛЛ]]</f>
        <v>233640</v>
      </c>
      <c r="N52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240865.97938144329</v>
      </c>
      <c r="O52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3770.832055623162</v>
      </c>
      <c r="P5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7225.9793814432924</v>
      </c>
      <c r="Q520" s="30">
        <v>240865.98</v>
      </c>
      <c r="R520" s="12">
        <f>Таблица2[[#This Row],[Сумма в руб]]-Таблица2[[#This Row],[Оплата от клиента]]</f>
        <v>-6.1855671810917556E-4</v>
      </c>
      <c r="S520" s="32">
        <v>44747</v>
      </c>
      <c r="T520" s="32" t="s">
        <v>164</v>
      </c>
      <c r="U520" s="24" t="s">
        <v>31</v>
      </c>
      <c r="V520" s="2"/>
      <c r="W520" s="28">
        <v>61.959800000000001</v>
      </c>
      <c r="X520" s="9">
        <v>4000</v>
      </c>
      <c r="Y520" s="16"/>
      <c r="Z520" s="10">
        <v>44748</v>
      </c>
      <c r="AA520" s="26">
        <f>Таблица2[[#This Row],[Сумма перевода Долл/Евро]]*Таблица2[[#This Row],[Курс ДОЛЛ перевод]]+Таблица2[[#This Row],[Сумма за перевод руб]]</f>
        <v>255065.1793814433</v>
      </c>
      <c r="AB52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-229.16794437683802</v>
      </c>
      <c r="AC520" s="9"/>
      <c r="AD520" s="41"/>
    </row>
    <row r="521" spans="1:30" ht="30" x14ac:dyDescent="0.25">
      <c r="A521" s="6">
        <v>44747</v>
      </c>
      <c r="B521" s="38" t="s">
        <v>788</v>
      </c>
      <c r="C521" s="38" t="s">
        <v>791</v>
      </c>
      <c r="D521" s="1" t="s">
        <v>790</v>
      </c>
      <c r="E521" s="1"/>
      <c r="F521" s="3">
        <v>12481.31</v>
      </c>
      <c r="G521" s="5"/>
      <c r="H521" s="2">
        <v>9.18</v>
      </c>
      <c r="I521" s="2"/>
      <c r="J521" s="2">
        <v>0.97</v>
      </c>
      <c r="K521" s="2"/>
      <c r="L521" s="2"/>
      <c r="M521" s="26">
        <f>Таблица2[[#This Row],[Сумма ЮА]]*Таблица2[[#This Row],[Курс ЮА]]</f>
        <v>114578.4258</v>
      </c>
      <c r="N521" s="24">
        <f>Таблица2[[#This Row],[Сумма ЮА]]*Таблица2[[#This Row],[Курс ЮА]]/Таблица2[[#This Row],[% за перевод]]</f>
        <v>118122.08845360824</v>
      </c>
      <c r="O52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3543.6626536082476</v>
      </c>
      <c r="Q521" s="30">
        <v>118122.09</v>
      </c>
      <c r="R521" s="12">
        <f>Таблица2[[#This Row],[Сумма в руб]]-Таблица2[[#This Row],[Оплата от клиента]]</f>
        <v>-1.5463917516171932E-3</v>
      </c>
      <c r="S521" s="32">
        <v>44747</v>
      </c>
      <c r="T521" s="32" t="s">
        <v>107</v>
      </c>
      <c r="U521" s="24" t="s">
        <v>31</v>
      </c>
      <c r="V521" s="2">
        <v>9.5326000000000004</v>
      </c>
      <c r="W521" s="28"/>
      <c r="X521" s="9"/>
      <c r="Y521" s="16">
        <v>12481.31</v>
      </c>
      <c r="Z521" s="10">
        <v>44748</v>
      </c>
      <c r="AA521" s="26">
        <f>Таблица2[[#This Row],[Сумма перевода Долл/Евро]]*Таблица2[[#This Row],[Курс ДОЛЛ перевод]]+Таблица2[[#This Row],[Сумма за перевод руб]]</f>
        <v>3543.6626536082476</v>
      </c>
      <c r="AB52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21" s="9"/>
      <c r="AD521" s="41"/>
    </row>
    <row r="522" spans="1:30" x14ac:dyDescent="0.25">
      <c r="A522" s="6">
        <v>44747</v>
      </c>
      <c r="B522" s="38" t="s">
        <v>762</v>
      </c>
      <c r="C522" s="38" t="s">
        <v>761</v>
      </c>
      <c r="D522" s="1"/>
      <c r="E522" s="1"/>
      <c r="F522" s="3">
        <v>148109</v>
      </c>
      <c r="G522" s="5"/>
      <c r="H522" s="2">
        <v>9.35</v>
      </c>
      <c r="I522" s="2"/>
      <c r="J522" s="2">
        <v>0.97</v>
      </c>
      <c r="K522" s="2"/>
      <c r="L522" s="2"/>
      <c r="M522" s="26">
        <f>Таблица2[[#This Row],[Сумма ЮА]]*Таблица2[[#This Row],[Курс ЮА]]</f>
        <v>1384819.15</v>
      </c>
      <c r="N522" s="24">
        <f>Таблица2[[#This Row],[Сумма ЮА]]*Таблица2[[#This Row],[Курс ЮА]]/Таблица2[[#This Row],[% за перевод]]</f>
        <v>1427648.6082474226</v>
      </c>
      <c r="O52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42829.458247422706</v>
      </c>
      <c r="Q522" s="30">
        <v>1427648.61</v>
      </c>
      <c r="R522" s="12">
        <f>Таблица2[[#This Row],[Сумма в руб]]-Таблица2[[#This Row],[Оплата от клиента]]</f>
        <v>-1.7525774892419577E-3</v>
      </c>
      <c r="S522" s="32">
        <v>44747</v>
      </c>
      <c r="T522" s="32" t="s">
        <v>107</v>
      </c>
      <c r="U522" s="24" t="s">
        <v>810</v>
      </c>
      <c r="V522" s="2">
        <v>9.5370000000000008</v>
      </c>
      <c r="W522" s="28"/>
      <c r="X522" s="9"/>
      <c r="Y522" s="16">
        <v>148109</v>
      </c>
      <c r="Z522" s="10">
        <v>44747</v>
      </c>
      <c r="AA522" s="26">
        <f>Таблица2[[#This Row],[Сумма перевода Долл/Евро]]*Таблица2[[#This Row],[Курс ДОЛЛ перевод]]+Таблица2[[#This Row],[Сумма за перевод руб]]</f>
        <v>42829.458247422706</v>
      </c>
      <c r="AB52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22" s="9"/>
      <c r="AD522" s="41"/>
    </row>
    <row r="523" spans="1:30" ht="45" x14ac:dyDescent="0.25">
      <c r="A523" s="6">
        <v>44748</v>
      </c>
      <c r="B523" s="38" t="s">
        <v>81</v>
      </c>
      <c r="C523" s="38" t="s">
        <v>82</v>
      </c>
      <c r="D523" s="1" t="s">
        <v>792</v>
      </c>
      <c r="E523" s="1"/>
      <c r="F523" s="3">
        <v>5197.6000000000004</v>
      </c>
      <c r="G523" s="5"/>
      <c r="H523" s="2">
        <v>9.7200000000000006</v>
      </c>
      <c r="I523" s="2"/>
      <c r="J523" s="2">
        <v>0.9</v>
      </c>
      <c r="K523" s="2"/>
      <c r="L523" s="2"/>
      <c r="M523" s="26">
        <f>Таблица2[[#This Row],[Сумма ЮА]]*Таблица2[[#This Row],[Курс ЮА]]</f>
        <v>50520.672000000006</v>
      </c>
      <c r="N523" s="24">
        <f>Таблица2[[#This Row],[Сумма ЮА]]*Таблица2[[#This Row],[Курс ЮА]]/Таблица2[[#This Row],[% за перевод]]</f>
        <v>56134.080000000002</v>
      </c>
      <c r="O52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793.90580115532828</v>
      </c>
      <c r="P5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5613.4079999999958</v>
      </c>
      <c r="Q523" s="30">
        <v>56134.080000000002</v>
      </c>
      <c r="R523" s="12">
        <f>Таблица2[[#This Row],[Сумма в руб]]-Таблица2[[#This Row],[Оплата от клиента]]</f>
        <v>0</v>
      </c>
      <c r="S523" s="32">
        <v>44748</v>
      </c>
      <c r="T523" s="32" t="s">
        <v>720</v>
      </c>
      <c r="U523" s="24" t="s">
        <v>31</v>
      </c>
      <c r="V523" s="2"/>
      <c r="W523" s="28">
        <v>63.635599999999997</v>
      </c>
      <c r="X523" s="9">
        <v>826.98</v>
      </c>
      <c r="Y523" s="16">
        <v>5197.6000000000004</v>
      </c>
      <c r="Z523" s="2"/>
      <c r="AA523" s="26">
        <f>Таблица2[[#This Row],[Сумма перевода Долл/Евро]]*Таблица2[[#This Row],[Курс ДОЛЛ перевод]]+Таблица2[[#This Row],[Сумма за перевод руб]]</f>
        <v>58238.776487999996</v>
      </c>
      <c r="AB52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23" s="9"/>
      <c r="AD523" s="41"/>
    </row>
    <row r="524" spans="1:30" x14ac:dyDescent="0.25">
      <c r="A524" s="6">
        <v>44748</v>
      </c>
      <c r="B524" s="38" t="s">
        <v>32</v>
      </c>
      <c r="C524" s="38" t="s">
        <v>33</v>
      </c>
      <c r="D524" s="1" t="s">
        <v>793</v>
      </c>
      <c r="E524" s="1"/>
      <c r="F524" s="3">
        <v>24180</v>
      </c>
      <c r="G524" s="5"/>
      <c r="H524" s="2">
        <v>9.7200000000000006</v>
      </c>
      <c r="I524" s="2">
        <v>63.41</v>
      </c>
      <c r="J524" s="2"/>
      <c r="K524" s="2">
        <v>80</v>
      </c>
      <c r="L524" s="2"/>
      <c r="M524" s="26">
        <f>Таблица2[[#This Row],[Сумма ЮА]]*Таблица2[[#This Row],[Курс ЮА]]</f>
        <v>235029.6</v>
      </c>
      <c r="N524" s="24">
        <f>Таблица2[[#This Row],[Сумма ЮА]]*Таблица2[[#This Row],[Курс ЮА]]+Таблица2[[#This Row],[Долл за перевод]]*Таблица2[[#This Row],[Курс ДОЛЛ]]</f>
        <v>240102.39999999999</v>
      </c>
      <c r="O52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3706.5068601167013</v>
      </c>
      <c r="P52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5072.7999999999993</v>
      </c>
      <c r="Q524" s="30">
        <v>240102.39999999999</v>
      </c>
      <c r="R524" s="12">
        <f>Таблица2[[#This Row],[Сумма в руб]]-Таблица2[[#This Row],[Оплата от клиента]]</f>
        <v>0</v>
      </c>
      <c r="S524" s="32">
        <v>44748</v>
      </c>
      <c r="T524" s="32" t="s">
        <v>107</v>
      </c>
      <c r="U524" s="24" t="s">
        <v>31</v>
      </c>
      <c r="V524" s="2">
        <v>9.7575000000000003</v>
      </c>
      <c r="W524" s="28"/>
      <c r="X524" s="9"/>
      <c r="Y524" s="16">
        <v>24180</v>
      </c>
      <c r="Z524" s="10">
        <v>44750</v>
      </c>
      <c r="AA524" s="26">
        <f>Таблица2[[#This Row],[Сумма перевода Долл/Евро]]*Таблица2[[#This Row],[Курс ДОЛЛ перевод]]+Таблица2[[#This Row],[Сумма за перевод руб]]</f>
        <v>5072.7999999999993</v>
      </c>
      <c r="AB52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1228.4130860967166</v>
      </c>
      <c r="AC524" s="9"/>
      <c r="AD524" s="41"/>
    </row>
    <row r="525" spans="1:30" x14ac:dyDescent="0.25">
      <c r="A525" s="6">
        <v>44748</v>
      </c>
      <c r="B525" s="38" t="s">
        <v>104</v>
      </c>
      <c r="C525" s="38" t="s">
        <v>105</v>
      </c>
      <c r="D525" s="4" t="s">
        <v>794</v>
      </c>
      <c r="E525" s="1"/>
      <c r="F525" s="3">
        <v>51677</v>
      </c>
      <c r="G525" s="5"/>
      <c r="H525" s="2">
        <v>9.69</v>
      </c>
      <c r="I525" s="2"/>
      <c r="J525" s="2">
        <v>0.9</v>
      </c>
      <c r="K525" s="2"/>
      <c r="L525" s="2"/>
      <c r="M525" s="26">
        <f>Таблица2[[#This Row],[Сумма ЮА]]*Таблица2[[#This Row],[Курс ЮА]]</f>
        <v>500750.12999999995</v>
      </c>
      <c r="N525" s="24">
        <f>Таблица2[[#This Row],[Сумма ЮА]]*Таблица2[[#This Row],[Курс ЮА]]/Таблица2[[#This Row],[% за перевод]]</f>
        <v>556389.03333333321</v>
      </c>
      <c r="O52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8064.4792594370074</v>
      </c>
      <c r="P52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55638.903333333263</v>
      </c>
      <c r="Q525" s="30">
        <v>556389.03</v>
      </c>
      <c r="R525" s="12">
        <f>Таблица2[[#This Row],[Сумма в руб]]-Таблица2[[#This Row],[Оплата от клиента]]</f>
        <v>3.3333331812173128E-3</v>
      </c>
      <c r="S525" s="32">
        <v>44750</v>
      </c>
      <c r="T525" s="32" t="s">
        <v>720</v>
      </c>
      <c r="U525" s="24" t="s">
        <v>31</v>
      </c>
      <c r="V525" s="2"/>
      <c r="W525" s="28">
        <v>62.093299999999999</v>
      </c>
      <c r="X525" s="9">
        <v>8400.49</v>
      </c>
      <c r="Y525" s="16">
        <v>53950</v>
      </c>
      <c r="Z525" s="2"/>
      <c r="AA525" s="26">
        <f>Таблица2[[#This Row],[Сумма перевода Долл/Евро]]*Таблица2[[#This Row],[Курс ДОЛЛ перевод]]+Таблица2[[#This Row],[Сумма за перевод руб]]</f>
        <v>577253.04905033321</v>
      </c>
      <c r="AB52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25" s="9"/>
      <c r="AD525" s="41"/>
    </row>
    <row r="526" spans="1:30" ht="45" x14ac:dyDescent="0.25">
      <c r="A526" s="6">
        <v>44749</v>
      </c>
      <c r="B526" s="38" t="s">
        <v>726</v>
      </c>
      <c r="C526" s="38" t="s">
        <v>203</v>
      </c>
      <c r="D526" s="1" t="s">
        <v>795</v>
      </c>
      <c r="E526" s="1"/>
      <c r="F526" s="3">
        <v>20050</v>
      </c>
      <c r="G526" s="5"/>
      <c r="H526" s="2">
        <v>9.84</v>
      </c>
      <c r="I526" s="2"/>
      <c r="J526" s="2">
        <v>0.97</v>
      </c>
      <c r="K526" s="2"/>
      <c r="L526" s="2"/>
      <c r="M526" s="26">
        <f>Таблица2[[#This Row],[Сумма ЮА]]*Таблица2[[#This Row],[Курс ЮА]]</f>
        <v>197292</v>
      </c>
      <c r="N526" s="24">
        <f>Таблица2[[#This Row],[Сумма ЮА]]*Таблица2[[#This Row],[Курс ЮА]]/Таблица2[[#This Row],[% за перевод]]</f>
        <v>203393.81443298969</v>
      </c>
      <c r="O52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6101.8144329896895</v>
      </c>
      <c r="Q526" s="30">
        <v>203393.81</v>
      </c>
      <c r="R526" s="12">
        <f>Таблица2[[#This Row],[Сумма в руб]]-Таблица2[[#This Row],[Оплата от клиента]]</f>
        <v>4.432989691849798E-3</v>
      </c>
      <c r="S526" s="32">
        <v>44749</v>
      </c>
      <c r="T526" s="32" t="s">
        <v>107</v>
      </c>
      <c r="U526" s="24" t="s">
        <v>31</v>
      </c>
      <c r="V526" s="2">
        <v>9.6843000000000004</v>
      </c>
      <c r="W526" s="28"/>
      <c r="X526" s="9"/>
      <c r="Y526" s="16">
        <v>20050</v>
      </c>
      <c r="Z526" s="10">
        <v>44750</v>
      </c>
      <c r="AA526" s="26">
        <f>Таблица2[[#This Row],[Сумма перевода Долл/Евро]]*Таблица2[[#This Row],[Курс ДОЛЛ перевод]]+Таблица2[[#This Row],[Сумма за перевод руб]]</f>
        <v>6101.8144329896895</v>
      </c>
      <c r="AB52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26" s="9"/>
      <c r="AD526" s="41"/>
    </row>
    <row r="527" spans="1:30" ht="30" x14ac:dyDescent="0.25">
      <c r="A527" s="6">
        <v>44749</v>
      </c>
      <c r="B527" s="38" t="s">
        <v>289</v>
      </c>
      <c r="C527" s="38" t="s">
        <v>103</v>
      </c>
      <c r="D527" s="1" t="s">
        <v>796</v>
      </c>
      <c r="E527" s="1"/>
      <c r="F527" s="3">
        <v>42864</v>
      </c>
      <c r="G527" s="5"/>
      <c r="H527" s="2">
        <v>9.84</v>
      </c>
      <c r="I527" s="2"/>
      <c r="J527" s="2">
        <v>0.97</v>
      </c>
      <c r="K527" s="2"/>
      <c r="L527" s="2"/>
      <c r="M527" s="26">
        <f>Таблица2[[#This Row],[Сумма ЮА]]*Таблица2[[#This Row],[Курс ЮА]]</f>
        <v>421781.76000000001</v>
      </c>
      <c r="N527" s="24">
        <f>Таблица2[[#This Row],[Сумма ЮА]]*Таблица2[[#This Row],[Курс ЮА]]/Таблица2[[#This Row],[% за перевод]]</f>
        <v>434826.55670103093</v>
      </c>
      <c r="O52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13044.796701030922</v>
      </c>
      <c r="Q527" s="30">
        <v>434826.56</v>
      </c>
      <c r="R527" s="12">
        <f>Таблица2[[#This Row],[Сумма в руб]]-Таблица2[[#This Row],[Оплата от клиента]]</f>
        <v>-3.2989690662361681E-3</v>
      </c>
      <c r="S527" s="32">
        <v>44749</v>
      </c>
      <c r="T527" s="32" t="s">
        <v>107</v>
      </c>
      <c r="U527" s="24" t="s">
        <v>31</v>
      </c>
      <c r="V527" s="2">
        <v>9.6590000000000007</v>
      </c>
      <c r="W527" s="28"/>
      <c r="X527" s="9"/>
      <c r="Y527" s="16">
        <v>42864</v>
      </c>
      <c r="Z527" s="10">
        <v>44750</v>
      </c>
      <c r="AA527" s="26">
        <f>Таблица2[[#This Row],[Сумма перевода Долл/Евро]]*Таблица2[[#This Row],[Курс ДОЛЛ перевод]]+Таблица2[[#This Row],[Сумма за перевод руб]]</f>
        <v>13044.796701030922</v>
      </c>
      <c r="AB52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27" s="9"/>
      <c r="AD527" s="41"/>
    </row>
    <row r="528" spans="1:30" x14ac:dyDescent="0.25">
      <c r="A528" s="6">
        <v>44749</v>
      </c>
      <c r="B528" s="38" t="s">
        <v>502</v>
      </c>
      <c r="C528" s="38" t="s">
        <v>503</v>
      </c>
      <c r="D528" s="1" t="s">
        <v>797</v>
      </c>
      <c r="E528" s="1"/>
      <c r="F528" s="3">
        <v>20713.599999999999</v>
      </c>
      <c r="G528" s="5"/>
      <c r="H528" s="2">
        <v>9.84</v>
      </c>
      <c r="I528" s="2"/>
      <c r="J528" s="2">
        <v>0.9</v>
      </c>
      <c r="K528" s="2"/>
      <c r="L528" s="2"/>
      <c r="M528" s="26">
        <f>Таблица2[[#This Row],[Сумма ЮА]]*Таблица2[[#This Row],[Курс ЮА]]</f>
        <v>203821.82399999999</v>
      </c>
      <c r="N528" s="24">
        <f>Таблица2[[#This Row],[Сумма ЮА]]*Таблица2[[#This Row],[Курс ЮА]]/Таблица2[[#This Row],[% за перевод]]</f>
        <v>226468.69333333333</v>
      </c>
      <c r="O52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3286.9398286716896</v>
      </c>
      <c r="P5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22646.869333333336</v>
      </c>
      <c r="Q528" s="30">
        <v>226468.69</v>
      </c>
      <c r="R528" s="12">
        <f>Таблица2[[#This Row],[Сумма в руб]]-Таблица2[[#This Row],[Оплата от клиента]]</f>
        <v>3.3333333267364651E-3</v>
      </c>
      <c r="S528" s="32">
        <v>44750</v>
      </c>
      <c r="T528" s="32" t="s">
        <v>720</v>
      </c>
      <c r="U528" s="24" t="s">
        <v>31</v>
      </c>
      <c r="V528" s="2"/>
      <c r="W528" s="28">
        <v>62.009599999999999</v>
      </c>
      <c r="X528" s="9">
        <v>3423.89</v>
      </c>
      <c r="Y528" s="16">
        <v>20173.599999999999</v>
      </c>
      <c r="Z528" s="2"/>
      <c r="AA528" s="26">
        <f>Таблица2[[#This Row],[Сумма перевода Долл/Евро]]*Таблица2[[#This Row],[Курс ДОЛЛ перевод]]+Таблица2[[#This Row],[Сумма за перевод руб]]</f>
        <v>234960.91867733333</v>
      </c>
      <c r="AB52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28" s="9"/>
      <c r="AD528" s="41"/>
    </row>
    <row r="529" spans="1:30" ht="30" x14ac:dyDescent="0.25">
      <c r="A529" s="6">
        <v>44750</v>
      </c>
      <c r="B529" s="38" t="s">
        <v>799</v>
      </c>
      <c r="C529" s="38" t="s">
        <v>221</v>
      </c>
      <c r="D529" s="4" t="s">
        <v>769</v>
      </c>
      <c r="E529" s="1"/>
      <c r="F529" s="3">
        <v>47987.48</v>
      </c>
      <c r="G529" s="5"/>
      <c r="H529" s="2">
        <v>9.51</v>
      </c>
      <c r="I529" s="2"/>
      <c r="J529" s="2">
        <v>0.97</v>
      </c>
      <c r="K529" s="2"/>
      <c r="L529" s="2"/>
      <c r="M529" s="26">
        <f>Таблица2[[#This Row],[Сумма ЮА]]*Таблица2[[#This Row],[Курс ЮА]]</f>
        <v>456360.93480000005</v>
      </c>
      <c r="N529" s="24">
        <f>Таблица2[[#This Row],[Сумма ЮА]]*Таблица2[[#This Row],[Курс ЮА]]/Таблица2[[#This Row],[% за перевод]]</f>
        <v>470475.190515464</v>
      </c>
      <c r="O52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2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14114.255715463951</v>
      </c>
      <c r="Q529" s="30">
        <v>470475.19</v>
      </c>
      <c r="R529" s="12">
        <f>Таблица2[[#This Row],[Сумма в руб]]-Таблица2[[#This Row],[Оплата от клиента]]</f>
        <v>5.1546399481594563E-4</v>
      </c>
      <c r="S529" s="32">
        <v>44750</v>
      </c>
      <c r="T529" s="32" t="s">
        <v>107</v>
      </c>
      <c r="U529" s="24" t="s">
        <v>31</v>
      </c>
      <c r="V529" s="2">
        <v>9.3879999999999999</v>
      </c>
      <c r="W529" s="28"/>
      <c r="X529" s="9"/>
      <c r="Y529" s="16">
        <v>47987.48</v>
      </c>
      <c r="Z529" s="2"/>
      <c r="AA529" s="26">
        <f>Таблица2[[#This Row],[Сумма перевода Долл/Евро]]*Таблица2[[#This Row],[Курс ДОЛЛ перевод]]+Таблица2[[#This Row],[Сумма за перевод руб]]</f>
        <v>14114.255715463951</v>
      </c>
      <c r="AB52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29" s="9"/>
      <c r="AD529" s="41"/>
    </row>
    <row r="530" spans="1:30" x14ac:dyDescent="0.25">
      <c r="A530" s="6">
        <v>44753</v>
      </c>
      <c r="B530" s="38" t="s">
        <v>452</v>
      </c>
      <c r="C530" s="38" t="s">
        <v>447</v>
      </c>
      <c r="D530" s="1" t="s">
        <v>800</v>
      </c>
      <c r="E530" s="1"/>
      <c r="F530" s="3"/>
      <c r="G530" s="5">
        <v>1223</v>
      </c>
      <c r="H530" s="2"/>
      <c r="I530" s="2">
        <v>63.95</v>
      </c>
      <c r="J530" s="2">
        <v>0.9</v>
      </c>
      <c r="K530" s="2"/>
      <c r="L530" s="2"/>
      <c r="M530" s="26">
        <f>Таблица2[[#This Row],[Сумма Долл]]*Таблица2[[#This Row],[Курс ДОЛЛ]]</f>
        <v>78210.850000000006</v>
      </c>
      <c r="N53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86900.944444444453</v>
      </c>
      <c r="O53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1263.2685365400614</v>
      </c>
      <c r="P53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8690.0944444444467</v>
      </c>
      <c r="Q530" s="30">
        <v>86900.94</v>
      </c>
      <c r="R530" s="12">
        <f>Таблица2[[#This Row],[Сумма в руб]]-Таблица2[[#This Row],[Оплата от клиента]]</f>
        <v>4.4444444502005354E-3</v>
      </c>
      <c r="S530" s="32">
        <v>44753</v>
      </c>
      <c r="T530" s="32" t="s">
        <v>720</v>
      </c>
      <c r="U530" s="24" t="s">
        <v>375</v>
      </c>
      <c r="V530" s="2"/>
      <c r="W530" s="28">
        <v>61.911499999999997</v>
      </c>
      <c r="X530" s="9">
        <v>1223</v>
      </c>
      <c r="Y530" s="16"/>
      <c r="Z530" s="2"/>
      <c r="AA530" s="26">
        <f>Таблица2[[#This Row],[Сумма перевода Долл/Евро]]*Таблица2[[#This Row],[Курс ДОЛЛ перевод]]+Таблица2[[#This Row],[Сумма за перевод руб]]</f>
        <v>84407.858944444437</v>
      </c>
      <c r="AB53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40.268536540061405</v>
      </c>
      <c r="AC530" s="9"/>
      <c r="AD530" s="41"/>
    </row>
    <row r="531" spans="1:30" x14ac:dyDescent="0.25">
      <c r="A531" s="6">
        <v>44753</v>
      </c>
      <c r="B531" s="2" t="s">
        <v>126</v>
      </c>
      <c r="C531" s="2" t="s">
        <v>52</v>
      </c>
      <c r="D531" s="1" t="s">
        <v>801</v>
      </c>
      <c r="E531" s="1"/>
      <c r="F531" s="3"/>
      <c r="G531" s="5">
        <v>4000</v>
      </c>
      <c r="H531" s="2"/>
      <c r="I531" s="2">
        <v>62.21</v>
      </c>
      <c r="J531" s="2">
        <v>0.97</v>
      </c>
      <c r="K531" s="2"/>
      <c r="L531" s="2"/>
      <c r="M531" s="26">
        <f>Таблица2[[#This Row],[Сумма Долл]]*Таблица2[[#This Row],[Курс ДОЛЛ]]</f>
        <v>248840</v>
      </c>
      <c r="N53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256536.0824742268</v>
      </c>
      <c r="O53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4002.7281091758409</v>
      </c>
      <c r="P53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7696.0824742268014</v>
      </c>
      <c r="Q531" s="30">
        <v>256536.08</v>
      </c>
      <c r="R531" s="12">
        <f>Таблица2[[#This Row],[Сумма в руб]]-Таблица2[[#This Row],[Оплата от клиента]]</f>
        <v>2.4742268142290413E-3</v>
      </c>
      <c r="S531" s="32">
        <v>44753</v>
      </c>
      <c r="T531" s="32" t="s">
        <v>164</v>
      </c>
      <c r="U531" s="24" t="s">
        <v>31</v>
      </c>
      <c r="V531" s="2"/>
      <c r="W531" s="28">
        <v>62.1676</v>
      </c>
      <c r="X531" s="9">
        <v>4000</v>
      </c>
      <c r="Y531" s="16"/>
      <c r="Z531" s="10">
        <v>44754</v>
      </c>
      <c r="AA531" s="26">
        <f>Таблица2[[#This Row],[Сумма перевода Долл/Евро]]*Таблица2[[#This Row],[Курс ДОЛЛ перевод]]+Таблица2[[#This Row],[Сумма за перевод руб]]</f>
        <v>256366.4824742268</v>
      </c>
      <c r="AB53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2.7281091758409275</v>
      </c>
      <c r="AC531" s="9"/>
      <c r="AD531" s="41"/>
    </row>
    <row r="532" spans="1:30" x14ac:dyDescent="0.25">
      <c r="A532" s="6">
        <v>44753</v>
      </c>
      <c r="B532" s="38" t="s">
        <v>104</v>
      </c>
      <c r="C532" s="38" t="s">
        <v>105</v>
      </c>
      <c r="D532" s="1" t="s">
        <v>464</v>
      </c>
      <c r="E532" s="1"/>
      <c r="F532" s="3">
        <v>13735</v>
      </c>
      <c r="G532" s="5"/>
      <c r="H532" s="2">
        <v>9.51</v>
      </c>
      <c r="I532" s="2"/>
      <c r="J532" s="2">
        <v>0.9</v>
      </c>
      <c r="K532" s="2"/>
      <c r="L532" s="2"/>
      <c r="M532" s="26">
        <f>Таблица2[[#This Row],[Сумма ЮА]]*Таблица2[[#This Row],[Курс ЮА]]</f>
        <v>130619.84999999999</v>
      </c>
      <c r="N532" s="24">
        <f>Таблица2[[#This Row],[Сумма ЮА]]*Таблица2[[#This Row],[Курс ЮА]]/Таблица2[[#This Row],[% за перевод]]</f>
        <v>145133.16666666666</v>
      </c>
      <c r="O53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2157.6755157564012</v>
      </c>
      <c r="P5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14513.316666666666</v>
      </c>
      <c r="Q532" s="30">
        <v>145133.17000000001</v>
      </c>
      <c r="R532" s="12">
        <f>Таблица2[[#This Row],[Сумма в руб]]-Таблица2[[#This Row],[Оплата от клиента]]</f>
        <v>-3.3333333558402956E-3</v>
      </c>
      <c r="S532" s="32">
        <v>44753</v>
      </c>
      <c r="T532" s="32" t="s">
        <v>720</v>
      </c>
      <c r="U532" s="24" t="s">
        <v>31</v>
      </c>
      <c r="V532" s="2"/>
      <c r="W532" s="28">
        <v>60.537300000000002</v>
      </c>
      <c r="X532" s="9">
        <v>2247.5700000000002</v>
      </c>
      <c r="Y532" s="16">
        <v>13765</v>
      </c>
      <c r="Z532" s="2"/>
      <c r="AA532" s="26">
        <f>Таблица2[[#This Row],[Сумма перевода Долл/Евро]]*Таблица2[[#This Row],[Курс ДОЛЛ перевод]]+Таблица2[[#This Row],[Сумма за перевод руб]]</f>
        <v>150575.13602766668</v>
      </c>
      <c r="AB53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32" s="9"/>
      <c r="AD532" s="41"/>
    </row>
    <row r="533" spans="1:30" ht="30" x14ac:dyDescent="0.25">
      <c r="A533" s="6">
        <v>44754</v>
      </c>
      <c r="B533" s="38" t="s">
        <v>803</v>
      </c>
      <c r="C533" s="38" t="s">
        <v>802</v>
      </c>
      <c r="D533" s="1" t="s">
        <v>807</v>
      </c>
      <c r="E533" s="1"/>
      <c r="F533" s="3">
        <v>74600</v>
      </c>
      <c r="G533" s="5"/>
      <c r="H533" s="2">
        <v>9.07</v>
      </c>
      <c r="I533" s="2"/>
      <c r="J533" s="2">
        <v>0.97</v>
      </c>
      <c r="K533" s="2"/>
      <c r="L533" s="2"/>
      <c r="M533" s="26">
        <f>Таблица2[[#This Row],[Сумма ЮА]]*Таблица2[[#This Row],[Курс ЮА]]</f>
        <v>676622</v>
      </c>
      <c r="N533" s="24">
        <f>Таблица2[[#This Row],[Сумма ЮА]]*Таблица2[[#This Row],[Курс ЮА]]/Таблица2[[#This Row],[% за перевод]]</f>
        <v>697548.45360824745</v>
      </c>
      <c r="O53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20926.453608247451</v>
      </c>
      <c r="Q533" s="30">
        <v>697548.45</v>
      </c>
      <c r="R533" s="12">
        <f>Таблица2[[#This Row],[Сумма в руб]]-Таблица2[[#This Row],[Оплата от клиента]]</f>
        <v>3.6082474980503321E-3</v>
      </c>
      <c r="S533" s="32">
        <v>44754</v>
      </c>
      <c r="T533" s="32" t="s">
        <v>107</v>
      </c>
      <c r="U533" s="24" t="s">
        <v>31</v>
      </c>
      <c r="V533" s="2">
        <v>8.9662000000000006</v>
      </c>
      <c r="W533" s="28"/>
      <c r="X533" s="9"/>
      <c r="Y533" s="16">
        <v>74600</v>
      </c>
      <c r="Z533" s="10">
        <v>44754</v>
      </c>
      <c r="AA533" s="26">
        <f>Таблица2[[#This Row],[Сумма перевода Долл/Евро]]*Таблица2[[#This Row],[Курс ДОЛЛ перевод]]+Таблица2[[#This Row],[Сумма за перевод руб]]</f>
        <v>20926.453608247451</v>
      </c>
      <c r="AB53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33" s="9"/>
      <c r="AD533" s="41"/>
    </row>
    <row r="534" spans="1:30" ht="30" x14ac:dyDescent="0.25">
      <c r="A534" s="6">
        <v>44754</v>
      </c>
      <c r="B534" s="38" t="s">
        <v>804</v>
      </c>
      <c r="C534" s="38" t="s">
        <v>805</v>
      </c>
      <c r="D534" s="1" t="s">
        <v>806</v>
      </c>
      <c r="E534" s="1"/>
      <c r="F534" s="3">
        <v>59818</v>
      </c>
      <c r="G534" s="5"/>
      <c r="H534" s="2">
        <v>8.43</v>
      </c>
      <c r="I534" s="2"/>
      <c r="J534" s="2">
        <v>0.97</v>
      </c>
      <c r="K534" s="2"/>
      <c r="L534" s="2"/>
      <c r="M534" s="26">
        <f>Таблица2[[#This Row],[Сумма ЮА]]*Таблица2[[#This Row],[Курс ЮА]]</f>
        <v>504265.74</v>
      </c>
      <c r="N534" s="24">
        <f>Таблица2[[#This Row],[Сумма ЮА]]*Таблица2[[#This Row],[Курс ЮА]]/Таблица2[[#This Row],[% за перевод]]</f>
        <v>519861.58762886596</v>
      </c>
      <c r="O53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15595.847628865973</v>
      </c>
      <c r="Q534" s="30">
        <v>519861.59</v>
      </c>
      <c r="R534" s="12">
        <f>Таблица2[[#This Row],[Сумма в руб]]-Таблица2[[#This Row],[Оплата от клиента]]</f>
        <v>-2.3711340618319809E-3</v>
      </c>
      <c r="S534" s="32">
        <v>44762</v>
      </c>
      <c r="T534" s="32" t="s">
        <v>107</v>
      </c>
      <c r="U534" s="24" t="s">
        <v>31</v>
      </c>
      <c r="V534" s="2">
        <v>8.2797000000000001</v>
      </c>
      <c r="W534" s="28"/>
      <c r="X534" s="9"/>
      <c r="Y534" s="16">
        <v>59818</v>
      </c>
      <c r="Z534" s="10">
        <v>44763</v>
      </c>
      <c r="AA534" s="26">
        <f>Таблица2[[#This Row],[Сумма перевода Долл/Евро]]*Таблица2[[#This Row],[Курс ДОЛЛ перевод]]+Таблица2[[#This Row],[Сумма за перевод руб]]</f>
        <v>15595.847628865973</v>
      </c>
      <c r="AB53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34" s="9"/>
      <c r="AD534" s="41"/>
    </row>
    <row r="535" spans="1:30" x14ac:dyDescent="0.25">
      <c r="A535" s="6">
        <v>44754</v>
      </c>
      <c r="B535" s="38" t="s">
        <v>808</v>
      </c>
      <c r="C535" s="38" t="s">
        <v>179</v>
      </c>
      <c r="D535" s="1" t="s">
        <v>809</v>
      </c>
      <c r="E535" s="1"/>
      <c r="F535" s="3">
        <v>13739</v>
      </c>
      <c r="G535" s="5"/>
      <c r="H535" s="2">
        <v>8.9700000000000006</v>
      </c>
      <c r="I535" s="2"/>
      <c r="J535" s="2">
        <v>0.99</v>
      </c>
      <c r="K535" s="2"/>
      <c r="L535" s="2"/>
      <c r="M535" s="26">
        <f>Таблица2[[#This Row],[Сумма ЮА]]*Таблица2[[#This Row],[Курс ЮА]]</f>
        <v>123238.83</v>
      </c>
      <c r="N535" s="24">
        <f>Таблица2[[#This Row],[Сумма ЮА]]*Таблица2[[#This Row],[Курс ЮА]]/Таблица2[[#This Row],[% за перевод]]</f>
        <v>124483.66666666667</v>
      </c>
      <c r="O53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3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1244.8366666666698</v>
      </c>
      <c r="Q535" s="30">
        <v>124483.67</v>
      </c>
      <c r="R535" s="12">
        <f>Таблица2[[#This Row],[Сумма в руб]]-Таблица2[[#This Row],[Оплата от клиента]]</f>
        <v>-3.3333333267364651E-3</v>
      </c>
      <c r="S535" s="32">
        <v>44754</v>
      </c>
      <c r="T535" s="32" t="s">
        <v>107</v>
      </c>
      <c r="U535" s="24" t="s">
        <v>31</v>
      </c>
      <c r="V535" s="2">
        <v>8.6706000000000003</v>
      </c>
      <c r="W535" s="28"/>
      <c r="X535" s="9"/>
      <c r="Y535" s="16">
        <v>13739</v>
      </c>
      <c r="Z535" s="10">
        <v>44755</v>
      </c>
      <c r="AA535" s="26">
        <f>Таблица2[[#This Row],[Сумма перевода Долл/Евро]]*Таблица2[[#This Row],[Курс ДОЛЛ перевод]]+Таблица2[[#This Row],[Сумма за перевод руб]]</f>
        <v>1244.8366666666698</v>
      </c>
      <c r="AB53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35" s="9"/>
      <c r="AD535" s="41"/>
    </row>
    <row r="536" spans="1:30" x14ac:dyDescent="0.25">
      <c r="A536" s="6">
        <v>44755</v>
      </c>
      <c r="B536" s="38" t="s">
        <v>811</v>
      </c>
      <c r="C536" s="38" t="s">
        <v>187</v>
      </c>
      <c r="D536" s="1" t="s">
        <v>812</v>
      </c>
      <c r="E536" s="1"/>
      <c r="F536" s="3">
        <v>22842</v>
      </c>
      <c r="G536" s="5"/>
      <c r="H536" s="2">
        <v>8.9700000000000006</v>
      </c>
      <c r="I536" s="2"/>
      <c r="J536" s="2">
        <v>0.97</v>
      </c>
      <c r="K536" s="2"/>
      <c r="L536" s="2"/>
      <c r="M536" s="26">
        <f>Таблица2[[#This Row],[Сумма ЮА]]*Таблица2[[#This Row],[Курс ЮА]]</f>
        <v>204892.74000000002</v>
      </c>
      <c r="N536" s="24">
        <f>Таблица2[[#This Row],[Сумма ЮА]]*Таблица2[[#This Row],[Курс ЮА]]/Таблица2[[#This Row],[% за перевод]]</f>
        <v>211229.62886597941</v>
      </c>
      <c r="O53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6336.8888659793884</v>
      </c>
      <c r="Q536" s="30">
        <v>211229.63</v>
      </c>
      <c r="R536" s="12">
        <f>Таблица2[[#This Row],[Сумма в руб]]-Таблица2[[#This Row],[Оплата от клиента]]</f>
        <v>-1.1340205965097994E-3</v>
      </c>
      <c r="S536" s="32">
        <v>44755</v>
      </c>
      <c r="T536" s="32" t="s">
        <v>107</v>
      </c>
      <c r="U536" s="24" t="s">
        <v>31</v>
      </c>
      <c r="V536" s="2">
        <v>8.8722999999999992</v>
      </c>
      <c r="W536" s="28"/>
      <c r="X536" s="9"/>
      <c r="Y536" s="16">
        <v>22842</v>
      </c>
      <c r="Z536" s="10">
        <v>44755</v>
      </c>
      <c r="AA536" s="26">
        <f>Таблица2[[#This Row],[Сумма перевода Долл/Евро]]*Таблица2[[#This Row],[Курс ДОЛЛ перевод]]+Таблица2[[#This Row],[Сумма за перевод руб]]</f>
        <v>6336.8888659793884</v>
      </c>
      <c r="AB53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36" s="9"/>
      <c r="AD536" s="41"/>
    </row>
    <row r="537" spans="1:30" x14ac:dyDescent="0.25">
      <c r="A537" s="6">
        <v>44755</v>
      </c>
      <c r="B537" s="38" t="s">
        <v>403</v>
      </c>
      <c r="C537" s="38" t="s">
        <v>168</v>
      </c>
      <c r="D537" s="1" t="s">
        <v>813</v>
      </c>
      <c r="E537" s="1"/>
      <c r="F537" s="3">
        <v>9961</v>
      </c>
      <c r="G537" s="5"/>
      <c r="H537" s="2">
        <v>8.9600000000000009</v>
      </c>
      <c r="I537" s="2"/>
      <c r="J537" s="2">
        <v>0.9</v>
      </c>
      <c r="K537" s="2"/>
      <c r="L537" s="2"/>
      <c r="M537" s="26">
        <f>Таблица2[[#This Row],[Сумма ЮА]]*Таблица2[[#This Row],[Курс ЮА]]</f>
        <v>89250.560000000012</v>
      </c>
      <c r="N537" s="24">
        <f>Таблица2[[#This Row],[Сумма ЮА]]*Таблица2[[#This Row],[Курс ЮА]]/Таблица2[[#This Row],[% за перевод]]</f>
        <v>99167.288888888899</v>
      </c>
      <c r="O53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1511.0668657706988</v>
      </c>
      <c r="P5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9916.728888888887</v>
      </c>
      <c r="Q537" s="30">
        <v>99167.29</v>
      </c>
      <c r="R537" s="12">
        <f>Таблица2[[#This Row],[Сумма в руб]]-Таблица2[[#This Row],[Оплата от клиента]]</f>
        <v>-1.1111110943602398E-3</v>
      </c>
      <c r="S537" s="32">
        <v>44756</v>
      </c>
      <c r="T537" s="32" t="s">
        <v>720</v>
      </c>
      <c r="U537" s="24" t="s">
        <v>31</v>
      </c>
      <c r="V537" s="2"/>
      <c r="W537" s="28">
        <v>59.064599999999999</v>
      </c>
      <c r="X537" s="9">
        <v>1574.02</v>
      </c>
      <c r="Y537" s="16">
        <v>9961</v>
      </c>
      <c r="Z537" s="2"/>
      <c r="AA537" s="26">
        <f>Таблица2[[#This Row],[Сумма перевода Долл/Евро]]*Таблица2[[#This Row],[Курс ДОЛЛ перевод]]+Таблица2[[#This Row],[Сумма за перевод руб]]</f>
        <v>102885.59058088888</v>
      </c>
      <c r="AB53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37" s="9"/>
      <c r="AD537" s="41"/>
    </row>
    <row r="538" spans="1:30" x14ac:dyDescent="0.25">
      <c r="A538" s="6">
        <v>44755</v>
      </c>
      <c r="B538" s="38" t="s">
        <v>32</v>
      </c>
      <c r="C538" s="38" t="s">
        <v>33</v>
      </c>
      <c r="D538" s="1"/>
      <c r="E538" s="1"/>
      <c r="F538" s="3">
        <v>51820</v>
      </c>
      <c r="G538" s="5"/>
      <c r="H538" s="2">
        <v>8.89</v>
      </c>
      <c r="I538" s="2"/>
      <c r="J538" s="2">
        <v>0.97</v>
      </c>
      <c r="K538" s="2"/>
      <c r="L538" s="2"/>
      <c r="M538" s="26">
        <f>Таблица2[[#This Row],[Сумма ЮА]]*Таблица2[[#This Row],[Курс ЮА]]</f>
        <v>460679.80000000005</v>
      </c>
      <c r="N538" s="24">
        <f>Таблица2[[#This Row],[Сумма ЮА]]*Таблица2[[#This Row],[Курс ЮА]]/Таблица2[[#This Row],[% за перевод]]</f>
        <v>474927.62886597944</v>
      </c>
      <c r="O53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3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14247.828865979391</v>
      </c>
      <c r="Q538" s="30">
        <v>474927.63</v>
      </c>
      <c r="R538" s="12">
        <f>Таблица2[[#This Row],[Сумма в руб]]-Таблица2[[#This Row],[Оплата от клиента]]</f>
        <v>-1.1340205674059689E-3</v>
      </c>
      <c r="S538" s="32">
        <v>44763</v>
      </c>
      <c r="T538" s="32" t="s">
        <v>107</v>
      </c>
      <c r="U538" s="24" t="s">
        <v>31</v>
      </c>
      <c r="V538" s="2">
        <v>8.3079999999999998</v>
      </c>
      <c r="W538" s="28"/>
      <c r="X538" s="9"/>
      <c r="Y538" s="16">
        <v>51820</v>
      </c>
      <c r="Z538" s="10">
        <v>44763</v>
      </c>
      <c r="AA538" s="26">
        <f>Таблица2[[#This Row],[Сумма перевода Долл/Евро]]*Таблица2[[#This Row],[Курс ДОЛЛ перевод]]+Таблица2[[#This Row],[Сумма за перевод руб]]</f>
        <v>14247.828865979391</v>
      </c>
      <c r="AB53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38" s="9"/>
      <c r="AD538" s="41"/>
    </row>
    <row r="539" spans="1:30" x14ac:dyDescent="0.25">
      <c r="A539" s="6">
        <v>44755</v>
      </c>
      <c r="B539" s="38" t="s">
        <v>547</v>
      </c>
      <c r="C539" s="38" t="s">
        <v>110</v>
      </c>
      <c r="D539" s="1"/>
      <c r="E539" s="1"/>
      <c r="F539" s="3"/>
      <c r="G539" s="5">
        <v>9500</v>
      </c>
      <c r="H539" s="2"/>
      <c r="I539" s="2">
        <v>58.96</v>
      </c>
      <c r="J539" s="2">
        <v>0.9</v>
      </c>
      <c r="K539" s="2"/>
      <c r="L539" s="2"/>
      <c r="M539" s="26">
        <f>Таблица2[[#This Row],[Сумма Долл]]*Таблица2[[#This Row],[Курс ДОЛЛ]]</f>
        <v>560120</v>
      </c>
      <c r="N53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622355.5555555555</v>
      </c>
      <c r="O53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9516.5765334121679</v>
      </c>
      <c r="P53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62235.555555555504</v>
      </c>
      <c r="Q539" s="30">
        <v>622355.56000000006</v>
      </c>
      <c r="R539" s="12">
        <f>Таблица2[[#This Row],[Сумма в руб]]-Таблица2[[#This Row],[Оплата от клиента]]</f>
        <v>-4.444444552063942E-3</v>
      </c>
      <c r="S539" s="32">
        <v>44756</v>
      </c>
      <c r="T539" s="32" t="s">
        <v>720</v>
      </c>
      <c r="U539" s="24" t="s">
        <v>31</v>
      </c>
      <c r="V539" s="2"/>
      <c r="W539" s="28">
        <v>58.857300000000002</v>
      </c>
      <c r="X539" s="9">
        <v>9500</v>
      </c>
      <c r="Y539" s="16">
        <v>63080</v>
      </c>
      <c r="Z539" s="10">
        <v>44770</v>
      </c>
      <c r="AA539" s="26">
        <f>Таблица2[[#This Row],[Сумма перевода Долл/Евро]]*Таблица2[[#This Row],[Курс ДОЛЛ перевод]]+Таблица2[[#This Row],[Сумма за перевод руб]]</f>
        <v>621379.90555555548</v>
      </c>
      <c r="AB53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39" s="9"/>
      <c r="AD539" s="41"/>
    </row>
    <row r="540" spans="1:30" x14ac:dyDescent="0.25">
      <c r="A540" s="6">
        <v>44756</v>
      </c>
      <c r="B540" s="38" t="s">
        <v>139</v>
      </c>
      <c r="C540" s="38" t="s">
        <v>140</v>
      </c>
      <c r="D540" s="1" t="s">
        <v>814</v>
      </c>
      <c r="E540" s="1"/>
      <c r="F540" s="3">
        <v>26749</v>
      </c>
      <c r="G540" s="5"/>
      <c r="H540" s="2">
        <v>8.86</v>
      </c>
      <c r="I540" s="2"/>
      <c r="J540" s="2">
        <v>0.97</v>
      </c>
      <c r="K540" s="2"/>
      <c r="L540" s="2"/>
      <c r="M540" s="26">
        <f>Таблица2[[#This Row],[Сумма ЮА]]*Таблица2[[#This Row],[Курс ЮА]]</f>
        <v>236996.13999999998</v>
      </c>
      <c r="N540" s="24">
        <f>Таблица2[[#This Row],[Сумма ЮА]]*Таблица2[[#This Row],[Курс ЮА]]/Таблица2[[#This Row],[% за перевод]]</f>
        <v>244325.9175257732</v>
      </c>
      <c r="O54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7329.7775257732137</v>
      </c>
      <c r="Q540" s="30">
        <v>244325.92</v>
      </c>
      <c r="R540" s="12">
        <f>Таблица2[[#This Row],[Сумма в руб]]-Таблица2[[#This Row],[Оплата от клиента]]</f>
        <v>-2.4742268142290413E-3</v>
      </c>
      <c r="S540" s="32">
        <v>44764</v>
      </c>
      <c r="T540" s="32" t="s">
        <v>107</v>
      </c>
      <c r="U540" s="24" t="s">
        <v>31</v>
      </c>
      <c r="V540" s="2">
        <v>8.7371999999999996</v>
      </c>
      <c r="W540" s="28"/>
      <c r="X540" s="9"/>
      <c r="Y540" s="16">
        <v>26749</v>
      </c>
      <c r="Z540" s="2"/>
      <c r="AA540" s="26">
        <f>Таблица2[[#This Row],[Сумма перевода Долл/Евро]]*Таблица2[[#This Row],[Курс ДОЛЛ перевод]]+Таблица2[[#This Row],[Сумма за перевод руб]]</f>
        <v>7329.7775257732137</v>
      </c>
      <c r="AB54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40" s="9"/>
      <c r="AD540" s="41"/>
    </row>
    <row r="541" spans="1:30" ht="30" x14ac:dyDescent="0.25">
      <c r="A541" s="6">
        <v>44760</v>
      </c>
      <c r="B541" s="38" t="s">
        <v>120</v>
      </c>
      <c r="C541" s="38" t="s">
        <v>815</v>
      </c>
      <c r="D541" s="1" t="s">
        <v>183</v>
      </c>
      <c r="E541" s="1"/>
      <c r="F541" s="3">
        <v>23750</v>
      </c>
      <c r="G541" s="5"/>
      <c r="H541" s="2">
        <v>8.85</v>
      </c>
      <c r="I541" s="2"/>
      <c r="J541" s="2">
        <v>0.9</v>
      </c>
      <c r="K541" s="2"/>
      <c r="L541" s="2"/>
      <c r="M541" s="26">
        <f>Таблица2[[#This Row],[Сумма ЮА]]*Таблица2[[#This Row],[Курс ЮА]]</f>
        <v>210187.5</v>
      </c>
      <c r="N541" s="24">
        <f>Таблица2[[#This Row],[Сумма ЮА]]*Таблица2[[#This Row],[Курс ЮА]]/Таблица2[[#This Row],[% за перевод]]</f>
        <v>233541.66666666666</v>
      </c>
      <c r="O54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3759.551474218174</v>
      </c>
      <c r="P5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23354.166666666657</v>
      </c>
      <c r="Q541" s="30">
        <v>233541.67</v>
      </c>
      <c r="R541" s="12">
        <f>Таблица2[[#This Row],[Сумма в руб]]-Таблица2[[#This Row],[Оплата от клиента]]</f>
        <v>-3.3333333558402956E-3</v>
      </c>
      <c r="S541" s="32">
        <v>44761</v>
      </c>
      <c r="T541" s="32" t="s">
        <v>720</v>
      </c>
      <c r="U541" s="24" t="s">
        <v>31</v>
      </c>
      <c r="V541" s="2">
        <v>6.65</v>
      </c>
      <c r="W541" s="28">
        <v>55.907600000000002</v>
      </c>
      <c r="X541" s="9" t="s">
        <v>817</v>
      </c>
      <c r="Y541" s="16">
        <v>23750</v>
      </c>
      <c r="Z541" s="2"/>
      <c r="AA541" s="26" t="e">
        <f>Таблица2[[#This Row],[Сумма перевода Долл/Евро]]*Таблица2[[#This Row],[Курс ДОЛЛ перевод]]+Таблица2[[#This Row],[Сумма за перевод руб]]</f>
        <v>#VALUE!</v>
      </c>
      <c r="AB54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188.1229027896029</v>
      </c>
      <c r="AC541" s="9"/>
      <c r="AD541" s="41"/>
    </row>
    <row r="542" spans="1:30" ht="30" x14ac:dyDescent="0.25">
      <c r="A542" s="6">
        <v>44760</v>
      </c>
      <c r="B542" s="38" t="s">
        <v>762</v>
      </c>
      <c r="C542" s="38" t="s">
        <v>816</v>
      </c>
      <c r="D542" s="1" t="s">
        <v>729</v>
      </c>
      <c r="E542" s="1"/>
      <c r="F542" s="3">
        <v>17080</v>
      </c>
      <c r="G542" s="5"/>
      <c r="H542" s="2">
        <v>8.7200000000000006</v>
      </c>
      <c r="I542" s="2"/>
      <c r="J542" s="2">
        <v>0.97</v>
      </c>
      <c r="K542" s="2"/>
      <c r="L542" s="2"/>
      <c r="M542" s="26">
        <f>Таблица2[[#This Row],[Сумма ЮА]]*Таблица2[[#This Row],[Курс ЮА]]</f>
        <v>148937.60000000001</v>
      </c>
      <c r="N542" s="24">
        <f>Таблица2[[#This Row],[Сумма ЮА]]*Таблица2[[#This Row],[Курс ЮА]]/Таблица2[[#This Row],[% за перевод]]</f>
        <v>153543.9175257732</v>
      </c>
      <c r="O54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4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4606.3175257731928</v>
      </c>
      <c r="Q542" s="30">
        <v>153543.92000000001</v>
      </c>
      <c r="R542" s="12">
        <f>Таблица2[[#This Row],[Сумма в руб]]-Таблица2[[#This Row],[Оплата от клиента]]</f>
        <v>-2.4742268142290413E-3</v>
      </c>
      <c r="S542" s="32">
        <v>44760</v>
      </c>
      <c r="T542" s="32" t="s">
        <v>107</v>
      </c>
      <c r="U542" s="24" t="s">
        <v>31</v>
      </c>
      <c r="V542" s="2">
        <v>8.5511999999999997</v>
      </c>
      <c r="W542" s="28"/>
      <c r="X542" s="9"/>
      <c r="Y542" s="16">
        <v>17080</v>
      </c>
      <c r="Z542" s="10">
        <v>44763</v>
      </c>
      <c r="AA542" s="26">
        <f>Таблица2[[#This Row],[Сумма перевода Долл/Евро]]*Таблица2[[#This Row],[Курс ДОЛЛ перевод]]+Таблица2[[#This Row],[Сумма за перевод руб]]</f>
        <v>4606.3175257731928</v>
      </c>
      <c r="AB54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42" s="9"/>
      <c r="AD542" s="41">
        <v>2531.71</v>
      </c>
    </row>
    <row r="543" spans="1:30" ht="30" x14ac:dyDescent="0.25">
      <c r="A543" s="6">
        <v>44761</v>
      </c>
      <c r="B543" s="38" t="s">
        <v>104</v>
      </c>
      <c r="C543" s="38" t="s">
        <v>105</v>
      </c>
      <c r="D543" s="1" t="s">
        <v>750</v>
      </c>
      <c r="E543" s="1"/>
      <c r="F543" s="3">
        <v>13480</v>
      </c>
      <c r="G543" s="5"/>
      <c r="H543" s="2">
        <v>8.61</v>
      </c>
      <c r="I543" s="2"/>
      <c r="J543" s="2">
        <v>0.97</v>
      </c>
      <c r="K543" s="2"/>
      <c r="L543" s="2"/>
      <c r="M543" s="26">
        <f>Таблица2[[#This Row],[Сумма ЮА]]*Таблица2[[#This Row],[Курс ЮА]]</f>
        <v>116062.79999999999</v>
      </c>
      <c r="N543" s="24">
        <f>Таблица2[[#This Row],[Сумма ЮА]]*Таблица2[[#This Row],[Курс ЮА]]/Таблица2[[#This Row],[% за перевод]]</f>
        <v>119652.37113402061</v>
      </c>
      <c r="O54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2075.9753593429155</v>
      </c>
      <c r="P54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3589.571134020618</v>
      </c>
      <c r="Q543" s="30">
        <v>119652.37</v>
      </c>
      <c r="R543" s="12">
        <f>Таблица2[[#This Row],[Сумма в руб]]-Таблица2[[#This Row],[Оплата от клиента]]</f>
        <v>1.1340206110617146E-3</v>
      </c>
      <c r="S543" s="32">
        <v>44761</v>
      </c>
      <c r="T543" s="32" t="s">
        <v>720</v>
      </c>
      <c r="U543" s="24" t="s">
        <v>31</v>
      </c>
      <c r="V543" s="2"/>
      <c r="W543" s="28">
        <v>55.907600000000002</v>
      </c>
      <c r="X543" s="9" t="s">
        <v>818</v>
      </c>
      <c r="Y543" s="16">
        <v>13480</v>
      </c>
      <c r="Z543" s="2"/>
      <c r="AA543" s="26" t="e">
        <f>Таблица2[[#This Row],[Сумма перевода Долл/Евро]]*Таблица2[[#This Row],[Курс ДОЛЛ перевод]]+Таблица2[[#This Row],[Сумма за перевод руб]]</f>
        <v>#VALUE!</v>
      </c>
      <c r="AB54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43" s="9"/>
      <c r="AD543" s="41"/>
    </row>
    <row r="544" spans="1:30" ht="45" x14ac:dyDescent="0.25">
      <c r="A544" s="6">
        <v>44761</v>
      </c>
      <c r="B544" s="2" t="s">
        <v>819</v>
      </c>
      <c r="C544" s="1" t="s">
        <v>820</v>
      </c>
      <c r="D544" s="1" t="s">
        <v>821</v>
      </c>
      <c r="E544" s="1"/>
      <c r="F544" s="3"/>
      <c r="G544" s="5">
        <v>576.33000000000004</v>
      </c>
      <c r="H544" s="2"/>
      <c r="I544" s="2">
        <v>56.25</v>
      </c>
      <c r="J544" s="2">
        <v>0.95</v>
      </c>
      <c r="K544" s="2">
        <v>100</v>
      </c>
      <c r="L544" s="2"/>
      <c r="M544" s="26">
        <f>Таблица2[[#This Row],[Сумма Долл]]*Таблица2[[#This Row],[Курс ДОЛЛ]]</f>
        <v>32418.562500000004</v>
      </c>
      <c r="N544" s="24">
        <f>Таблица2[[#This Row],[Сумма Долл]]*Таблица2[[#This Row],[Курс ДОЛЛ]]/Таблица2[[#This Row],[% за перевод]]+Таблица2[[#This Row],[Долл за перевод]]*Таблица2[[#This Row],[Курс ДОЛЛ]]</f>
        <v>39749.802631578954</v>
      </c>
      <c r="O54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576.33000000000004</v>
      </c>
      <c r="P544" s="12">
        <f>(Таблица2[[#This Row],[Сумма Долл]]*Таблица2[[#This Row],[Курс ДОЛЛ]]/Таблица2[[#This Row],[% за перевод]]-Таблица2[[#This Row],[Сумма Долл]]*Таблица2[[#This Row],[Курс ДОЛЛ]])+Таблица2[[#This Row],[Долл за перевод]]*Таблица2[[#This Row],[Курс ДОЛЛ]]</f>
        <v>7331.2401315789502</v>
      </c>
      <c r="Q544" s="30">
        <v>39749.800000000003</v>
      </c>
      <c r="R544" s="12">
        <f>Таблица2[[#This Row],[Сумма в руб]]-Таблица2[[#This Row],[Оплата от клиента]]</f>
        <v>2.6315789509681053E-3</v>
      </c>
      <c r="S544" s="32">
        <v>44776</v>
      </c>
      <c r="T544" s="32" t="s">
        <v>164</v>
      </c>
      <c r="U544" s="24"/>
      <c r="V544" s="2"/>
      <c r="W544" s="28"/>
      <c r="X544" s="9"/>
      <c r="Y544" s="16"/>
      <c r="Z544" s="2"/>
      <c r="AA544" s="26">
        <f>Таблица2[[#This Row],[Сумма перевода Долл/Евро]]*Таблица2[[#This Row],[Курс ДОЛЛ перевод]]+Таблица2[[#This Row],[Сумма за перевод руб]]</f>
        <v>7331.2401315789502</v>
      </c>
      <c r="AB54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576.33000000000004</v>
      </c>
      <c r="AC544" s="9"/>
      <c r="AD544" s="41"/>
    </row>
    <row r="545" spans="1:30" ht="30" x14ac:dyDescent="0.25">
      <c r="A545" s="6">
        <v>44762</v>
      </c>
      <c r="B545" s="38" t="s">
        <v>779</v>
      </c>
      <c r="C545" s="38" t="s">
        <v>780</v>
      </c>
      <c r="D545" s="1" t="s">
        <v>822</v>
      </c>
      <c r="E545" s="1"/>
      <c r="F545" s="3">
        <v>9600</v>
      </c>
      <c r="G545" s="5"/>
      <c r="H545" s="2">
        <v>8.43</v>
      </c>
      <c r="I545" s="2"/>
      <c r="J545" s="2">
        <v>0.9</v>
      </c>
      <c r="K545" s="2"/>
      <c r="L545" s="2"/>
      <c r="M545" s="26">
        <f>Таблица2[[#This Row],[Сумма ЮА]]*Таблица2[[#This Row],[Курс ЮА]]</f>
        <v>80928</v>
      </c>
      <c r="N545" s="24">
        <f>Таблица2[[#This Row],[Сумма ЮА]]*Таблица2[[#This Row],[Курс ЮА]]/Таблица2[[#This Row],[% за перевод]]</f>
        <v>89920</v>
      </c>
      <c r="O54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1403.9007651994705</v>
      </c>
      <c r="P54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8992</v>
      </c>
      <c r="Q545" s="30">
        <v>89920</v>
      </c>
      <c r="R545" s="12">
        <f>Таблица2[[#This Row],[Сумма в руб]]-Таблица2[[#This Row],[Оплата от клиента]]</f>
        <v>0</v>
      </c>
      <c r="S545" s="32">
        <v>44764</v>
      </c>
      <c r="T545" s="32" t="s">
        <v>720</v>
      </c>
      <c r="U545" s="24" t="s">
        <v>31</v>
      </c>
      <c r="V545" s="2">
        <v>6.65</v>
      </c>
      <c r="W545" s="28">
        <v>57.645099999999999</v>
      </c>
      <c r="X545" s="9">
        <v>1462.39</v>
      </c>
      <c r="Y545" s="16">
        <v>9600</v>
      </c>
      <c r="Z545" s="2"/>
      <c r="AA545" s="26">
        <f>Таблица2[[#This Row],[Сумма перевода Долл/Евро]]*Таблица2[[#This Row],[Курс ДОЛЛ перевод]]+Таблица2[[#This Row],[Сумма за перевод руб]]</f>
        <v>93291.617789000011</v>
      </c>
      <c r="AB54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-39.708257356920512</v>
      </c>
      <c r="AC545" s="9"/>
      <c r="AD545" s="41"/>
    </row>
    <row r="546" spans="1:30" x14ac:dyDescent="0.25">
      <c r="A546" s="6">
        <v>44762</v>
      </c>
      <c r="B546" s="2" t="s">
        <v>126</v>
      </c>
      <c r="C546" s="2" t="s">
        <v>52</v>
      </c>
      <c r="D546" s="1" t="s">
        <v>801</v>
      </c>
      <c r="E546" s="1"/>
      <c r="F546" s="3"/>
      <c r="G546" s="5">
        <v>4000</v>
      </c>
      <c r="H546" s="2"/>
      <c r="I546" s="2">
        <v>56.132899999999999</v>
      </c>
      <c r="J546" s="2">
        <v>0.97</v>
      </c>
      <c r="K546" s="2"/>
      <c r="L546" s="2"/>
      <c r="M546" s="26">
        <f>Таблица2[[#This Row],[Сумма Долл]]*Таблица2[[#This Row],[Курс ДОЛЛ]]</f>
        <v>224531.6</v>
      </c>
      <c r="N54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231475.87628865981</v>
      </c>
      <c r="O54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4000</v>
      </c>
      <c r="P54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6944.2762886598066</v>
      </c>
      <c r="Q546" s="30">
        <f>230515.46+960.42</f>
        <v>231475.88</v>
      </c>
      <c r="R546" s="12">
        <f>Таблица2[[#This Row],[Сумма в руб]]-Таблица2[[#This Row],[Оплата от клиента]]</f>
        <v>-3.7113401922397316E-3</v>
      </c>
      <c r="S546" s="32">
        <v>44763</v>
      </c>
      <c r="T546" s="32" t="s">
        <v>164</v>
      </c>
      <c r="U546" s="24" t="s">
        <v>31</v>
      </c>
      <c r="V546" s="2"/>
      <c r="W546" s="28">
        <v>56.132899999999999</v>
      </c>
      <c r="X546" s="9">
        <v>4000</v>
      </c>
      <c r="Y546" s="16"/>
      <c r="Z546" s="10">
        <v>44763</v>
      </c>
      <c r="AA546" s="26">
        <f>Таблица2[[#This Row],[Сумма перевода Долл/Евро]]*Таблица2[[#This Row],[Курс ДОЛЛ перевод]]+Таблица2[[#This Row],[Сумма за перевод руб]]</f>
        <v>231475.87628865981</v>
      </c>
      <c r="AB54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546" s="9"/>
      <c r="AD546" s="41"/>
    </row>
    <row r="547" spans="1:30" x14ac:dyDescent="0.25">
      <c r="A547" s="6">
        <v>44762</v>
      </c>
      <c r="B547" s="2" t="s">
        <v>298</v>
      </c>
      <c r="C547" s="2" t="s">
        <v>56</v>
      </c>
      <c r="D547" s="1" t="s">
        <v>823</v>
      </c>
      <c r="E547" s="1"/>
      <c r="F547" s="3"/>
      <c r="G547" s="5">
        <v>6545</v>
      </c>
      <c r="H547" s="2"/>
      <c r="I547" s="2">
        <v>60.96</v>
      </c>
      <c r="J547" s="2">
        <v>0.97</v>
      </c>
      <c r="K547" s="2"/>
      <c r="L547" s="2"/>
      <c r="M547" s="26">
        <f>Таблица2[[#This Row],[Сумма Долл]]*Таблица2[[#This Row],[Курс ДОЛЛ]]</f>
        <v>398983.2</v>
      </c>
      <c r="N54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411322.8865979382</v>
      </c>
      <c r="O54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6575.1685472879999</v>
      </c>
      <c r="P54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12339.686597938184</v>
      </c>
      <c r="Q547" s="30">
        <v>411322.89</v>
      </c>
      <c r="R547" s="12">
        <f>Таблица2[[#This Row],[Сумма в руб]]-Таблица2[[#This Row],[Оплата от клиента]]</f>
        <v>-3.4020618186332285E-3</v>
      </c>
      <c r="S547" s="32">
        <v>44796</v>
      </c>
      <c r="T547" s="32" t="s">
        <v>164</v>
      </c>
      <c r="U547" s="24" t="s">
        <v>31</v>
      </c>
      <c r="V547" s="2"/>
      <c r="W547" s="28">
        <v>60.680300000000003</v>
      </c>
      <c r="X547" s="9">
        <v>6545</v>
      </c>
      <c r="Y547" s="16"/>
      <c r="Z547" s="10">
        <v>44797</v>
      </c>
      <c r="AA547" s="26">
        <f>Таблица2[[#This Row],[Сумма перевода Долл/Евро]]*Таблица2[[#This Row],[Курс ДОЛЛ перевод]]+Таблица2[[#This Row],[Сумма за перевод руб]]</f>
        <v>409492.25009793817</v>
      </c>
      <c r="AB54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30.1685472879999</v>
      </c>
      <c r="AC547" s="9"/>
      <c r="AD547" s="41"/>
    </row>
    <row r="548" spans="1:30" x14ac:dyDescent="0.25">
      <c r="A548" s="6">
        <v>44763</v>
      </c>
      <c r="B548" s="38" t="s">
        <v>773</v>
      </c>
      <c r="C548" s="38" t="s">
        <v>774</v>
      </c>
      <c r="D548" s="1"/>
      <c r="E548" s="1"/>
      <c r="F548" s="3">
        <v>111071</v>
      </c>
      <c r="G548" s="5"/>
      <c r="H548" s="2">
        <v>9.0957000000000008</v>
      </c>
      <c r="I548" s="2"/>
      <c r="J548" s="2">
        <v>0.97</v>
      </c>
      <c r="K548" s="2"/>
      <c r="L548" s="2"/>
      <c r="M548" s="26">
        <f>Таблица2[[#This Row],[Сумма ЮА]]*Таблица2[[#This Row],[Курс ЮА]]</f>
        <v>1010268.4947</v>
      </c>
      <c r="N548" s="24">
        <f>Таблица2[[#This Row],[Сумма ЮА]]*Таблица2[[#This Row],[Курс ЮА]]/Таблица2[[#This Row],[% за перевод]]</f>
        <v>1041513.9120618558</v>
      </c>
      <c r="O54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4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31245.41736185574</v>
      </c>
      <c r="Q548" s="30">
        <f>962997.02+78516.89</f>
        <v>1041513.91</v>
      </c>
      <c r="R548" s="12">
        <f>Таблица2[[#This Row],[Сумма в руб]]-Таблица2[[#This Row],[Оплата от клиента]]</f>
        <v>2.0618557464331388E-3</v>
      </c>
      <c r="S548" s="32">
        <v>44763</v>
      </c>
      <c r="T548" s="32" t="s">
        <v>107</v>
      </c>
      <c r="U548" s="24" t="s">
        <v>31</v>
      </c>
      <c r="V548" s="2">
        <v>9.0957000000000008</v>
      </c>
      <c r="W548" s="28"/>
      <c r="X548" s="9"/>
      <c r="Y548" s="16">
        <v>111071</v>
      </c>
      <c r="Z548" s="10">
        <v>44770</v>
      </c>
      <c r="AA548" s="26">
        <f>Таблица2[[#This Row],[Сумма перевода Долл/Евро]]*Таблица2[[#This Row],[Курс ДОЛЛ перевод]]+Таблица2[[#This Row],[Сумма за перевод руб]]</f>
        <v>31245.41736185574</v>
      </c>
      <c r="AB54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48" s="9" t="s">
        <v>1190</v>
      </c>
      <c r="AD548" s="41"/>
    </row>
    <row r="549" spans="1:30" ht="30" x14ac:dyDescent="0.25">
      <c r="A549" s="6">
        <v>44763</v>
      </c>
      <c r="B549" s="2" t="s">
        <v>552</v>
      </c>
      <c r="C549" s="2" t="s">
        <v>553</v>
      </c>
      <c r="D549" s="1" t="s">
        <v>824</v>
      </c>
      <c r="E549" s="1"/>
      <c r="F549" s="3"/>
      <c r="G549" s="5">
        <v>6600</v>
      </c>
      <c r="H549" s="2"/>
      <c r="I549" s="2">
        <v>60.59</v>
      </c>
      <c r="J549" s="2">
        <v>0.99</v>
      </c>
      <c r="K549" s="2"/>
      <c r="L549" s="2"/>
      <c r="M549" s="26">
        <f>Таблица2[[#This Row],[Сумма Долл]]*Таблица2[[#This Row],[Курс ДОЛЛ]]</f>
        <v>399894</v>
      </c>
      <c r="N54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403933.33333333331</v>
      </c>
      <c r="O54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6747.7852960531873</v>
      </c>
      <c r="P54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4039.3333333333139</v>
      </c>
      <c r="Q549" s="30">
        <v>403933.33</v>
      </c>
      <c r="R549" s="12">
        <f>Таблица2[[#This Row],[Сумма в руб]]-Таблица2[[#This Row],[Оплата от клиента]]</f>
        <v>3.3333332976326346E-3</v>
      </c>
      <c r="S549" s="32">
        <v>44768</v>
      </c>
      <c r="T549" s="32" t="s">
        <v>164</v>
      </c>
      <c r="U549" s="24" t="s">
        <v>31</v>
      </c>
      <c r="V549" s="2"/>
      <c r="W549" s="28">
        <v>59.262999999999998</v>
      </c>
      <c r="X549" s="9">
        <v>6600</v>
      </c>
      <c r="Y549" s="16"/>
      <c r="Z549" s="10">
        <v>44768</v>
      </c>
      <c r="AA549" s="26">
        <f>Таблица2[[#This Row],[Сумма перевода Долл/Евро]]*Таблица2[[#This Row],[Курс ДОЛЛ перевод]]+Таблица2[[#This Row],[Сумма за перевод руб]]</f>
        <v>395175.1333333333</v>
      </c>
      <c r="AB54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147.78529605318727</v>
      </c>
      <c r="AC549" s="9"/>
      <c r="AD549" s="41"/>
    </row>
    <row r="550" spans="1:30" x14ac:dyDescent="0.25">
      <c r="A550" s="6">
        <v>44763</v>
      </c>
      <c r="B550" s="2" t="s">
        <v>126</v>
      </c>
      <c r="C550" s="2" t="s">
        <v>52</v>
      </c>
      <c r="D550" s="1" t="s">
        <v>801</v>
      </c>
      <c r="E550" s="1"/>
      <c r="F550" s="3"/>
      <c r="G550" s="5">
        <v>4000</v>
      </c>
      <c r="H550" s="2"/>
      <c r="I550" s="2">
        <v>57.666800000000002</v>
      </c>
      <c r="J550" s="2">
        <v>0.97</v>
      </c>
      <c r="K550" s="2"/>
      <c r="L550" s="2"/>
      <c r="M550" s="26">
        <f>Таблица2[[#This Row],[Сумма Долл]]*Таблица2[[#This Row],[Курс ДОЛЛ]]</f>
        <v>230667.2</v>
      </c>
      <c r="N55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237801.23711340208</v>
      </c>
      <c r="O55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4000</v>
      </c>
      <c r="P55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7134.0371134020679</v>
      </c>
      <c r="Q550" s="30">
        <f>231876.29+5924.95</f>
        <v>237801.24000000002</v>
      </c>
      <c r="R550" s="12">
        <f>Таблица2[[#This Row],[Сумма в руб]]-Таблица2[[#This Row],[Оплата от клиента]]</f>
        <v>-2.8865979402326047E-3</v>
      </c>
      <c r="S550" s="32">
        <v>44763</v>
      </c>
      <c r="T550" s="32" t="s">
        <v>164</v>
      </c>
      <c r="U550" s="24" t="s">
        <v>31</v>
      </c>
      <c r="V550" s="2"/>
      <c r="W550" s="28">
        <v>57.666800000000002</v>
      </c>
      <c r="X550" s="9">
        <v>4000</v>
      </c>
      <c r="Y550" s="16"/>
      <c r="Z550" s="10">
        <v>44763</v>
      </c>
      <c r="AA550" s="26">
        <f>Таблица2[[#This Row],[Сумма перевода Долл/Евро]]*Таблица2[[#This Row],[Курс ДОЛЛ перевод]]+Таблица2[[#This Row],[Сумма за перевод руб]]</f>
        <v>237801.23711340208</v>
      </c>
      <c r="AB55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550" s="9"/>
      <c r="AD550" s="41"/>
    </row>
    <row r="551" spans="1:30" ht="30" x14ac:dyDescent="0.25">
      <c r="A551" s="6">
        <v>44763</v>
      </c>
      <c r="B551" s="38" t="s">
        <v>403</v>
      </c>
      <c r="C551" s="38" t="s">
        <v>168</v>
      </c>
      <c r="D551" s="1" t="s">
        <v>826</v>
      </c>
      <c r="E551" s="1"/>
      <c r="F551" s="3">
        <v>16567</v>
      </c>
      <c r="G551" s="5"/>
      <c r="H551" s="2">
        <v>8.7200000000000006</v>
      </c>
      <c r="I551" s="2"/>
      <c r="J551" s="2">
        <v>0.9</v>
      </c>
      <c r="K551" s="2"/>
      <c r="L551" s="2"/>
      <c r="M551" s="26">
        <f>Таблица2[[#This Row],[Сумма ЮА]]*Таблица2[[#This Row],[Курс ЮА]]</f>
        <v>144464.24000000002</v>
      </c>
      <c r="N551" s="24">
        <f>Таблица2[[#This Row],[Сумма ЮА]]*Таблица2[[#This Row],[Курс ЮА]]/Таблица2[[#This Row],[% за перевод]]</f>
        <v>160515.82222222225</v>
      </c>
      <c r="O55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2487.8288363378365</v>
      </c>
      <c r="P55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16051.582222222234</v>
      </c>
      <c r="Q551" s="30">
        <v>160515.82</v>
      </c>
      <c r="R551" s="12">
        <f>Таблица2[[#This Row],[Сумма в руб]]-Таблица2[[#This Row],[Оплата от клиента]]</f>
        <v>2.2222222469281405E-3</v>
      </c>
      <c r="S551" s="32">
        <v>44763</v>
      </c>
      <c r="T551" s="32" t="s">
        <v>720</v>
      </c>
      <c r="U551" s="24" t="s">
        <v>31</v>
      </c>
      <c r="V551" s="2">
        <v>6.61</v>
      </c>
      <c r="W551" s="28">
        <v>58.068399999999997</v>
      </c>
      <c r="X551" s="9">
        <v>2591.48</v>
      </c>
      <c r="Y551" s="16">
        <v>16567</v>
      </c>
      <c r="Z551" s="2"/>
      <c r="AA551" s="26">
        <f>Таблица2[[#This Row],[Сумма перевода Долл/Евро]]*Таблица2[[#This Row],[Курс ДОЛЛ перевод]]+Таблица2[[#This Row],[Сумма за перевод руб]]</f>
        <v>166534.67945422223</v>
      </c>
      <c r="AB55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-18.52517273931926</v>
      </c>
      <c r="AC551" s="9"/>
      <c r="AD551" s="41"/>
    </row>
    <row r="552" spans="1:30" ht="30" x14ac:dyDescent="0.25">
      <c r="A552" s="6">
        <v>44763</v>
      </c>
      <c r="B552" s="38" t="s">
        <v>246</v>
      </c>
      <c r="C552" s="38" t="s">
        <v>830</v>
      </c>
      <c r="D552" s="1" t="s">
        <v>825</v>
      </c>
      <c r="E552" s="1"/>
      <c r="F552" s="3">
        <v>20499</v>
      </c>
      <c r="G552" s="5"/>
      <c r="H552" s="2">
        <v>8.7200000000000006</v>
      </c>
      <c r="I552" s="2"/>
      <c r="J552" s="2">
        <v>0.97</v>
      </c>
      <c r="K552" s="2"/>
      <c r="L552" s="2"/>
      <c r="M552" s="26">
        <f>Таблица2[[#This Row],[Сумма ЮА]]*Таблица2[[#This Row],[Курс ЮА]]</f>
        <v>178751.28</v>
      </c>
      <c r="N552" s="24">
        <f>Таблица2[[#This Row],[Сумма ЮА]]*Таблица2[[#This Row],[Курс ЮА]]/Таблица2[[#This Row],[% за перевод]]</f>
        <v>184279.67010309279</v>
      </c>
      <c r="O55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5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5528.3901030927955</v>
      </c>
      <c r="Q552" s="30">
        <v>184279.67</v>
      </c>
      <c r="R552" s="12">
        <f>Таблица2[[#This Row],[Сумма в руб]]-Таблица2[[#This Row],[Оплата от клиента]]</f>
        <v>1.0309278150089085E-4</v>
      </c>
      <c r="S552" s="32">
        <v>44764</v>
      </c>
      <c r="T552" s="32" t="s">
        <v>107</v>
      </c>
      <c r="U552" s="24" t="s">
        <v>31</v>
      </c>
      <c r="V552" s="2">
        <v>8.7379999999999995</v>
      </c>
      <c r="W552" s="28"/>
      <c r="X552" s="9"/>
      <c r="Y552" s="16">
        <v>20499</v>
      </c>
      <c r="Z552" s="10">
        <v>44766</v>
      </c>
      <c r="AA552" s="26">
        <f>Таблица2[[#This Row],[Сумма перевода Долл/Евро]]*Таблица2[[#This Row],[Курс ДОЛЛ перевод]]+Таблица2[[#This Row],[Сумма за перевод руб]]</f>
        <v>5528.3901030927955</v>
      </c>
      <c r="AB55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52" s="9"/>
      <c r="AD552" s="41"/>
    </row>
    <row r="553" spans="1:30" ht="30" x14ac:dyDescent="0.25">
      <c r="A553" s="6">
        <v>44763</v>
      </c>
      <c r="B553" s="2" t="s">
        <v>828</v>
      </c>
      <c r="C553" s="2" t="s">
        <v>827</v>
      </c>
      <c r="D553" s="1" t="s">
        <v>829</v>
      </c>
      <c r="E553" s="1"/>
      <c r="F553" s="3"/>
      <c r="G553" s="5">
        <v>4030</v>
      </c>
      <c r="H553" s="2"/>
      <c r="I553" s="2">
        <v>57.76</v>
      </c>
      <c r="J553" s="2">
        <v>0.97</v>
      </c>
      <c r="K553" s="2"/>
      <c r="L553" s="2"/>
      <c r="M553" s="26">
        <f>Таблица2[[#This Row],[Сумма Долл]]*Таблица2[[#This Row],[Курс ДОЛЛ]]</f>
        <v>232772.8</v>
      </c>
      <c r="N55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239971.95876288658</v>
      </c>
      <c r="O55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3969.4818947964377</v>
      </c>
      <c r="P55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7199.1587628865964</v>
      </c>
      <c r="Q553" s="30">
        <v>239971.96</v>
      </c>
      <c r="R553" s="12">
        <f>Таблица2[[#This Row],[Сумма в руб]]-Таблица2[[#This Row],[Оплата от клиента]]</f>
        <v>-1.2371134071145207E-3</v>
      </c>
      <c r="S553" s="32">
        <v>44766</v>
      </c>
      <c r="T553" s="32" t="s">
        <v>720</v>
      </c>
      <c r="U553" s="24" t="s">
        <v>31</v>
      </c>
      <c r="V553" s="2">
        <v>6.65</v>
      </c>
      <c r="W553" s="28">
        <v>58.640599999999999</v>
      </c>
      <c r="X553" s="9">
        <v>3765</v>
      </c>
      <c r="Y553" s="16">
        <v>24864</v>
      </c>
      <c r="Z553" s="10">
        <v>44789</v>
      </c>
      <c r="AA553" s="26">
        <f>Таблица2[[#This Row],[Сумма перевода Долл/Евро]]*Таблица2[[#This Row],[Курс ДОЛЛ перевод]]+Таблица2[[#This Row],[Сумма за перевод руб]]</f>
        <v>227981.01776288659</v>
      </c>
      <c r="AB55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230.53452637538521</v>
      </c>
      <c r="AC553" s="9"/>
      <c r="AD553" s="41"/>
    </row>
    <row r="554" spans="1:30" ht="30" x14ac:dyDescent="0.25">
      <c r="A554" s="6">
        <v>44764</v>
      </c>
      <c r="B554" s="38" t="s">
        <v>104</v>
      </c>
      <c r="C554" s="38" t="s">
        <v>105</v>
      </c>
      <c r="D554" s="1"/>
      <c r="E554" s="1"/>
      <c r="F554" s="3">
        <v>41370</v>
      </c>
      <c r="G554" s="5"/>
      <c r="H554" s="2">
        <v>8.7899999999999991</v>
      </c>
      <c r="I554" s="2"/>
      <c r="J554" s="2">
        <v>0.9</v>
      </c>
      <c r="K554" s="2"/>
      <c r="L554" s="2"/>
      <c r="M554" s="26">
        <f>Таблица2[[#This Row],[Сумма ЮА]]*Таблица2[[#This Row],[Курс ЮА]]</f>
        <v>363642.3</v>
      </c>
      <c r="N554" s="24">
        <f>Таблица2[[#This Row],[Сумма ЮА]]*Таблица2[[#This Row],[Курс ЮА]]/Таблица2[[#This Row],[% за перевод]]</f>
        <v>404047</v>
      </c>
      <c r="O55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6198.3708158193476</v>
      </c>
      <c r="P55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40404.700000000012</v>
      </c>
      <c r="Q554" s="30">
        <v>404047</v>
      </c>
      <c r="R554" s="12">
        <f>Таблица2[[#This Row],[Сумма в руб]]-Таблица2[[#This Row],[Оплата от клиента]]</f>
        <v>0</v>
      </c>
      <c r="S554" s="32">
        <v>44764</v>
      </c>
      <c r="T554" s="32" t="s">
        <v>720</v>
      </c>
      <c r="U554" s="62" t="s">
        <v>936</v>
      </c>
      <c r="V554" s="2"/>
      <c r="W554" s="28">
        <v>58.667400000000001</v>
      </c>
      <c r="X554" s="9">
        <v>6456.63</v>
      </c>
      <c r="Y554" s="16">
        <v>40114</v>
      </c>
      <c r="Z554" s="2"/>
      <c r="AA554" s="26">
        <f>Таблица2[[#This Row],[Сумма перевода Долл/Евро]]*Таблица2[[#This Row],[Курс ДОЛЛ перевод]]+Таблица2[[#This Row],[Сумма за перевод руб]]</f>
        <v>419198.39486200002</v>
      </c>
      <c r="AB55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54" s="9"/>
      <c r="AD554" s="41"/>
    </row>
    <row r="555" spans="1:30" x14ac:dyDescent="0.25">
      <c r="A555" s="6">
        <v>44764</v>
      </c>
      <c r="B555" s="38" t="s">
        <v>500</v>
      </c>
      <c r="C555" s="38" t="s">
        <v>504</v>
      </c>
      <c r="D555" s="1"/>
      <c r="E555" s="1"/>
      <c r="F555" s="3">
        <v>137300</v>
      </c>
      <c r="G555" s="5"/>
      <c r="H555" s="2">
        <v>8.7899999999999991</v>
      </c>
      <c r="I555" s="2"/>
      <c r="J555" s="2">
        <v>0.9</v>
      </c>
      <c r="K555" s="2"/>
      <c r="L555" s="2"/>
      <c r="M555" s="26">
        <f>Таблица2[[#This Row],[Сумма ЮА]]*Таблица2[[#This Row],[Курс ЮА]]</f>
        <v>1206866.9999999998</v>
      </c>
      <c r="N555" s="24">
        <f>Таблица2[[#This Row],[Сумма ЮА]]*Таблица2[[#This Row],[Курс ЮА]]/Таблица2[[#This Row],[% за перевод]]</f>
        <v>1340963.333333333</v>
      </c>
      <c r="O55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5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134096.33333333326</v>
      </c>
      <c r="Q555" s="30"/>
      <c r="R555" s="12">
        <f>Таблица2[[#This Row],[Сумма в руб]]-Таблица2[[#This Row],[Оплата от клиента]]</f>
        <v>1340963.333333333</v>
      </c>
      <c r="S555" s="32"/>
      <c r="T555" s="32" t="s">
        <v>720</v>
      </c>
      <c r="U555" s="24"/>
      <c r="V555" s="2"/>
      <c r="W555" s="28"/>
      <c r="X555" s="9"/>
      <c r="Y555" s="16"/>
      <c r="Z555" s="2"/>
      <c r="AA555" s="26">
        <f>Таблица2[[#This Row],[Сумма перевода Долл/Евро]]*Таблица2[[#This Row],[Курс ДОЛЛ перевод]]+Таблица2[[#This Row],[Сумма за перевод руб]]</f>
        <v>134096.33333333326</v>
      </c>
      <c r="AB55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55" s="9"/>
      <c r="AD555" s="41"/>
    </row>
    <row r="556" spans="1:30" x14ac:dyDescent="0.25">
      <c r="A556" s="6">
        <v>44764</v>
      </c>
      <c r="B556" s="38" t="s">
        <v>167</v>
      </c>
      <c r="C556" s="38" t="s">
        <v>168</v>
      </c>
      <c r="D556" s="1"/>
      <c r="E556" s="1"/>
      <c r="F556" s="3">
        <v>12320</v>
      </c>
      <c r="G556" s="5"/>
      <c r="H556" s="2">
        <v>8.89</v>
      </c>
      <c r="I556" s="2"/>
      <c r="J556" s="2">
        <v>0.9</v>
      </c>
      <c r="K556" s="2"/>
      <c r="L556" s="2"/>
      <c r="M556" s="26">
        <f>Таблица2[[#This Row],[Сумма ЮА]]*Таблица2[[#This Row],[Курс ЮА]]</f>
        <v>109524.8</v>
      </c>
      <c r="N556" s="24">
        <f>Таблица2[[#This Row],[Сумма ЮА]]*Таблица2[[#This Row],[Курс ЮА]]/Таблица2[[#This Row],[% за перевод]]</f>
        <v>121694.22222222222</v>
      </c>
      <c r="O55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1866.3422181779765</v>
      </c>
      <c r="P55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12169.422222222216</v>
      </c>
      <c r="Q556" s="30">
        <v>121694.22</v>
      </c>
      <c r="R556" s="12">
        <f>Таблица2[[#This Row],[Сумма в руб]]-Таблица2[[#This Row],[Оплата от клиента]]</f>
        <v>2.2222222178243101E-3</v>
      </c>
      <c r="S556" s="32">
        <v>44765</v>
      </c>
      <c r="T556" s="32" t="s">
        <v>720</v>
      </c>
      <c r="U556" s="24" t="s">
        <v>31</v>
      </c>
      <c r="V556" s="2">
        <v>6.65</v>
      </c>
      <c r="W556" s="28">
        <v>58.684199999999997</v>
      </c>
      <c r="X556" s="9">
        <v>1944.1</v>
      </c>
      <c r="Y556" s="16">
        <v>12320</v>
      </c>
      <c r="Z556" s="2"/>
      <c r="AA556" s="26">
        <f>Таблица2[[#This Row],[Сумма перевода Долл/Евро]]*Таблица2[[#This Row],[Курс ДОЛЛ перевод]]+Таблица2[[#This Row],[Сумма за перевод руб]]</f>
        <v>126257.37544222221</v>
      </c>
      <c r="AB55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13.710639230608194</v>
      </c>
      <c r="AC556" s="9"/>
      <c r="AD556" s="41"/>
    </row>
    <row r="557" spans="1:30" x14ac:dyDescent="0.25">
      <c r="A557" s="6">
        <v>44768</v>
      </c>
      <c r="B557" s="2" t="s">
        <v>55</v>
      </c>
      <c r="C557" s="2" t="s">
        <v>56</v>
      </c>
      <c r="D557" s="1"/>
      <c r="E557" s="1"/>
      <c r="F557" s="3"/>
      <c r="G557" s="5">
        <v>544.5</v>
      </c>
      <c r="H557" s="2"/>
      <c r="I557" s="2">
        <v>60.59</v>
      </c>
      <c r="J557" s="2"/>
      <c r="K557" s="2">
        <v>80</v>
      </c>
      <c r="L557" s="2"/>
      <c r="M557" s="26">
        <f>Таблица2[[#This Row],[Сумма Долл]]*Таблица2[[#This Row],[Курс ДОЛЛ]]</f>
        <v>32991.255000000005</v>
      </c>
      <c r="N55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37838.455000000002</v>
      </c>
      <c r="O55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550.18527814234903</v>
      </c>
      <c r="P55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4797.1120000000001</v>
      </c>
      <c r="Q557" s="30">
        <v>37838.46</v>
      </c>
      <c r="R557" s="12">
        <f>Таблица2[[#This Row],[Сумма в руб]]-Таблица2[[#This Row],[Оплата от клиента]]</f>
        <v>-4.9999999973806553E-3</v>
      </c>
      <c r="S557" s="32">
        <v>44768</v>
      </c>
      <c r="T557" s="32" t="s">
        <v>164</v>
      </c>
      <c r="U557" s="24" t="s">
        <v>31</v>
      </c>
      <c r="V557" s="2"/>
      <c r="W557" s="28">
        <v>59.963900000000002</v>
      </c>
      <c r="X557" s="9">
        <v>544.5</v>
      </c>
      <c r="Y557" s="16"/>
      <c r="Z557" s="10">
        <v>44769</v>
      </c>
      <c r="AA557" s="26">
        <f>Таблица2[[#This Row],[Сумма перевода Долл/Евро]]*Таблица2[[#This Row],[Курс ДОЛЛ перевод]]+Таблица2[[#This Row],[Сумма за перевод руб]]</f>
        <v>37447.455549999999</v>
      </c>
      <c r="AB55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5.6852781423490342</v>
      </c>
      <c r="AC557" s="9"/>
      <c r="AD557" s="41"/>
    </row>
    <row r="558" spans="1:30" x14ac:dyDescent="0.25">
      <c r="A558" s="6">
        <v>44768</v>
      </c>
      <c r="B558" s="2"/>
      <c r="C558" s="2" t="s">
        <v>831</v>
      </c>
      <c r="D558" s="1"/>
      <c r="E558" s="1"/>
      <c r="F558" s="3"/>
      <c r="G558" s="5">
        <v>9406.4699999999993</v>
      </c>
      <c r="H558" s="2"/>
      <c r="I558" s="2">
        <v>61.62</v>
      </c>
      <c r="J558" s="2">
        <v>0.98499999999999999</v>
      </c>
      <c r="K558" s="2"/>
      <c r="L558" s="2"/>
      <c r="M558" s="26">
        <f>Таблица2[[#This Row],[Сумма Долл]]*Таблица2[[#This Row],[Курс ДОЛЛ]]</f>
        <v>579626.68139999988</v>
      </c>
      <c r="N55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588453.48365482222</v>
      </c>
      <c r="O55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9406.4699999999993</v>
      </c>
      <c r="P55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8826.802254822338</v>
      </c>
      <c r="Q558" s="30">
        <v>588453.48</v>
      </c>
      <c r="R558" s="12">
        <f>Таблица2[[#This Row],[Сумма в руб]]-Таблица2[[#This Row],[Оплата от клиента]]</f>
        <v>3.6548222415149212E-3</v>
      </c>
      <c r="S558" s="32">
        <v>44770</v>
      </c>
      <c r="T558" s="32" t="s">
        <v>277</v>
      </c>
      <c r="U558" s="24"/>
      <c r="V558" s="2"/>
      <c r="W558" s="28"/>
      <c r="X558" s="9"/>
      <c r="Y558" s="16"/>
      <c r="Z558" s="2"/>
      <c r="AA558" s="26">
        <f>Таблица2[[#This Row],[Сумма перевода Долл/Евро]]*Таблица2[[#This Row],[Курс ДОЛЛ перевод]]+Таблица2[[#This Row],[Сумма за перевод руб]]</f>
        <v>8826.802254822338</v>
      </c>
      <c r="AB55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9406.4699999999993</v>
      </c>
      <c r="AC558" s="9"/>
      <c r="AD558" s="41"/>
    </row>
    <row r="559" spans="1:30" ht="30" x14ac:dyDescent="0.25">
      <c r="A559" s="6">
        <v>44770</v>
      </c>
      <c r="B559" s="28" t="s">
        <v>783</v>
      </c>
      <c r="C559" s="40" t="s">
        <v>832</v>
      </c>
      <c r="D559" s="1"/>
      <c r="E559" s="1"/>
      <c r="F559" s="3"/>
      <c r="G559" s="5">
        <v>19155</v>
      </c>
      <c r="H559" s="2"/>
      <c r="I559" s="2">
        <v>62.3</v>
      </c>
      <c r="J559" s="2">
        <v>0.96</v>
      </c>
      <c r="K559" s="2"/>
      <c r="L559" s="2"/>
      <c r="M559" s="26">
        <f>Таблица2[[#This Row],[Сумма Долл]]*Таблица2[[#This Row],[Курс ДОЛЛ]]</f>
        <v>1193356.5</v>
      </c>
      <c r="N55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1243079.6875</v>
      </c>
      <c r="O55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19001.191001253101</v>
      </c>
      <c r="P55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49723.1875</v>
      </c>
      <c r="Q559" s="30">
        <v>1243079.69</v>
      </c>
      <c r="R559" s="12">
        <f>Таблица2[[#This Row],[Сумма в руб]]-Таблица2[[#This Row],[Оплата от клиента]]</f>
        <v>-2.4999999441206455E-3</v>
      </c>
      <c r="S559" s="32">
        <v>44770</v>
      </c>
      <c r="T559" s="42" t="s">
        <v>277</v>
      </c>
      <c r="U559" s="24" t="s">
        <v>31</v>
      </c>
      <c r="V559" s="2"/>
      <c r="W559" s="28">
        <v>62.804299999999998</v>
      </c>
      <c r="X559" s="9">
        <v>19168</v>
      </c>
      <c r="Y559" s="16"/>
      <c r="Z559" s="10">
        <v>44802</v>
      </c>
      <c r="AA559" s="26">
        <f>Таблица2[[#This Row],[Сумма перевода Долл/Евро]]*Таблица2[[#This Row],[Курс ДОЛЛ перевод]]+Таблица2[[#This Row],[Сумма за перевод руб]]</f>
        <v>1253556.0098999999</v>
      </c>
      <c r="AB55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-166.80899874689931</v>
      </c>
      <c r="AC559" s="9" t="s">
        <v>971</v>
      </c>
      <c r="AD559" s="41"/>
    </row>
    <row r="560" spans="1:30" x14ac:dyDescent="0.25">
      <c r="A560" s="6">
        <v>44770</v>
      </c>
      <c r="B560" s="2" t="s">
        <v>178</v>
      </c>
      <c r="C560" s="2" t="s">
        <v>654</v>
      </c>
      <c r="D560" s="1" t="s">
        <v>809</v>
      </c>
      <c r="E560" s="1"/>
      <c r="F560" s="3">
        <v>122930.95</v>
      </c>
      <c r="G560" s="5"/>
      <c r="H560" s="2">
        <v>9.26</v>
      </c>
      <c r="I560" s="2"/>
      <c r="J560" s="2">
        <v>0.99</v>
      </c>
      <c r="K560" s="2"/>
      <c r="L560" s="2"/>
      <c r="M560" s="26">
        <f>Таблица2[[#This Row],[Сумма ЮА]]*Таблица2[[#This Row],[Курс ЮА]]</f>
        <v>1138340.5969999998</v>
      </c>
      <c r="N560" s="24">
        <f>Таблица2[[#This Row],[Сумма ЮА]]*Таблица2[[#This Row],[Курс ЮА]]/Таблица2[[#This Row],[% за перевод]]</f>
        <v>1149838.9868686867</v>
      </c>
      <c r="O56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6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11498.389868686907</v>
      </c>
      <c r="Q560" s="30">
        <v>1173547.01</v>
      </c>
      <c r="R560" s="12">
        <f>Таблица2[[#This Row],[Сумма в руб]]-Таблица2[[#This Row],[Оплата от клиента]]</f>
        <v>-23708.023131313268</v>
      </c>
      <c r="S560" s="32">
        <v>44771</v>
      </c>
      <c r="T560" s="32" t="s">
        <v>107</v>
      </c>
      <c r="U560" s="24" t="s">
        <v>31</v>
      </c>
      <c r="V560" s="2">
        <v>9.3651999999999997</v>
      </c>
      <c r="W560" s="28"/>
      <c r="X560" s="9"/>
      <c r="Y560" s="16">
        <v>122930.95</v>
      </c>
      <c r="Z560" s="10">
        <v>44802</v>
      </c>
      <c r="AA560" s="26">
        <f>Таблица2[[#This Row],[Сумма перевода Долл/Евро]]*Таблица2[[#This Row],[Курс ДОЛЛ перевод]]+Таблица2[[#This Row],[Сумма за перевод руб]]</f>
        <v>11498.389868686907</v>
      </c>
      <c r="AB56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60" s="9"/>
      <c r="AD560" s="41"/>
    </row>
    <row r="561" spans="1:30" ht="30" x14ac:dyDescent="0.25">
      <c r="A561" s="6">
        <v>44774</v>
      </c>
      <c r="B561" s="38" t="s">
        <v>786</v>
      </c>
      <c r="C561" s="38" t="s">
        <v>785</v>
      </c>
      <c r="D561" s="1" t="s">
        <v>787</v>
      </c>
      <c r="E561" s="1"/>
      <c r="F561" s="3">
        <v>2730.4</v>
      </c>
      <c r="G561" s="5"/>
      <c r="H561" s="2">
        <v>9.31</v>
      </c>
      <c r="I561" s="2"/>
      <c r="J561" s="2">
        <v>0.92</v>
      </c>
      <c r="K561" s="2"/>
      <c r="L561" s="2"/>
      <c r="M561" s="26">
        <f>Таблица2[[#This Row],[Сумма ЮА]]*Таблица2[[#This Row],[Курс ЮА]]</f>
        <v>25420.024000000001</v>
      </c>
      <c r="N561" s="24">
        <f>Таблица2[[#This Row],[Сумма ЮА]]*Таблица2[[#This Row],[Курс ЮА]]/Таблица2[[#This Row],[% за перевод]]</f>
        <v>27630.460869565217</v>
      </c>
      <c r="O56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6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2210.4368695652156</v>
      </c>
      <c r="Q561" s="30">
        <v>27630.46</v>
      </c>
      <c r="R561" s="12">
        <f>Таблица2[[#This Row],[Сумма в руб]]-Таблица2[[#This Row],[Оплата от клиента]]</f>
        <v>8.6956521772663109E-4</v>
      </c>
      <c r="S561" s="32">
        <v>44776</v>
      </c>
      <c r="T561" s="32" t="s">
        <v>720</v>
      </c>
      <c r="U561" s="24" t="s">
        <v>31</v>
      </c>
      <c r="V561" s="2"/>
      <c r="W561" s="28"/>
      <c r="X561" s="9"/>
      <c r="Y561" s="16"/>
      <c r="Z561" s="2"/>
      <c r="AA561" s="26">
        <f>Таблица2[[#This Row],[Сумма перевода Долл/Евро]]*Таблица2[[#This Row],[Курс ДОЛЛ перевод]]+Таблица2[[#This Row],[Сумма за перевод руб]]</f>
        <v>2210.4368695652156</v>
      </c>
      <c r="AB56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61" s="9"/>
      <c r="AD561" s="41"/>
    </row>
    <row r="562" spans="1:30" x14ac:dyDescent="0.25">
      <c r="A562" s="6">
        <v>44775</v>
      </c>
      <c r="B562" s="38" t="s">
        <v>220</v>
      </c>
      <c r="C562" s="38" t="s">
        <v>221</v>
      </c>
      <c r="D562" s="1"/>
      <c r="E562" s="1"/>
      <c r="F562" s="3">
        <v>111970.78</v>
      </c>
      <c r="G562" s="5"/>
      <c r="H562" s="2">
        <v>9.16</v>
      </c>
      <c r="I562" s="2"/>
      <c r="J562" s="2">
        <v>0.97</v>
      </c>
      <c r="K562" s="2"/>
      <c r="L562" s="2"/>
      <c r="M562" s="26">
        <f>Таблица2[[#This Row],[Сумма ЮА]]*Таблица2[[#This Row],[Курс ЮА]]</f>
        <v>1025652.3448</v>
      </c>
      <c r="N562" s="24">
        <f>Таблица2[[#This Row],[Сумма ЮА]]*Таблица2[[#This Row],[Курс ЮА]]/Таблица2[[#This Row],[% за перевод]]</f>
        <v>1057373.5513402061</v>
      </c>
      <c r="O56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6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31721.206540206098</v>
      </c>
      <c r="Q562" s="30">
        <v>1057373.55</v>
      </c>
      <c r="R562" s="12">
        <f>Таблица2[[#This Row],[Сумма в руб]]-Таблица2[[#This Row],[Оплата от клиента]]</f>
        <v>1.3402060139924288E-3</v>
      </c>
      <c r="S562" s="32">
        <v>44775</v>
      </c>
      <c r="T562" s="32" t="s">
        <v>107</v>
      </c>
      <c r="U562" s="24" t="s">
        <v>31</v>
      </c>
      <c r="V562" s="2">
        <v>9.1026000000000007</v>
      </c>
      <c r="W562" s="28"/>
      <c r="X562" s="9"/>
      <c r="Y562" s="16">
        <v>111970.78</v>
      </c>
      <c r="Z562" s="10">
        <v>44776</v>
      </c>
      <c r="AA562" s="26">
        <f>Таблица2[[#This Row],[Сумма перевода Долл/Евро]]*Таблица2[[#This Row],[Курс ДОЛЛ перевод]]+Таблица2[[#This Row],[Сумма за перевод руб]]</f>
        <v>31721.206540206098</v>
      </c>
      <c r="AB56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62" s="9"/>
      <c r="AD562" s="41"/>
    </row>
    <row r="563" spans="1:30" x14ac:dyDescent="0.25">
      <c r="A563" s="6">
        <v>44775</v>
      </c>
      <c r="B563" s="38" t="s">
        <v>72</v>
      </c>
      <c r="C563" s="38" t="s">
        <v>73</v>
      </c>
      <c r="D563" s="1"/>
      <c r="E563" s="1"/>
      <c r="F563" s="3">
        <v>130000</v>
      </c>
      <c r="G563" s="5"/>
      <c r="H563" s="2">
        <v>9.2100000000000009</v>
      </c>
      <c r="I563" s="2"/>
      <c r="J563" s="2">
        <v>0.9</v>
      </c>
      <c r="K563" s="2"/>
      <c r="L563" s="2"/>
      <c r="M563" s="26">
        <f>Таблица2[[#This Row],[Сумма ЮА]]*Таблица2[[#This Row],[Курс ЮА]]</f>
        <v>1197300</v>
      </c>
      <c r="N563" s="24">
        <f>Таблица2[[#This Row],[Сумма ЮА]]*Таблица2[[#This Row],[Курс ЮА]]/Таблица2[[#This Row],[% за перевод]]</f>
        <v>1330333.3333333333</v>
      </c>
      <c r="O56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19559.410914259108</v>
      </c>
      <c r="P56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133033.33333333326</v>
      </c>
      <c r="Q563" s="30">
        <v>1330333.33</v>
      </c>
      <c r="R563" s="12">
        <f>Таблица2[[#This Row],[Сумма в руб]]-Таблица2[[#This Row],[Оплата от клиента]]</f>
        <v>3.3333331812173128E-3</v>
      </c>
      <c r="S563" s="32">
        <v>44775</v>
      </c>
      <c r="T563" s="32" t="s">
        <v>720</v>
      </c>
      <c r="U563" s="24" t="s">
        <v>31</v>
      </c>
      <c r="V563" s="2">
        <v>6.65</v>
      </c>
      <c r="W563" s="28">
        <v>61.213500000000003</v>
      </c>
      <c r="X563" s="9">
        <v>20374.38</v>
      </c>
      <c r="Y563" s="16">
        <v>130000</v>
      </c>
      <c r="Z563" s="2"/>
      <c r="AA563" s="26">
        <f>Таблица2[[#This Row],[Сумма перевода Долл/Евро]]*Таблица2[[#This Row],[Курс ДОЛЛ перевод]]+Таблица2[[#This Row],[Сумма за перевод руб]]</f>
        <v>1380220.4434633334</v>
      </c>
      <c r="AB56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10.538733807981771</v>
      </c>
      <c r="AC563" s="9"/>
      <c r="AD563" s="41"/>
    </row>
    <row r="564" spans="1:30" x14ac:dyDescent="0.25">
      <c r="A564" s="6">
        <v>44776</v>
      </c>
      <c r="B564" s="38" t="s">
        <v>833</v>
      </c>
      <c r="C564" s="38" t="s">
        <v>834</v>
      </c>
      <c r="D564" s="1"/>
      <c r="E564" s="1"/>
      <c r="F564" s="3">
        <v>12464.7</v>
      </c>
      <c r="G564" s="5"/>
      <c r="H564" s="2">
        <v>9.17</v>
      </c>
      <c r="I564" s="2"/>
      <c r="J564" s="2">
        <v>0.91</v>
      </c>
      <c r="K564" s="2"/>
      <c r="L564" s="2"/>
      <c r="M564" s="26">
        <f>Таблица2[[#This Row],[Сумма ЮА]]*Таблица2[[#This Row],[Курс ЮА]]</f>
        <v>114301.299</v>
      </c>
      <c r="N564" s="24">
        <f>Таблица2[[#This Row],[Сумма ЮА]]*Таблица2[[#This Row],[Курс ЮА]]/Таблица2[[#This Row],[% за перевод]]</f>
        <v>125605.82307692307</v>
      </c>
      <c r="O56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6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11304.524076923073</v>
      </c>
      <c r="Q564" s="30">
        <v>125605.82</v>
      </c>
      <c r="R564" s="12">
        <f>Таблица2[[#This Row],[Сумма в руб]]-Таблица2[[#This Row],[Оплата от клиента]]</f>
        <v>3.0769230652367696E-3</v>
      </c>
      <c r="S564" s="32">
        <v>44776</v>
      </c>
      <c r="T564" s="32" t="s">
        <v>720</v>
      </c>
      <c r="U564" s="24" t="s">
        <v>31</v>
      </c>
      <c r="V564" s="2">
        <v>6.65</v>
      </c>
      <c r="W564" s="28"/>
      <c r="X564" s="9"/>
      <c r="Y564" s="16">
        <v>12464.7</v>
      </c>
      <c r="Z564" s="2"/>
      <c r="AA564" s="26">
        <f>Таблица2[[#This Row],[Сумма перевода Долл/Евро]]*Таблица2[[#This Row],[Курс ДОЛЛ перевод]]+Таблица2[[#This Row],[Сумма за перевод руб]]</f>
        <v>11304.524076923073</v>
      </c>
      <c r="AB56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64" s="9"/>
      <c r="AD564" s="41"/>
    </row>
    <row r="565" spans="1:30" x14ac:dyDescent="0.25">
      <c r="A565" s="6">
        <v>44776</v>
      </c>
      <c r="B565" s="38" t="s">
        <v>298</v>
      </c>
      <c r="C565" s="38" t="s">
        <v>56</v>
      </c>
      <c r="D565" s="1"/>
      <c r="E565" s="1"/>
      <c r="F565" s="3">
        <v>54384</v>
      </c>
      <c r="G565" s="5"/>
      <c r="H565" s="2">
        <v>9.24</v>
      </c>
      <c r="I565" s="2"/>
      <c r="J565" s="2">
        <v>0.97</v>
      </c>
      <c r="K565" s="2"/>
      <c r="L565" s="2"/>
      <c r="M565" s="26">
        <f>Таблица2[[#This Row],[Сумма ЮА]]*Таблица2[[#This Row],[Курс ЮА]]</f>
        <v>502508.16000000003</v>
      </c>
      <c r="N565" s="24">
        <f>Таблица2[[#This Row],[Сумма ЮА]]*Таблица2[[#This Row],[Курс ЮА]]/Таблица2[[#This Row],[% за перевод]]</f>
        <v>518049.64948453614</v>
      </c>
      <c r="O56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6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15541.489484536112</v>
      </c>
      <c r="Q565" s="30">
        <v>518049.65</v>
      </c>
      <c r="R565" s="12">
        <f>Таблица2[[#This Row],[Сумма в руб]]-Таблица2[[#This Row],[Оплата от клиента]]</f>
        <v>-5.154638784006238E-4</v>
      </c>
      <c r="S565" s="32">
        <v>44781</v>
      </c>
      <c r="T565" s="32" t="s">
        <v>107</v>
      </c>
      <c r="U565" s="24" t="s">
        <v>31</v>
      </c>
      <c r="V565" s="2">
        <v>9.0687999999999995</v>
      </c>
      <c r="W565" s="28"/>
      <c r="X565" s="9"/>
      <c r="Y565" s="16">
        <v>54384</v>
      </c>
      <c r="Z565" s="10">
        <v>44784</v>
      </c>
      <c r="AA565" s="26">
        <f>Таблица2[[#This Row],[Сумма перевода Долл/Евро]]*Таблица2[[#This Row],[Курс ДОЛЛ перевод]]+Таблица2[[#This Row],[Сумма за перевод руб]]</f>
        <v>15541.489484536112</v>
      </c>
      <c r="AB56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65" s="9"/>
      <c r="AD565" s="41"/>
    </row>
    <row r="566" spans="1:30" ht="60" x14ac:dyDescent="0.25">
      <c r="A566" s="6">
        <v>44776</v>
      </c>
      <c r="B566" s="38" t="s">
        <v>726</v>
      </c>
      <c r="C566" s="38" t="s">
        <v>203</v>
      </c>
      <c r="D566" s="1" t="s">
        <v>835</v>
      </c>
      <c r="E566" s="1"/>
      <c r="F566" s="3">
        <v>8610</v>
      </c>
      <c r="G566" s="5"/>
      <c r="H566" s="2">
        <v>9.17</v>
      </c>
      <c r="I566" s="2">
        <v>61.3</v>
      </c>
      <c r="J566" s="2"/>
      <c r="K566" s="2">
        <v>80</v>
      </c>
      <c r="L566" s="2"/>
      <c r="M566" s="26">
        <f>Таблица2[[#This Row],[Сумма ЮА]]*Таблица2[[#This Row],[Курс ЮА]]</f>
        <v>78953.7</v>
      </c>
      <c r="N566" s="24">
        <f>Таблица2[[#This Row],[Сумма ЮА]]*Таблица2[[#This Row],[Курс ЮА]]+Таблица2[[#This Row],[Долл за перевод]]*Таблица2[[#This Row],[Курс ДОЛЛ]]</f>
        <v>83857.7</v>
      </c>
      <c r="O56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1287.9885807504079</v>
      </c>
      <c r="P56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4904</v>
      </c>
      <c r="Q566" s="30">
        <v>83857.7</v>
      </c>
      <c r="R566" s="12">
        <f>Таблица2[[#This Row],[Сумма в руб]]-Таблица2[[#This Row],[Оплата от клиента]]</f>
        <v>0</v>
      </c>
      <c r="S566" s="32">
        <v>44776</v>
      </c>
      <c r="T566" s="32" t="s">
        <v>107</v>
      </c>
      <c r="U566" s="24" t="s">
        <v>31</v>
      </c>
      <c r="V566" s="2">
        <v>9.0650999999999993</v>
      </c>
      <c r="W566" s="28"/>
      <c r="X566" s="9"/>
      <c r="Y566" s="16">
        <v>8610</v>
      </c>
      <c r="Z566" s="10">
        <v>44778</v>
      </c>
      <c r="AA566" s="26">
        <f>Таблица2[[#This Row],[Сумма перевода Долл/Евро]]*Таблица2[[#This Row],[Курс ДОЛЛ перевод]]+Таблица2[[#This Row],[Сумма за перевод руб]]</f>
        <v>4904</v>
      </c>
      <c r="AB56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338.19210856587597</v>
      </c>
      <c r="AC566" s="9"/>
      <c r="AD566" s="41"/>
    </row>
    <row r="567" spans="1:30" ht="45" x14ac:dyDescent="0.25">
      <c r="A567" s="6">
        <v>44776</v>
      </c>
      <c r="B567" s="38" t="s">
        <v>726</v>
      </c>
      <c r="C567" s="38" t="s">
        <v>203</v>
      </c>
      <c r="D567" s="1" t="s">
        <v>837</v>
      </c>
      <c r="E567" s="1"/>
      <c r="F567" s="3">
        <v>7590</v>
      </c>
      <c r="G567" s="5"/>
      <c r="H567" s="2">
        <v>9.17</v>
      </c>
      <c r="I567" s="2"/>
      <c r="J567" s="2">
        <v>0.9</v>
      </c>
      <c r="K567" s="2"/>
      <c r="L567" s="2"/>
      <c r="M567" s="26">
        <f>Таблица2[[#This Row],[Сумма ЮА]]*Таблица2[[#This Row],[Курс ЮА]]</f>
        <v>69600.3</v>
      </c>
      <c r="N567" s="24">
        <f>Таблица2[[#This Row],[Сумма ЮА]]*Таблица2[[#This Row],[Курс ЮА]]/Таблица2[[#This Row],[% за перевод]]</f>
        <v>77333.666666666672</v>
      </c>
      <c r="O56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1155.3815481714009</v>
      </c>
      <c r="P56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7733.3666666666686</v>
      </c>
      <c r="Q567" s="30">
        <v>77333.67</v>
      </c>
      <c r="R567" s="12">
        <f>Таблица2[[#This Row],[Сумма в руб]]-Таблица2[[#This Row],[Оплата от клиента]]</f>
        <v>-3.3333333267364651E-3</v>
      </c>
      <c r="S567" s="32">
        <v>44776</v>
      </c>
      <c r="T567" s="32" t="s">
        <v>730</v>
      </c>
      <c r="U567" s="24" t="s">
        <v>31</v>
      </c>
      <c r="V567" s="2"/>
      <c r="W567" s="28">
        <v>60.240099999999998</v>
      </c>
      <c r="X567" s="9">
        <v>1203.52</v>
      </c>
      <c r="Y567" s="16"/>
      <c r="Z567" s="2"/>
      <c r="AA567" s="26">
        <f>Таблица2[[#This Row],[Сумма перевода Долл/Евро]]*Таблица2[[#This Row],[Курс ДОЛЛ перевод]]+Таблица2[[#This Row],[Сумма за перевод руб]]</f>
        <v>80233.53181866667</v>
      </c>
      <c r="AB56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-48.138451828599045</v>
      </c>
      <c r="AC567" s="9"/>
      <c r="AD567" s="41"/>
    </row>
    <row r="568" spans="1:30" ht="45" x14ac:dyDescent="0.25">
      <c r="A568" s="6">
        <v>44776</v>
      </c>
      <c r="B568" s="38" t="s">
        <v>726</v>
      </c>
      <c r="C568" s="38" t="s">
        <v>203</v>
      </c>
      <c r="D568" s="1" t="s">
        <v>836</v>
      </c>
      <c r="E568" s="1"/>
      <c r="F568" s="3">
        <v>3991</v>
      </c>
      <c r="G568" s="5"/>
      <c r="H568" s="2">
        <v>9.17</v>
      </c>
      <c r="I568" s="2"/>
      <c r="J568" s="2">
        <v>0.9</v>
      </c>
      <c r="K568" s="2"/>
      <c r="L568" s="2"/>
      <c r="M568" s="26">
        <f>Таблица2[[#This Row],[Сумма ЮА]]*Таблица2[[#This Row],[Курс ЮА]]</f>
        <v>36597.47</v>
      </c>
      <c r="N568" s="24">
        <f>Таблица2[[#This Row],[Сумма ЮА]]*Таблица2[[#This Row],[Курс ЮА]]/Таблица2[[#This Row],[% за перевод]]</f>
        <v>40663.855555555558</v>
      </c>
      <c r="O56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607.52671393307787</v>
      </c>
      <c r="P56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4066.3855555555565</v>
      </c>
      <c r="Q568" s="30">
        <v>40663.86</v>
      </c>
      <c r="R568" s="12">
        <f>Таблица2[[#This Row],[Сумма в руб]]-Таблица2[[#This Row],[Оплата от клиента]]</f>
        <v>-4.4444444429245777E-3</v>
      </c>
      <c r="S568" s="32">
        <v>44776</v>
      </c>
      <c r="T568" s="32" t="s">
        <v>720</v>
      </c>
      <c r="U568" s="24" t="s">
        <v>31</v>
      </c>
      <c r="V568" s="2">
        <v>6.65</v>
      </c>
      <c r="W568" s="28">
        <v>60.240099999999998</v>
      </c>
      <c r="X568" s="9">
        <v>632.84</v>
      </c>
      <c r="Y568" s="16">
        <v>3991</v>
      </c>
      <c r="Z568" s="2"/>
      <c r="AA568" s="26">
        <f>Таблица2[[#This Row],[Сумма перевода Долл/Евро]]*Таблица2[[#This Row],[Курс ДОЛЛ перевод]]+Таблица2[[#This Row],[Сумма за перевод руб]]</f>
        <v>42188.730439555555</v>
      </c>
      <c r="AB56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7.376337993228276</v>
      </c>
      <c r="AC568" s="9"/>
      <c r="AD568" s="41"/>
    </row>
    <row r="569" spans="1:30" x14ac:dyDescent="0.25">
      <c r="A569" s="6">
        <v>44777</v>
      </c>
      <c r="B569" s="38" t="s">
        <v>81</v>
      </c>
      <c r="C569" s="38" t="s">
        <v>82</v>
      </c>
      <c r="D569" s="1"/>
      <c r="E569" s="1"/>
      <c r="F569" s="3">
        <v>16135</v>
      </c>
      <c r="G569" s="5"/>
      <c r="H569" s="2">
        <v>9.16</v>
      </c>
      <c r="I569" s="2"/>
      <c r="J569" s="2">
        <v>0.9</v>
      </c>
      <c r="K569" s="2"/>
      <c r="L569" s="2"/>
      <c r="M569" s="26">
        <f>Таблица2[[#This Row],[Сумма ЮА]]*Таблица2[[#This Row],[Курс ЮА]]</f>
        <v>147796.6</v>
      </c>
      <c r="N569" s="24">
        <f>Таблица2[[#This Row],[Сумма ЮА]]*Таблица2[[#This Row],[Курс ЮА]]/Таблица2[[#This Row],[% за перевод]]</f>
        <v>164218.44444444444</v>
      </c>
      <c r="O56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2453.4587425983691</v>
      </c>
      <c r="P56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16421.844444444432</v>
      </c>
      <c r="Q569" s="30">
        <v>164218.44</v>
      </c>
      <c r="R569" s="12">
        <f>Таблица2[[#This Row],[Сумма в руб]]-Таблица2[[#This Row],[Оплата от клиента]]</f>
        <v>4.4444444356486201E-3</v>
      </c>
      <c r="S569" s="32">
        <v>44783</v>
      </c>
      <c r="T569" s="32" t="s">
        <v>720</v>
      </c>
      <c r="U569" s="24" t="s">
        <v>31</v>
      </c>
      <c r="V569" s="2">
        <v>6.65</v>
      </c>
      <c r="W569" s="28">
        <v>60.240099999999998</v>
      </c>
      <c r="X569" s="9">
        <v>2555.6799999999998</v>
      </c>
      <c r="Y569" s="16">
        <v>16135</v>
      </c>
      <c r="Z569" s="2"/>
      <c r="AA569" s="26">
        <f>Таблица2[[#This Row],[Сумма перевода Долл/Евро]]*Таблица2[[#This Row],[Курс ДОЛЛ перевод]]+Таблица2[[#This Row],[Сумма за перевод руб]]</f>
        <v>170376.26321244441</v>
      </c>
      <c r="AB56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27.142953124684936</v>
      </c>
      <c r="AC569" s="9"/>
      <c r="AD569" s="41"/>
    </row>
    <row r="570" spans="1:30" ht="45" x14ac:dyDescent="0.25">
      <c r="A570" s="6">
        <v>44778</v>
      </c>
      <c r="B570" s="2" t="s">
        <v>165</v>
      </c>
      <c r="C570" s="2" t="s">
        <v>838</v>
      </c>
      <c r="D570" s="1" t="s">
        <v>782</v>
      </c>
      <c r="E570" s="1"/>
      <c r="F570" s="3"/>
      <c r="G570" s="5">
        <v>5980</v>
      </c>
      <c r="H570" s="2"/>
      <c r="I570" s="2">
        <v>61.21</v>
      </c>
      <c r="J570" s="2">
        <v>0.97</v>
      </c>
      <c r="K570" s="2"/>
      <c r="L570" s="2"/>
      <c r="M570" s="26">
        <f>Таблица2[[#This Row],[Сумма Долл]]*Таблица2[[#This Row],[Курс ДОЛЛ]]</f>
        <v>366035.8</v>
      </c>
      <c r="N57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377356.49484536081</v>
      </c>
      <c r="O57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5987.825944707999</v>
      </c>
      <c r="P57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11320.69484536082</v>
      </c>
      <c r="Q570" s="30">
        <v>377356.49</v>
      </c>
      <c r="R570" s="12">
        <f>Таблица2[[#This Row],[Сумма в руб]]-Таблица2[[#This Row],[Оплата от клиента]]</f>
        <v>4.8453608178533614E-3</v>
      </c>
      <c r="S570" s="32">
        <v>44778</v>
      </c>
      <c r="T570" s="32" t="s">
        <v>164</v>
      </c>
      <c r="U570" s="24" t="s">
        <v>31</v>
      </c>
      <c r="V570" s="2"/>
      <c r="W570" s="28">
        <v>61.13</v>
      </c>
      <c r="X570" s="9">
        <v>5980</v>
      </c>
      <c r="Y570" s="16"/>
      <c r="Z570" s="10">
        <v>44778</v>
      </c>
      <c r="AA570" s="26">
        <f>Таблица2[[#This Row],[Сумма перевода Долл/Евро]]*Таблица2[[#This Row],[Курс ДОЛЛ перевод]]+Таблица2[[#This Row],[Сумма за перевод руб]]</f>
        <v>376878.09484536084</v>
      </c>
      <c r="AB57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7.8259447079990423</v>
      </c>
      <c r="AC570" s="9"/>
      <c r="AD570" s="41"/>
    </row>
    <row r="571" spans="1:30" ht="60" x14ac:dyDescent="0.25">
      <c r="A571" s="6">
        <v>44778</v>
      </c>
      <c r="B571" s="2" t="s">
        <v>32</v>
      </c>
      <c r="C571" s="2" t="s">
        <v>33</v>
      </c>
      <c r="D571" s="1" t="s">
        <v>839</v>
      </c>
      <c r="E571" s="1"/>
      <c r="F571" s="3"/>
      <c r="G571" s="5">
        <v>4000</v>
      </c>
      <c r="H571" s="2"/>
      <c r="I571" s="2">
        <v>61.035800000000002</v>
      </c>
      <c r="J571" s="2">
        <v>0.97</v>
      </c>
      <c r="K571" s="2"/>
      <c r="L571" s="2"/>
      <c r="M571" s="26">
        <f>Таблица2[[#This Row],[Сумма Долл]]*Таблица2[[#This Row],[Курс ДОЛЛ]]</f>
        <v>244143.2</v>
      </c>
      <c r="N57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251694.02061855671</v>
      </c>
      <c r="O57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4000</v>
      </c>
      <c r="P57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7550.820618556696</v>
      </c>
      <c r="Q571" s="30">
        <v>275369.40000000002</v>
      </c>
      <c r="R571" s="12">
        <f>Таблица2[[#This Row],[Сумма в руб]]-Таблица2[[#This Row],[Оплата от клиента]]</f>
        <v>-23675.379381443316</v>
      </c>
      <c r="S571" s="32">
        <v>44781</v>
      </c>
      <c r="T571" s="32" t="s">
        <v>164</v>
      </c>
      <c r="U571" s="24" t="s">
        <v>31</v>
      </c>
      <c r="V571" s="2"/>
      <c r="W571" s="28">
        <v>61.035800000000002</v>
      </c>
      <c r="X571" s="9">
        <v>4000</v>
      </c>
      <c r="Y571" s="16"/>
      <c r="Z571" s="10">
        <v>44785</v>
      </c>
      <c r="AA571" s="26">
        <f>Таблица2[[#This Row],[Сумма перевода Долл/Евро]]*Таблица2[[#This Row],[Курс ДОЛЛ перевод]]+Таблица2[[#This Row],[Сумма за перевод руб]]</f>
        <v>251694.02061855671</v>
      </c>
      <c r="AB57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571" s="9"/>
      <c r="AD571" s="41"/>
    </row>
    <row r="572" spans="1:30" ht="30" x14ac:dyDescent="0.25">
      <c r="A572" s="6">
        <v>44778</v>
      </c>
      <c r="B572" s="38" t="s">
        <v>32</v>
      </c>
      <c r="C572" s="38" t="s">
        <v>33</v>
      </c>
      <c r="D572" s="1" t="s">
        <v>840</v>
      </c>
      <c r="E572" s="1"/>
      <c r="F572" s="3">
        <v>58487</v>
      </c>
      <c r="G572" s="5"/>
      <c r="H572" s="2">
        <v>9.18</v>
      </c>
      <c r="I572" s="2"/>
      <c r="J572" s="2">
        <v>0.97</v>
      </c>
      <c r="K572" s="2"/>
      <c r="L572" s="2"/>
      <c r="M572" s="26">
        <f>Таблица2[[#This Row],[Сумма ЮА]]*Таблица2[[#This Row],[Курс ЮА]]</f>
        <v>536910.66</v>
      </c>
      <c r="N572" s="24">
        <f>Таблица2[[#This Row],[Сумма ЮА]]*Таблица2[[#This Row],[Курс ЮА]]/Таблица2[[#This Row],[% за перевод]]</f>
        <v>553516.14432989701</v>
      </c>
      <c r="O57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7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16605.484329896979</v>
      </c>
      <c r="Q572" s="30">
        <v>553516.14</v>
      </c>
      <c r="R572" s="12">
        <f>Таблица2[[#This Row],[Сумма в руб]]-Таблица2[[#This Row],[Оплата от клиента]]</f>
        <v>4.3298969976603985E-3</v>
      </c>
      <c r="S572" s="32">
        <v>44781</v>
      </c>
      <c r="T572" s="32" t="s">
        <v>107</v>
      </c>
      <c r="U572" s="24" t="s">
        <v>31</v>
      </c>
      <c r="V572" s="2">
        <v>9.0569000000000006</v>
      </c>
      <c r="W572" s="28"/>
      <c r="X572" s="9"/>
      <c r="Y572" s="16">
        <v>58487</v>
      </c>
      <c r="Z572" s="10">
        <v>44784</v>
      </c>
      <c r="AA572" s="26">
        <f>Таблица2[[#This Row],[Сумма перевода Долл/Евро]]*Таблица2[[#This Row],[Курс ДОЛЛ перевод]]+Таблица2[[#This Row],[Сумма за перевод руб]]</f>
        <v>16605.484329896979</v>
      </c>
      <c r="AB57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72" s="9"/>
      <c r="AD572" s="41"/>
    </row>
    <row r="573" spans="1:30" ht="45" x14ac:dyDescent="0.25">
      <c r="A573" s="6">
        <v>44778</v>
      </c>
      <c r="B573" s="38" t="s">
        <v>32</v>
      </c>
      <c r="C573" s="38" t="s">
        <v>33</v>
      </c>
      <c r="D573" s="1" t="s">
        <v>841</v>
      </c>
      <c r="E573" s="1"/>
      <c r="F573" s="3">
        <v>13556.78</v>
      </c>
      <c r="G573" s="5"/>
      <c r="H573" s="2">
        <v>9.18</v>
      </c>
      <c r="I573" s="2"/>
      <c r="J573" s="2">
        <v>0.9</v>
      </c>
      <c r="K573" s="2"/>
      <c r="L573" s="2"/>
      <c r="M573" s="26">
        <f>Таблица2[[#This Row],[Сумма ЮА]]*Таблица2[[#This Row],[Курс ЮА]]</f>
        <v>124451.2404</v>
      </c>
      <c r="N573" s="24">
        <f>Таблица2[[#This Row],[Сумма ЮА]]*Таблица2[[#This Row],[Курс ЮА]]/Таблица2[[#This Row],[% за перевод]]</f>
        <v>138279.15599999999</v>
      </c>
      <c r="O57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7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13827.915599999993</v>
      </c>
      <c r="Q573" s="30">
        <v>138279.16</v>
      </c>
      <c r="R573" s="12">
        <f>Таблица2[[#This Row],[Сумма в руб]]-Таблица2[[#This Row],[Оплата от клиента]]</f>
        <v>-4.0000000153668225E-3</v>
      </c>
      <c r="S573" s="32">
        <v>44781</v>
      </c>
      <c r="T573" s="32" t="s">
        <v>107</v>
      </c>
      <c r="U573" s="24" t="s">
        <v>31</v>
      </c>
      <c r="V573" s="2">
        <v>9.1199999999999992</v>
      </c>
      <c r="W573" s="28"/>
      <c r="X573" s="9"/>
      <c r="Y573" s="16">
        <v>13556.78</v>
      </c>
      <c r="Z573" s="10">
        <v>44790</v>
      </c>
      <c r="AA573" s="26">
        <f>Таблица2[[#This Row],[Сумма перевода Долл/Евро]]*Таблица2[[#This Row],[Курс ДОЛЛ перевод]]+Таблица2[[#This Row],[Сумма за перевод руб]]</f>
        <v>13827.915599999993</v>
      </c>
      <c r="AB57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73" s="9"/>
      <c r="AD573" s="41"/>
    </row>
    <row r="574" spans="1:30" x14ac:dyDescent="0.25">
      <c r="A574" s="6">
        <v>44778</v>
      </c>
      <c r="B574" s="38" t="s">
        <v>32</v>
      </c>
      <c r="C574" s="38" t="s">
        <v>33</v>
      </c>
      <c r="D574" s="1" t="s">
        <v>842</v>
      </c>
      <c r="E574" s="1"/>
      <c r="F574" s="3">
        <v>91125</v>
      </c>
      <c r="G574" s="5"/>
      <c r="H574" s="2">
        <v>9.18</v>
      </c>
      <c r="I574" s="2"/>
      <c r="J574" s="2">
        <v>0.97</v>
      </c>
      <c r="K574" s="2"/>
      <c r="L574" s="2"/>
      <c r="M574" s="26">
        <f>Таблица2[[#This Row],[Сумма ЮА]]*Таблица2[[#This Row],[Курс ЮА]]</f>
        <v>836527.5</v>
      </c>
      <c r="N574" s="24">
        <f>Таблица2[[#This Row],[Сумма ЮА]]*Таблица2[[#This Row],[Курс ЮА]]/Таблица2[[#This Row],[% за перевод]]</f>
        <v>862399.48453608248</v>
      </c>
      <c r="O57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7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25871.984536082484</v>
      </c>
      <c r="Q574" s="30">
        <v>862399.48</v>
      </c>
      <c r="R574" s="12">
        <f>Таблица2[[#This Row],[Сумма в руб]]-Таблица2[[#This Row],[Оплата от клиента]]</f>
        <v>4.5360825024545193E-3</v>
      </c>
      <c r="S574" s="32">
        <v>44781</v>
      </c>
      <c r="T574" s="32" t="s">
        <v>107</v>
      </c>
      <c r="U574" s="24" t="s">
        <v>31</v>
      </c>
      <c r="V574" s="2">
        <v>9.0569000000000006</v>
      </c>
      <c r="W574" s="28"/>
      <c r="X574" s="9"/>
      <c r="Y574" s="16">
        <v>91125</v>
      </c>
      <c r="Z574" s="2"/>
      <c r="AA574" s="26">
        <f>Таблица2[[#This Row],[Сумма перевода Долл/Евро]]*Таблица2[[#This Row],[Курс ДОЛЛ перевод]]+Таблица2[[#This Row],[Сумма за перевод руб]]</f>
        <v>25871.984536082484</v>
      </c>
      <c r="AB57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74" s="9"/>
      <c r="AD574" s="41"/>
    </row>
    <row r="575" spans="1:30" ht="30" x14ac:dyDescent="0.25">
      <c r="A575" s="6">
        <v>44778</v>
      </c>
      <c r="B575" s="38" t="s">
        <v>35</v>
      </c>
      <c r="C575" s="38" t="s">
        <v>36</v>
      </c>
      <c r="D575" s="1" t="s">
        <v>843</v>
      </c>
      <c r="E575" s="1"/>
      <c r="F575" s="3">
        <v>35599</v>
      </c>
      <c r="G575" s="5"/>
      <c r="H575" s="2">
        <v>9.23</v>
      </c>
      <c r="I575" s="2"/>
      <c r="J575" s="2">
        <v>0.97</v>
      </c>
      <c r="K575" s="2"/>
      <c r="L575" s="2"/>
      <c r="M575" s="26">
        <f>Таблица2[[#This Row],[Сумма ЮА]]*Таблица2[[#This Row],[Курс ЮА]]</f>
        <v>328578.77</v>
      </c>
      <c r="N575" s="24">
        <f>Таблица2[[#This Row],[Сумма ЮА]]*Таблица2[[#This Row],[Курс ЮА]]/Таблица2[[#This Row],[% за перевод]]</f>
        <v>338741</v>
      </c>
      <c r="O57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7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10162.229999999981</v>
      </c>
      <c r="Q575" s="30">
        <v>338741</v>
      </c>
      <c r="R575" s="12">
        <f>Таблица2[[#This Row],[Сумма в руб]]-Таблица2[[#This Row],[Оплата от клиента]]</f>
        <v>0</v>
      </c>
      <c r="S575" s="32">
        <v>44781</v>
      </c>
      <c r="T575" s="32" t="s">
        <v>107</v>
      </c>
      <c r="U575" s="24" t="s">
        <v>31</v>
      </c>
      <c r="V575" s="2">
        <v>9.0687999999999995</v>
      </c>
      <c r="W575" s="28"/>
      <c r="X575" s="9"/>
      <c r="Y575" s="16">
        <v>35599</v>
      </c>
      <c r="Z575" s="10">
        <v>44784</v>
      </c>
      <c r="AA575" s="26">
        <f>Таблица2[[#This Row],[Сумма перевода Долл/Евро]]*Таблица2[[#This Row],[Курс ДОЛЛ перевод]]+Таблица2[[#This Row],[Сумма за перевод руб]]</f>
        <v>10162.229999999981</v>
      </c>
      <c r="AB57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75" s="9"/>
      <c r="AD575" s="41"/>
    </row>
    <row r="576" spans="1:30" ht="30" x14ac:dyDescent="0.25">
      <c r="A576" s="6">
        <v>44781</v>
      </c>
      <c r="B576" s="38" t="s">
        <v>783</v>
      </c>
      <c r="C576" s="38" t="s">
        <v>784</v>
      </c>
      <c r="D576" s="1" t="s">
        <v>729</v>
      </c>
      <c r="E576" s="1"/>
      <c r="F576" s="3">
        <v>32430</v>
      </c>
      <c r="G576" s="5"/>
      <c r="H576" s="2">
        <v>9.16</v>
      </c>
      <c r="I576" s="2"/>
      <c r="J576" s="2">
        <v>0.97</v>
      </c>
      <c r="K576" s="2"/>
      <c r="L576" s="2"/>
      <c r="M576" s="26">
        <f>Таблица2[[#This Row],[Сумма ЮА]]*Таблица2[[#This Row],[Курс ЮА]]</f>
        <v>297058.8</v>
      </c>
      <c r="N576" s="24">
        <f>Таблица2[[#This Row],[Сумма ЮА]]*Таблица2[[#This Row],[Курс ЮА]]/Таблица2[[#This Row],[% за перевод]]</f>
        <v>306246.18556701031</v>
      </c>
      <c r="O57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7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9187.3855670103221</v>
      </c>
      <c r="Q576" s="30">
        <v>306246.19</v>
      </c>
      <c r="R576" s="12">
        <f>Таблица2[[#This Row],[Сумма в руб]]-Таблица2[[#This Row],[Оплата от клиента]]</f>
        <v>-4.432989691849798E-3</v>
      </c>
      <c r="S576" s="32">
        <v>44781</v>
      </c>
      <c r="T576" s="32" t="s">
        <v>107</v>
      </c>
      <c r="U576" s="24" t="s">
        <v>31</v>
      </c>
      <c r="V576" s="2">
        <v>9.0687999999999995</v>
      </c>
      <c r="W576" s="28"/>
      <c r="X576" s="9"/>
      <c r="Y576" s="16">
        <v>32430</v>
      </c>
      <c r="Z576" s="10">
        <v>44784</v>
      </c>
      <c r="AA576" s="26">
        <f>Таблица2[[#This Row],[Сумма перевода Долл/Евро]]*Таблица2[[#This Row],[Курс ДОЛЛ перевод]]+Таблица2[[#This Row],[Сумма за перевод руб]]</f>
        <v>9187.3855670103221</v>
      </c>
      <c r="AB57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76" s="9"/>
      <c r="AD576" s="41"/>
    </row>
    <row r="577" spans="1:30" x14ac:dyDescent="0.25">
      <c r="A577" s="6">
        <v>44781</v>
      </c>
      <c r="B577" s="2" t="s">
        <v>298</v>
      </c>
      <c r="C577" s="2" t="s">
        <v>56</v>
      </c>
      <c r="D577" s="1"/>
      <c r="E577" s="1"/>
      <c r="F577" s="3"/>
      <c r="G577" s="5">
        <v>1368.88</v>
      </c>
      <c r="H577" s="2"/>
      <c r="I577" s="2">
        <v>61.14</v>
      </c>
      <c r="J577" s="2"/>
      <c r="K577" s="2">
        <v>80</v>
      </c>
      <c r="L577" s="2"/>
      <c r="M577" s="26">
        <f>Таблица2[[#This Row],[Сумма Долл]]*Таблица2[[#This Row],[Курс ДОЛЛ]]</f>
        <v>83693.323200000013</v>
      </c>
      <c r="N57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88584.523200000011</v>
      </c>
      <c r="O57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1367.4463508163672</v>
      </c>
      <c r="P57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4896.3279999999995</v>
      </c>
      <c r="Q577" s="30">
        <v>88584.52</v>
      </c>
      <c r="R577" s="12">
        <f>Таблица2[[#This Row],[Сумма в руб]]-Таблица2[[#This Row],[Оплата от клиента]]</f>
        <v>3.2000000064726919E-3</v>
      </c>
      <c r="S577" s="32">
        <v>44783</v>
      </c>
      <c r="T577" s="32" t="s">
        <v>164</v>
      </c>
      <c r="U577" s="24" t="s">
        <v>31</v>
      </c>
      <c r="V577" s="2"/>
      <c r="W577" s="28">
        <v>61.204099999999997</v>
      </c>
      <c r="X577" s="9">
        <v>1368.88</v>
      </c>
      <c r="Y577" s="16"/>
      <c r="Z577" s="10">
        <v>44784</v>
      </c>
      <c r="AA577" s="26">
        <f>Таблица2[[#This Row],[Сумма перевода Долл/Евро]]*Таблица2[[#This Row],[Курс ДОЛЛ перевод]]+Таблица2[[#This Row],[Сумма за перевод руб]]</f>
        <v>88677.396408000001</v>
      </c>
      <c r="AB57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-1.4336491836329515</v>
      </c>
      <c r="AC577" s="9"/>
      <c r="AD577" s="41"/>
    </row>
    <row r="578" spans="1:30" x14ac:dyDescent="0.25">
      <c r="A578" s="6">
        <v>44782</v>
      </c>
      <c r="B578" s="38" t="s">
        <v>32</v>
      </c>
      <c r="C578" s="38" t="s">
        <v>33</v>
      </c>
      <c r="D578" s="1" t="s">
        <v>757</v>
      </c>
      <c r="E578" s="1"/>
      <c r="F578" s="3">
        <v>164377.5</v>
      </c>
      <c r="G578" s="5"/>
      <c r="H578" s="2">
        <v>9.16</v>
      </c>
      <c r="I578" s="2"/>
      <c r="J578" s="2">
        <v>0.97</v>
      </c>
      <c r="K578" s="2"/>
      <c r="L578" s="2"/>
      <c r="M578" s="26">
        <f>Таблица2[[#This Row],[Сумма ЮА]]*Таблица2[[#This Row],[Курс ЮА]]</f>
        <v>1505697.9000000001</v>
      </c>
      <c r="N578" s="24">
        <f>Таблица2[[#This Row],[Сумма ЮА]]*Таблица2[[#This Row],[Курс ЮА]]/Таблица2[[#This Row],[% за перевод]]</f>
        <v>1552265.8762886599</v>
      </c>
      <c r="O57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7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46567.976288659731</v>
      </c>
      <c r="Q578" s="30">
        <v>1552265.88</v>
      </c>
      <c r="R578" s="12">
        <f>Таблица2[[#This Row],[Сумма в руб]]-Таблица2[[#This Row],[Оплата от клиента]]</f>
        <v>-3.7113400176167488E-3</v>
      </c>
      <c r="S578" s="32">
        <v>44789</v>
      </c>
      <c r="T578" s="32" t="s">
        <v>107</v>
      </c>
      <c r="U578" s="24" t="s">
        <v>31</v>
      </c>
      <c r="V578" s="2">
        <v>9.1370000000000005</v>
      </c>
      <c r="W578" s="28"/>
      <c r="X578" s="9"/>
      <c r="Y578" s="16">
        <v>164377.5</v>
      </c>
      <c r="Z578" s="10">
        <v>44790</v>
      </c>
      <c r="AA578" s="26">
        <f>Таблица2[[#This Row],[Сумма перевода Долл/Евро]]*Таблица2[[#This Row],[Курс ДОЛЛ перевод]]+Таблица2[[#This Row],[Сумма за перевод руб]]</f>
        <v>46567.976288659731</v>
      </c>
      <c r="AB57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78" s="9"/>
      <c r="AD578" s="41"/>
    </row>
    <row r="579" spans="1:30" x14ac:dyDescent="0.25">
      <c r="A579" s="6">
        <v>44782</v>
      </c>
      <c r="B579" s="2" t="s">
        <v>844</v>
      </c>
      <c r="C579" s="2" t="s">
        <v>680</v>
      </c>
      <c r="D579" s="1" t="s">
        <v>845</v>
      </c>
      <c r="E579" s="1"/>
      <c r="F579" s="3"/>
      <c r="G579" s="5">
        <v>1856</v>
      </c>
      <c r="H579" s="2"/>
      <c r="I579" s="2">
        <v>61.37</v>
      </c>
      <c r="J579" s="2"/>
      <c r="K579" s="2">
        <v>80</v>
      </c>
      <c r="L579" s="2"/>
      <c r="M579" s="26">
        <f>Таблица2[[#This Row],[Сумма Долл]]*Таблица2[[#This Row],[Курс ДОЛЛ]]</f>
        <v>113902.72</v>
      </c>
      <c r="N57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118812.31999999999</v>
      </c>
      <c r="O57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1858.8987552693382</v>
      </c>
      <c r="P57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4901.9439999999995</v>
      </c>
      <c r="Q579" s="30">
        <v>118812.32</v>
      </c>
      <c r="R579" s="12">
        <f>Таблица2[[#This Row],[Сумма в руб]]-Таблица2[[#This Row],[Оплата от клиента]]</f>
        <v>0</v>
      </c>
      <c r="S579" s="32">
        <v>44782</v>
      </c>
      <c r="T579" s="32" t="s">
        <v>164</v>
      </c>
      <c r="U579" s="24" t="s">
        <v>31</v>
      </c>
      <c r="V579" s="2"/>
      <c r="W579" s="28">
        <v>61.274299999999997</v>
      </c>
      <c r="X579" s="9">
        <v>1856</v>
      </c>
      <c r="Y579" s="16"/>
      <c r="Z579" s="10">
        <v>44785</v>
      </c>
      <c r="AA579" s="26">
        <f>Таблица2[[#This Row],[Сумма перевода Долл/Евро]]*Таблица2[[#This Row],[Курс ДОЛЛ перевод]]+Таблица2[[#This Row],[Сумма за перевод руб]]</f>
        <v>118627.0448</v>
      </c>
      <c r="AB57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2.8987552693381531</v>
      </c>
      <c r="AC579" s="9"/>
      <c r="AD579" s="41"/>
    </row>
    <row r="580" spans="1:30" x14ac:dyDescent="0.25">
      <c r="A580" s="6">
        <v>44782</v>
      </c>
      <c r="B580" s="38" t="s">
        <v>220</v>
      </c>
      <c r="C580" s="38" t="s">
        <v>221</v>
      </c>
      <c r="D580" s="1"/>
      <c r="E580" s="1"/>
      <c r="F580" s="3">
        <v>47423.38</v>
      </c>
      <c r="G580" s="5"/>
      <c r="H580" s="2">
        <v>9.16</v>
      </c>
      <c r="I580" s="2"/>
      <c r="J580" s="2">
        <v>0.97</v>
      </c>
      <c r="K580" s="2"/>
      <c r="L580" s="2"/>
      <c r="M580" s="26">
        <f>Таблица2[[#This Row],[Сумма ЮА]]*Таблица2[[#This Row],[Курс ЮА]]</f>
        <v>434398.16079999995</v>
      </c>
      <c r="N580" s="24">
        <f>Таблица2[[#This Row],[Сумма ЮА]]*Таблица2[[#This Row],[Курс ЮА]]/Таблица2[[#This Row],[% за перевод]]</f>
        <v>447833.15546391747</v>
      </c>
      <c r="O58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8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13434.994663917518</v>
      </c>
      <c r="Q580" s="30">
        <v>447833.16</v>
      </c>
      <c r="R580" s="12">
        <f>Таблица2[[#This Row],[Сумма в руб]]-Таблица2[[#This Row],[Оплата от клиента]]</f>
        <v>-4.5360825024545193E-3</v>
      </c>
      <c r="S580" s="32">
        <v>44784</v>
      </c>
      <c r="T580" s="32" t="s">
        <v>107</v>
      </c>
      <c r="U580" s="24" t="s">
        <v>31</v>
      </c>
      <c r="V580" s="2">
        <v>9.1532</v>
      </c>
      <c r="W580" s="28"/>
      <c r="X580" s="9"/>
      <c r="Y580" s="16">
        <v>47423.38</v>
      </c>
      <c r="Z580" s="39">
        <v>44785</v>
      </c>
      <c r="AA580" s="26">
        <f>Таблица2[[#This Row],[Сумма перевода Долл/Евро]]*Таблица2[[#This Row],[Курс ДОЛЛ перевод]]+Таблица2[[#This Row],[Сумма за перевод руб]]</f>
        <v>13434.994663917518</v>
      </c>
      <c r="AB58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80" s="9"/>
      <c r="AD580" s="41"/>
    </row>
    <row r="581" spans="1:30" ht="30" x14ac:dyDescent="0.25">
      <c r="A581" s="6">
        <v>44782</v>
      </c>
      <c r="B581" s="28" t="s">
        <v>397</v>
      </c>
      <c r="C581" s="28" t="s">
        <v>396</v>
      </c>
      <c r="D581" s="1"/>
      <c r="E581" s="1"/>
      <c r="F581" s="3"/>
      <c r="G581" s="5">
        <v>34320.5</v>
      </c>
      <c r="H581" s="2"/>
      <c r="I581" s="2">
        <v>62.67</v>
      </c>
      <c r="J581" s="2">
        <v>0.97</v>
      </c>
      <c r="K581" s="2"/>
      <c r="L581" s="2"/>
      <c r="M581" s="26">
        <f>Таблица2[[#This Row],[Сумма Долл]]*Таблица2[[#This Row],[Курс ДОЛЛ]]</f>
        <v>2150865.7349999999</v>
      </c>
      <c r="N58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2217387.3556701029</v>
      </c>
      <c r="O58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34452.328120044462</v>
      </c>
      <c r="P58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66521.620670103002</v>
      </c>
      <c r="Q581" s="30">
        <v>2217387.36</v>
      </c>
      <c r="R581" s="12">
        <f>Таблица2[[#This Row],[Сумма в руб]]-Таблица2[[#This Row],[Оплата от клиента]]</f>
        <v>-4.3298969976603985E-3</v>
      </c>
      <c r="S581" s="32">
        <v>44782</v>
      </c>
      <c r="T581" s="42" t="s">
        <v>277</v>
      </c>
      <c r="U581" s="24" t="s">
        <v>31</v>
      </c>
      <c r="V581" s="2"/>
      <c r="W581" s="28">
        <v>62.430199999999999</v>
      </c>
      <c r="X581" s="9">
        <f>30457.5+2245+1618</f>
        <v>34320.5</v>
      </c>
      <c r="Y581" s="16"/>
      <c r="Z581" s="39" t="s">
        <v>850</v>
      </c>
      <c r="AA581" s="26">
        <f>Таблица2[[#This Row],[Сумма перевода Долл/Евро]]*Таблица2[[#This Row],[Курс ДОЛЛ перевод]]+Таблица2[[#This Row],[Сумма за перевод руб]]</f>
        <v>2209157.2997701028</v>
      </c>
      <c r="AB58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131.82812004446168</v>
      </c>
      <c r="AC581" s="9" t="s">
        <v>1069</v>
      </c>
      <c r="AD581" s="41"/>
    </row>
    <row r="582" spans="1:30" ht="30" x14ac:dyDescent="0.25">
      <c r="A582" s="6">
        <v>44784</v>
      </c>
      <c r="B582" s="38" t="s">
        <v>726</v>
      </c>
      <c r="C582" s="38" t="s">
        <v>203</v>
      </c>
      <c r="D582" s="1" t="s">
        <v>846</v>
      </c>
      <c r="E582" s="1"/>
      <c r="F582" s="3">
        <v>2150</v>
      </c>
      <c r="G582" s="5"/>
      <c r="H582" s="2">
        <v>9.23</v>
      </c>
      <c r="I582" s="2">
        <v>61.53</v>
      </c>
      <c r="J582" s="2"/>
      <c r="K582" s="2">
        <v>80</v>
      </c>
      <c r="L582" s="2"/>
      <c r="M582" s="26">
        <f>Таблица2[[#This Row],[Сумма ЮА]]*Таблица2[[#This Row],[Курс ЮА]]</f>
        <v>19844.5</v>
      </c>
      <c r="N582" s="24">
        <f>Таблица2[[#This Row],[Сумма ЮА]]*Таблица2[[#This Row],[Курс ЮА]]+Таблица2[[#This Row],[Долл за перевод]]*Таблица2[[#This Row],[Курс ДОЛЛ]]</f>
        <v>24766.9</v>
      </c>
      <c r="O58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322.51747115228341</v>
      </c>
      <c r="P58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4922.3999999999996</v>
      </c>
      <c r="Q582" s="30">
        <v>24799.9</v>
      </c>
      <c r="R582" s="12">
        <f>Таблица2[[#This Row],[Сумма в руб]]-Таблица2[[#This Row],[Оплата от клиента]]</f>
        <v>-33</v>
      </c>
      <c r="S582" s="32">
        <v>44785</v>
      </c>
      <c r="T582" s="32" t="s">
        <v>107</v>
      </c>
      <c r="U582" s="24" t="s">
        <v>31</v>
      </c>
      <c r="V582" s="2">
        <v>9.1532</v>
      </c>
      <c r="W582" s="28"/>
      <c r="X582" s="9"/>
      <c r="Y582" s="16">
        <v>2150</v>
      </c>
      <c r="Z582" s="10">
        <v>44785</v>
      </c>
      <c r="AA582" s="26">
        <f>Таблица2[[#This Row],[Сумма перевода Долл/Евро]]*Таблица2[[#This Row],[Курс ДОЛЛ перевод]]+Таблица2[[#This Row],[Сумма за перевод руб]]</f>
        <v>4922.3999999999996</v>
      </c>
      <c r="AB58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87.626941064445276</v>
      </c>
      <c r="AC582" s="9"/>
      <c r="AD582" s="41"/>
    </row>
    <row r="583" spans="1:30" x14ac:dyDescent="0.25">
      <c r="A583" s="6">
        <v>44785</v>
      </c>
      <c r="B583" s="38" t="s">
        <v>178</v>
      </c>
      <c r="C583" s="38" t="s">
        <v>179</v>
      </c>
      <c r="D583" s="1" t="s">
        <v>809</v>
      </c>
      <c r="E583" s="1"/>
      <c r="F583" s="3">
        <v>9112.68</v>
      </c>
      <c r="G583" s="5"/>
      <c r="H583" s="2">
        <v>9.24</v>
      </c>
      <c r="I583" s="2">
        <v>61.8</v>
      </c>
      <c r="J583" s="2"/>
      <c r="K583" s="2">
        <v>80</v>
      </c>
      <c r="L583" s="2"/>
      <c r="M583" s="26">
        <f>Таблица2[[#This Row],[Сумма ЮА]]*Таблица2[[#This Row],[Курс ЮА]]</f>
        <v>84201.16320000001</v>
      </c>
      <c r="N583" s="24">
        <f>Таблица2[[#This Row],[Сумма ЮА]]*Таблица2[[#This Row],[Курс ЮА]]+Таблица2[[#This Row],[Долл за перевод]]*Таблица2[[#This Row],[Курс ДОЛЛ]]</f>
        <v>89145.16320000001</v>
      </c>
      <c r="O58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1362.4783689320391</v>
      </c>
      <c r="P58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4944</v>
      </c>
      <c r="Q583" s="30">
        <v>89145.16</v>
      </c>
      <c r="R583" s="12">
        <f>Таблица2[[#This Row],[Сумма в руб]]-Таблица2[[#This Row],[Оплата от клиента]]</f>
        <v>3.2000000064726919E-3</v>
      </c>
      <c r="S583" s="32">
        <v>44785</v>
      </c>
      <c r="T583" s="32" t="s">
        <v>107</v>
      </c>
      <c r="U583" s="24" t="s">
        <v>31</v>
      </c>
      <c r="V583" s="2">
        <v>9.1693999999999996</v>
      </c>
      <c r="W583" s="28"/>
      <c r="X583" s="9"/>
      <c r="Y583" s="16">
        <v>9112.68</v>
      </c>
      <c r="Z583" s="10">
        <v>44785</v>
      </c>
      <c r="AA583" s="26">
        <f>Таблица2[[#This Row],[Сумма перевода Долл/Евро]]*Таблица2[[#This Row],[Курс ДОЛЛ перевод]]+Таблица2[[#This Row],[Сумма за перевод руб]]</f>
        <v>4944</v>
      </c>
      <c r="AB58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368.66416080500778</v>
      </c>
      <c r="AC583" s="9"/>
      <c r="AD583" s="41"/>
    </row>
    <row r="584" spans="1:30" ht="30" x14ac:dyDescent="0.25">
      <c r="A584" s="6">
        <v>44790</v>
      </c>
      <c r="B584" s="38" t="s">
        <v>57</v>
      </c>
      <c r="C584" s="38" t="s">
        <v>58</v>
      </c>
      <c r="D584" s="1" t="s">
        <v>183</v>
      </c>
      <c r="E584" s="1"/>
      <c r="F584" s="3">
        <v>80238.600000000006</v>
      </c>
      <c r="G584" s="5"/>
      <c r="H584" s="2">
        <v>9.1199999999999992</v>
      </c>
      <c r="I584" s="2"/>
      <c r="J584" s="2">
        <v>0.97</v>
      </c>
      <c r="K584" s="2"/>
      <c r="L584" s="2"/>
      <c r="M584" s="26">
        <f>Таблица2[[#This Row],[Сумма ЮА]]*Таблица2[[#This Row],[Курс ЮА]]</f>
        <v>731776.03200000001</v>
      </c>
      <c r="N584" s="24">
        <f>Таблица2[[#This Row],[Сумма ЮА]]*Таблица2[[#This Row],[Курс ЮА]]/Таблица2[[#This Row],[% за перевод]]</f>
        <v>754408.28041237115</v>
      </c>
      <c r="O58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8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22632.248412371147</v>
      </c>
      <c r="Q584" s="30">
        <v>754408.28</v>
      </c>
      <c r="R584" s="12">
        <f>Таблица2[[#This Row],[Сумма в руб]]-Таблица2[[#This Row],[Оплата от клиента]]</f>
        <v>4.123711260035634E-4</v>
      </c>
      <c r="S584" s="32">
        <v>44790</v>
      </c>
      <c r="T584" s="32" t="s">
        <v>107</v>
      </c>
      <c r="U584" s="24" t="s">
        <v>31</v>
      </c>
      <c r="V584" s="2">
        <v>9.0038</v>
      </c>
      <c r="W584" s="28"/>
      <c r="X584" s="9"/>
      <c r="Y584" s="16">
        <v>80238.600000000006</v>
      </c>
      <c r="Z584" s="10">
        <v>44790</v>
      </c>
      <c r="AA584" s="26">
        <f>Таблица2[[#This Row],[Сумма перевода Долл/Евро]]*Таблица2[[#This Row],[Курс ДОЛЛ перевод]]+Таблица2[[#This Row],[Сумма за перевод руб]]</f>
        <v>22632.248412371147</v>
      </c>
      <c r="AB58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84" s="9"/>
      <c r="AD584" s="41"/>
    </row>
    <row r="585" spans="1:30" x14ac:dyDescent="0.25">
      <c r="A585" s="6">
        <v>44790</v>
      </c>
      <c r="B585" s="38" t="s">
        <v>847</v>
      </c>
      <c r="C585" s="38" t="s">
        <v>848</v>
      </c>
      <c r="D585" s="1" t="s">
        <v>849</v>
      </c>
      <c r="E585" s="1"/>
      <c r="F585" s="3">
        <v>177000</v>
      </c>
      <c r="G585" s="5"/>
      <c r="H585" s="2">
        <v>9.09</v>
      </c>
      <c r="I585" s="2"/>
      <c r="J585" s="2">
        <v>0.995</v>
      </c>
      <c r="K585" s="2"/>
      <c r="L585" s="2"/>
      <c r="M585" s="26">
        <f>Таблица2[[#This Row],[Сумма ЮА]]*Таблица2[[#This Row],[Курс ЮА]]</f>
        <v>1608930</v>
      </c>
      <c r="N585" s="24">
        <f>Таблица2[[#This Row],[Сумма ЮА]]*Таблица2[[#This Row],[Курс ЮА]]/Таблица2[[#This Row],[% за перевод]]</f>
        <v>1617015.0753768843</v>
      </c>
      <c r="O58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8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8085.0753768843133</v>
      </c>
      <c r="Q585" s="30">
        <v>1617015.08</v>
      </c>
      <c r="R585" s="12">
        <f>Таблица2[[#This Row],[Сумма в руб]]-Таблица2[[#This Row],[Оплата от клиента]]</f>
        <v>-4.623115761205554E-3</v>
      </c>
      <c r="S585" s="32">
        <v>44790</v>
      </c>
      <c r="T585" s="32" t="s">
        <v>107</v>
      </c>
      <c r="U585" s="24" t="s">
        <v>31</v>
      </c>
      <c r="V585" s="2">
        <v>8.9547000000000008</v>
      </c>
      <c r="W585" s="28"/>
      <c r="X585" s="9"/>
      <c r="Y585" s="16">
        <v>177000</v>
      </c>
      <c r="Z585" s="10">
        <v>44791</v>
      </c>
      <c r="AA585" s="26">
        <f>Таблица2[[#This Row],[Сумма перевода Долл/Евро]]*Таблица2[[#This Row],[Курс ДОЛЛ перевод]]+Таблица2[[#This Row],[Сумма за перевод руб]]</f>
        <v>8085.0753768843133</v>
      </c>
      <c r="AB58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85" s="9"/>
      <c r="AD585" s="41" t="str">
        <f>CONCATENATE(Таблица2[[#This Row],[Дата оплаты]],"Код",Таблица2[[#This Row],[Код]],Таблица2[[#This Row],[Юр.лицо]],"сумма - ",Таблица2[[#This Row],[Оплата от клиента]],"(оплата в ",Таблица2[[#This Row],[Способ оплаты]], ")","На оплату товара На Фаст Импорт")</f>
        <v>44790КодFA-967ООО Тилмашсумма - 1617015,08(оплата в Юа)На оплату товара На Фаст Импорт</v>
      </c>
    </row>
    <row r="586" spans="1:30" ht="30" x14ac:dyDescent="0.25">
      <c r="A586" s="6">
        <v>44791</v>
      </c>
      <c r="B586" s="38">
        <v>8844</v>
      </c>
      <c r="C586" s="38" t="s">
        <v>851</v>
      </c>
      <c r="D586" s="1" t="s">
        <v>852</v>
      </c>
      <c r="E586" s="1"/>
      <c r="F586" s="3">
        <v>5080</v>
      </c>
      <c r="G586" s="5"/>
      <c r="H586" s="2">
        <v>9.01</v>
      </c>
      <c r="I586" s="2"/>
      <c r="J586" s="2">
        <v>0.9</v>
      </c>
      <c r="K586" s="2"/>
      <c r="L586" s="2"/>
      <c r="M586" s="26">
        <f>Таблица2[[#This Row],[Сумма ЮА]]*Таблица2[[#This Row],[Курс ЮА]]</f>
        <v>45770.799999999996</v>
      </c>
      <c r="N586" s="24">
        <f>Таблица2[[#This Row],[Сумма ЮА]]*Таблица2[[#This Row],[Курс ЮА]]/Таблица2[[#This Row],[% за перевод]]</f>
        <v>50856.444444444438</v>
      </c>
      <c r="O58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760.4739878246537</v>
      </c>
      <c r="P58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5085.6444444444423</v>
      </c>
      <c r="Q586" s="30">
        <v>50856.44</v>
      </c>
      <c r="R586" s="12">
        <f>Таблица2[[#This Row],[Сумма в руб]]-Таблица2[[#This Row],[Оплата от клиента]]</f>
        <v>4.4444444356486201E-3</v>
      </c>
      <c r="S586" s="32">
        <v>44791</v>
      </c>
      <c r="T586" s="32" t="s">
        <v>720</v>
      </c>
      <c r="U586" s="24" t="s">
        <v>31</v>
      </c>
      <c r="V586" s="2">
        <v>6.8440000000000003</v>
      </c>
      <c r="W586" s="28">
        <v>60.187199999999997</v>
      </c>
      <c r="X586" s="9">
        <v>792.16</v>
      </c>
      <c r="Y586" s="16">
        <v>5080</v>
      </c>
      <c r="Z586" s="10">
        <v>44802</v>
      </c>
      <c r="AA586" s="26">
        <f>Таблица2[[#This Row],[Сумма перевода Долл/Евро]]*Таблица2[[#This Row],[Курс ДОЛЛ перевод]]+Таблица2[[#This Row],[Сумма за перевод руб]]</f>
        <v>52763.536796444438</v>
      </c>
      <c r="AB58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18.217997175910341</v>
      </c>
      <c r="AC586" s="9"/>
      <c r="AD586" s="41"/>
    </row>
    <row r="587" spans="1:30" ht="30" x14ac:dyDescent="0.25">
      <c r="A587" s="6">
        <v>44791</v>
      </c>
      <c r="B587" s="38" t="s">
        <v>762</v>
      </c>
      <c r="C587" s="38" t="s">
        <v>816</v>
      </c>
      <c r="D587" s="1" t="s">
        <v>853</v>
      </c>
      <c r="E587" s="1"/>
      <c r="F587" s="3">
        <v>10255</v>
      </c>
      <c r="G587" s="5"/>
      <c r="H587" s="2">
        <v>9.01</v>
      </c>
      <c r="I587" s="2"/>
      <c r="J587" s="2">
        <v>0.97</v>
      </c>
      <c r="K587" s="2"/>
      <c r="L587" s="2"/>
      <c r="M587" s="26">
        <f>Таблица2[[#This Row],[Сумма ЮА]]*Таблица2[[#This Row],[Курс ЮА]]</f>
        <v>92397.55</v>
      </c>
      <c r="N587" s="24">
        <f>Таблица2[[#This Row],[Сумма ЮА]]*Таблица2[[#This Row],[Курс ЮА]]/Таблица2[[#This Row],[% за перевод]]</f>
        <v>95255.206185567018</v>
      </c>
      <c r="O58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8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2857.6561855670152</v>
      </c>
      <c r="Q587" s="30">
        <v>95255.21</v>
      </c>
      <c r="R587" s="12">
        <f>Таблица2[[#This Row],[Сумма в руб]]-Таблица2[[#This Row],[Оплата от клиента]]</f>
        <v>-3.8144329882925376E-3</v>
      </c>
      <c r="S587" s="32">
        <v>44792</v>
      </c>
      <c r="T587" s="32" t="s">
        <v>107</v>
      </c>
      <c r="U587" s="24" t="s">
        <v>31</v>
      </c>
      <c r="V587" s="2">
        <v>8.7171000000000003</v>
      </c>
      <c r="W587" s="28"/>
      <c r="X587" s="9"/>
      <c r="Y587" s="16">
        <v>10255</v>
      </c>
      <c r="Z587" s="10">
        <v>44792</v>
      </c>
      <c r="AA587" s="26">
        <f>Таблица2[[#This Row],[Сумма перевода Долл/Евро]]*Таблица2[[#This Row],[Курс ДОЛЛ перевод]]+Таблица2[[#This Row],[Сумма за перевод руб]]</f>
        <v>2857.6561855670152</v>
      </c>
      <c r="AB58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87" s="9"/>
      <c r="AD587" s="41">
        <v>1509.83</v>
      </c>
    </row>
    <row r="588" spans="1:30" x14ac:dyDescent="0.25">
      <c r="A588" s="6">
        <v>44792</v>
      </c>
      <c r="B588" s="2" t="s">
        <v>126</v>
      </c>
      <c r="C588" s="2" t="s">
        <v>52</v>
      </c>
      <c r="D588" s="1" t="s">
        <v>854</v>
      </c>
      <c r="E588" s="1"/>
      <c r="F588" s="3"/>
      <c r="G588" s="5">
        <v>4500</v>
      </c>
      <c r="H588" s="2"/>
      <c r="I588" s="2">
        <v>60.31</v>
      </c>
      <c r="J588" s="2">
        <v>0.97</v>
      </c>
      <c r="K588" s="2"/>
      <c r="L588" s="2"/>
      <c r="M588" s="26">
        <f>Таблица2[[#This Row],[Сумма Долл]]*Таблица2[[#This Row],[Курс ДОЛЛ]]</f>
        <v>271395</v>
      </c>
      <c r="N58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279788.65979381447</v>
      </c>
      <c r="O58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4548.7685917999979</v>
      </c>
      <c r="P58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8393.6597938144696</v>
      </c>
      <c r="Q588" s="30">
        <v>279788.65999999997</v>
      </c>
      <c r="R588" s="12">
        <f>Таблица2[[#This Row],[Сумма в руб]]-Таблица2[[#This Row],[Оплата от клиента]]</f>
        <v>-2.0618550479412079E-4</v>
      </c>
      <c r="S588" s="32">
        <v>44792</v>
      </c>
      <c r="T588" s="32" t="s">
        <v>164</v>
      </c>
      <c r="U588" s="24" t="s">
        <v>31</v>
      </c>
      <c r="V588" s="2"/>
      <c r="W588" s="28">
        <v>59.663400000000003</v>
      </c>
      <c r="X588" s="9">
        <v>4500</v>
      </c>
      <c r="Y588" s="16"/>
      <c r="Z588" s="10">
        <v>44792</v>
      </c>
      <c r="AA588" s="26">
        <f>Таблица2[[#This Row],[Сумма перевода Долл/Евро]]*Таблица2[[#This Row],[Курс ДОЛЛ перевод]]+Таблица2[[#This Row],[Сумма за перевод руб]]</f>
        <v>276878.95979381446</v>
      </c>
      <c r="AB58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48.768591799997921</v>
      </c>
      <c r="AC588" s="9"/>
      <c r="AD588" s="41"/>
    </row>
    <row r="589" spans="1:30" x14ac:dyDescent="0.25">
      <c r="A589" s="6">
        <v>44795</v>
      </c>
      <c r="B589" s="38" t="s">
        <v>502</v>
      </c>
      <c r="C589" s="38" t="s">
        <v>503</v>
      </c>
      <c r="D589" s="1" t="s">
        <v>797</v>
      </c>
      <c r="E589" s="1"/>
      <c r="F589" s="3">
        <v>15654</v>
      </c>
      <c r="G589" s="5"/>
      <c r="H589" s="2">
        <v>8.92</v>
      </c>
      <c r="I589" s="2"/>
      <c r="J589" s="2">
        <v>0.9</v>
      </c>
      <c r="K589" s="2"/>
      <c r="L589" s="2"/>
      <c r="M589" s="26">
        <f>Таблица2[[#This Row],[Сумма ЮА]]*Таблица2[[#This Row],[Курс ЮА]]</f>
        <v>139633.68</v>
      </c>
      <c r="N589" s="24">
        <f>Таблица2[[#This Row],[Сумма ЮА]]*Таблица2[[#This Row],[Курс ЮА]]/Таблица2[[#This Row],[% за перевод]]</f>
        <v>155148.53333333333</v>
      </c>
      <c r="O58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2309.2963141208515</v>
      </c>
      <c r="P58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15514.853333333333</v>
      </c>
      <c r="Q589" s="30">
        <v>155148.53</v>
      </c>
      <c r="R589" s="12">
        <f>Таблица2[[#This Row],[Сумма в руб]]-Таблица2[[#This Row],[Оплата от клиента]]</f>
        <v>3.3333333267364651E-3</v>
      </c>
      <c r="S589" s="32">
        <v>44795</v>
      </c>
      <c r="T589" s="32" t="s">
        <v>720</v>
      </c>
      <c r="U589" s="24" t="s">
        <v>31</v>
      </c>
      <c r="V589" s="2">
        <v>6.84</v>
      </c>
      <c r="W589" s="28">
        <v>60.465899999999998</v>
      </c>
      <c r="X589" s="9">
        <v>2405.5100000000002</v>
      </c>
      <c r="Y589" s="16">
        <v>15654</v>
      </c>
      <c r="Z589" s="10">
        <v>44802</v>
      </c>
      <c r="AA589" s="26">
        <f>Таблица2[[#This Row],[Сумма перевода Долл/Евро]]*Таблица2[[#This Row],[Курс ДОЛЛ перевод]]+Таблица2[[#This Row],[Сумма за перевод руб]]</f>
        <v>160966.18044233334</v>
      </c>
      <c r="AB58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20.699822892781413</v>
      </c>
      <c r="AC589" s="9"/>
      <c r="AD589" s="41"/>
    </row>
    <row r="590" spans="1:30" ht="30" x14ac:dyDescent="0.25">
      <c r="A590" s="6">
        <v>44795</v>
      </c>
      <c r="B590" s="38" t="s">
        <v>547</v>
      </c>
      <c r="C590" s="38" t="s">
        <v>110</v>
      </c>
      <c r="D590" s="1" t="s">
        <v>750</v>
      </c>
      <c r="E590" s="1"/>
      <c r="F590" s="3">
        <v>30552</v>
      </c>
      <c r="G590" s="5"/>
      <c r="H590" s="2">
        <v>8.92</v>
      </c>
      <c r="I590" s="2"/>
      <c r="J590" s="2">
        <v>0.9</v>
      </c>
      <c r="K590" s="2"/>
      <c r="L590" s="2"/>
      <c r="M590" s="26">
        <f>Таблица2[[#This Row],[Сумма ЮА]]*Таблица2[[#This Row],[Курс ЮА]]</f>
        <v>272523.84000000003</v>
      </c>
      <c r="N590" s="24">
        <f>Таблица2[[#This Row],[Сумма ЮА]]*Таблица2[[#This Row],[Курс ЮА]]/Таблица2[[#This Row],[% за перевод]]</f>
        <v>302804.26666666666</v>
      </c>
      <c r="O59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4492.1487405776152</v>
      </c>
      <c r="P59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30280.426666666637</v>
      </c>
      <c r="Q590" s="30">
        <v>302804.27</v>
      </c>
      <c r="R590" s="12">
        <f>Таблица2[[#This Row],[Сумма в руб]]-Таблица2[[#This Row],[Оплата от клиента]]</f>
        <v>-3.3333333558402956E-3</v>
      </c>
      <c r="S590" s="32">
        <v>44795</v>
      </c>
      <c r="T590" s="32" t="s">
        <v>720</v>
      </c>
      <c r="U590" s="24" t="s">
        <v>31</v>
      </c>
      <c r="V590" s="2">
        <v>6.84</v>
      </c>
      <c r="W590" s="28">
        <v>60.666699999999999</v>
      </c>
      <c r="X590" s="9">
        <v>4679.32</v>
      </c>
      <c r="Y590" s="16">
        <v>30552</v>
      </c>
      <c r="Z590" s="10">
        <v>44802</v>
      </c>
      <c r="AA590" s="26">
        <f>Таблица2[[#This Row],[Сумма перевода Долл/Евро]]*Таблица2[[#This Row],[Курс ДОЛЛ перевод]]+Таблица2[[#This Row],[Сумма за перевод руб]]</f>
        <v>314159.3293106666</v>
      </c>
      <c r="AB59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25.482073910948202</v>
      </c>
      <c r="AC590" s="9"/>
      <c r="AD590" s="41"/>
    </row>
    <row r="591" spans="1:30" ht="30" x14ac:dyDescent="0.25">
      <c r="A591" s="6">
        <v>44795</v>
      </c>
      <c r="B591" s="38" t="s">
        <v>855</v>
      </c>
      <c r="C591" s="38" t="s">
        <v>856</v>
      </c>
      <c r="D591" s="1" t="s">
        <v>857</v>
      </c>
      <c r="E591" s="1"/>
      <c r="F591" s="3">
        <v>74519.100000000006</v>
      </c>
      <c r="G591" s="5"/>
      <c r="H591" s="2">
        <v>8.9700000000000006</v>
      </c>
      <c r="I591" s="2"/>
      <c r="J591" s="2">
        <v>0.97</v>
      </c>
      <c r="K591" s="2"/>
      <c r="L591" s="2"/>
      <c r="M591" s="26">
        <f>Таблица2[[#This Row],[Сумма ЮА]]*Таблица2[[#This Row],[Курс ЮА]]</f>
        <v>668436.32700000005</v>
      </c>
      <c r="N591" s="24">
        <f>Таблица2[[#This Row],[Сумма ЮА]]*Таблица2[[#This Row],[Курс ЮА]]/Таблица2[[#This Row],[% за перевод]]</f>
        <v>689109.61546391761</v>
      </c>
      <c r="O59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9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20673.288463917561</v>
      </c>
      <c r="Q591" s="30">
        <v>689109.62</v>
      </c>
      <c r="R591" s="12">
        <f>Таблица2[[#This Row],[Сумма в руб]]-Таблица2[[#This Row],[Оплата от клиента]]</f>
        <v>-4.5360823860391974E-3</v>
      </c>
      <c r="S591" s="32">
        <v>44795</v>
      </c>
      <c r="T591" s="32" t="s">
        <v>107</v>
      </c>
      <c r="U591" s="24" t="s">
        <v>31</v>
      </c>
      <c r="V591" s="2">
        <v>8.7658000000000005</v>
      </c>
      <c r="W591" s="28"/>
      <c r="X591" s="9"/>
      <c r="Y591" s="16">
        <v>74519.100000000006</v>
      </c>
      <c r="Z591" s="10">
        <v>44795</v>
      </c>
      <c r="AA591" s="26">
        <f>Таблица2[[#This Row],[Сумма перевода Долл/Евро]]*Таблица2[[#This Row],[Курс ДОЛЛ перевод]]+Таблица2[[#This Row],[Сумма за перевод руб]]</f>
        <v>20673.288463917561</v>
      </c>
      <c r="AB59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91" s="9"/>
      <c r="AD591" s="41"/>
    </row>
    <row r="592" spans="1:30" ht="45" x14ac:dyDescent="0.25">
      <c r="A592" s="6">
        <v>44796</v>
      </c>
      <c r="B592" s="38" t="s">
        <v>858</v>
      </c>
      <c r="C592" s="38" t="s">
        <v>304</v>
      </c>
      <c r="D592" s="1" t="s">
        <v>859</v>
      </c>
      <c r="E592" s="1"/>
      <c r="F592" s="3">
        <v>2876</v>
      </c>
      <c r="G592" s="5"/>
      <c r="H592" s="2">
        <v>9.02</v>
      </c>
      <c r="I592" s="2"/>
      <c r="J592" s="2">
        <v>0.9</v>
      </c>
      <c r="K592" s="2"/>
      <c r="L592" s="2"/>
      <c r="M592" s="26">
        <f>Таблица2[[#This Row],[Сумма ЮА]]*Таблица2[[#This Row],[Курс ЮА]]</f>
        <v>25941.52</v>
      </c>
      <c r="N592" s="24">
        <f>Таблица2[[#This Row],[Сумма ЮА]]*Таблица2[[#This Row],[Курс ЮА]]/Таблица2[[#This Row],[% за перевод]]</f>
        <v>28823.911111111112</v>
      </c>
      <c r="O59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424.21098763090248</v>
      </c>
      <c r="P59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2882.391111111112</v>
      </c>
      <c r="Q592" s="30">
        <v>28823.91</v>
      </c>
      <c r="R592" s="12">
        <f>Таблица2[[#This Row],[Сумма в руб]]-Таблица2[[#This Row],[Оплата от клиента]]</f>
        <v>1.1111111125501338E-3</v>
      </c>
      <c r="S592" s="32">
        <v>44802</v>
      </c>
      <c r="T592" s="32" t="s">
        <v>720</v>
      </c>
      <c r="U592" s="24" t="s">
        <v>31</v>
      </c>
      <c r="V592" s="2">
        <v>6.9</v>
      </c>
      <c r="W592" s="28">
        <v>61.1524</v>
      </c>
      <c r="X592" s="9">
        <v>441.88</v>
      </c>
      <c r="Y592" s="16">
        <v>2876</v>
      </c>
      <c r="Z592" s="2"/>
      <c r="AA592" s="26">
        <f>Таблица2[[#This Row],[Сумма перевода Долл/Евро]]*Таблица2[[#This Row],[Курс ДОЛЛ перевод]]+Таблица2[[#This Row],[Сумма за перевод руб]]</f>
        <v>29904.413623111112</v>
      </c>
      <c r="AB59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7.3993934280039753</v>
      </c>
      <c r="AC592" s="9"/>
      <c r="AD592" s="41"/>
    </row>
    <row r="593" spans="1:30" ht="30" x14ac:dyDescent="0.25">
      <c r="A593" s="6">
        <v>44796</v>
      </c>
      <c r="B593" s="38" t="s">
        <v>833</v>
      </c>
      <c r="C593" s="38" t="s">
        <v>860</v>
      </c>
      <c r="D593" s="1" t="s">
        <v>729</v>
      </c>
      <c r="E593" s="1"/>
      <c r="F593" s="3">
        <v>29084</v>
      </c>
      <c r="G593" s="5"/>
      <c r="H593" s="2">
        <v>8.82</v>
      </c>
      <c r="I593" s="2"/>
      <c r="J593" s="2">
        <v>0.9</v>
      </c>
      <c r="K593" s="2"/>
      <c r="L593" s="2"/>
      <c r="M593" s="26">
        <f>Таблица2[[#This Row],[Сумма ЮА]]*Таблица2[[#This Row],[Курс ЮА]]</f>
        <v>256520.88</v>
      </c>
      <c r="N593" s="24">
        <f>Таблица2[[#This Row],[Сумма ЮА]]*Таблица2[[#This Row],[Курс ЮА]]/Таблица2[[#This Row],[% за перевод]]</f>
        <v>285023.2</v>
      </c>
      <c r="O59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4226.2878419678236</v>
      </c>
      <c r="P59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28502.320000000007</v>
      </c>
      <c r="Q593" s="30">
        <v>285023.2</v>
      </c>
      <c r="R593" s="12">
        <f>Таблица2[[#This Row],[Сумма в руб]]-Таблица2[[#This Row],[Оплата от клиента]]</f>
        <v>0</v>
      </c>
      <c r="S593" s="32">
        <v>44796</v>
      </c>
      <c r="T593" s="32" t="s">
        <v>720</v>
      </c>
      <c r="U593" s="24" t="s">
        <v>31</v>
      </c>
      <c r="V593" s="2">
        <v>6.84</v>
      </c>
      <c r="W593" s="28">
        <v>60.6965</v>
      </c>
      <c r="X593" s="9">
        <v>4402.38</v>
      </c>
      <c r="Y593" s="16">
        <v>29084</v>
      </c>
      <c r="Z593" s="2"/>
      <c r="AA593" s="26">
        <f>Таблица2[[#This Row],[Сумма перевода Долл/Евро]]*Таблица2[[#This Row],[Курс ДОЛЛ перевод]]+Таблица2[[#This Row],[Сумма за перевод руб]]</f>
        <v>295711.37767000002</v>
      </c>
      <c r="AB59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-25.758941657907599</v>
      </c>
      <c r="AC593" s="9"/>
      <c r="AD593" s="41"/>
    </row>
    <row r="594" spans="1:30" ht="30" x14ac:dyDescent="0.25">
      <c r="A594" s="6">
        <v>44796</v>
      </c>
      <c r="B594" s="38" t="s">
        <v>32</v>
      </c>
      <c r="C594" s="38" t="s">
        <v>33</v>
      </c>
      <c r="D594" s="1" t="s">
        <v>861</v>
      </c>
      <c r="E594" s="1"/>
      <c r="F594" s="3">
        <v>113291</v>
      </c>
      <c r="G594" s="5"/>
      <c r="H594" s="2">
        <v>8.82</v>
      </c>
      <c r="I594" s="2"/>
      <c r="J594" s="2">
        <v>0.97</v>
      </c>
      <c r="K594" s="2"/>
      <c r="L594" s="2"/>
      <c r="M594" s="26">
        <f>Таблица2[[#This Row],[Сумма ЮА]]*Таблица2[[#This Row],[Курс ЮА]]</f>
        <v>999226.62</v>
      </c>
      <c r="N594" s="24">
        <f>Таблица2[[#This Row],[Сумма ЮА]]*Таблица2[[#This Row],[Курс ЮА]]/Таблица2[[#This Row],[% за перевод]]</f>
        <v>1030130.5360824743</v>
      </c>
      <c r="O59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9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30903.916082474287</v>
      </c>
      <c r="Q594" s="30">
        <v>1030130.54</v>
      </c>
      <c r="R594" s="12">
        <f>Таблица2[[#This Row],[Сумма в руб]]-Таблица2[[#This Row],[Оплата от клиента]]</f>
        <v>-3.9175257552415133E-3</v>
      </c>
      <c r="S594" s="32">
        <v>44797</v>
      </c>
      <c r="T594" s="32" t="s">
        <v>107</v>
      </c>
      <c r="U594" s="24" t="s">
        <v>31</v>
      </c>
      <c r="V594" s="2">
        <v>8.8413000000000004</v>
      </c>
      <c r="W594" s="28"/>
      <c r="X594" s="9"/>
      <c r="Y594" s="16">
        <v>113291</v>
      </c>
      <c r="Z594" s="10">
        <v>44797</v>
      </c>
      <c r="AA594" s="26">
        <f>Таблица2[[#This Row],[Сумма перевода Долл/Евро]]*Таблица2[[#This Row],[Курс ДОЛЛ перевод]]+Таблица2[[#This Row],[Сумма за перевод руб]]</f>
        <v>30903.916082474287</v>
      </c>
      <c r="AB59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94" s="9" t="s">
        <v>1083</v>
      </c>
      <c r="AD594" s="41"/>
    </row>
    <row r="595" spans="1:30" ht="30" x14ac:dyDescent="0.25">
      <c r="A595" s="6">
        <v>44797</v>
      </c>
      <c r="B595" s="38" t="s">
        <v>862</v>
      </c>
      <c r="C595" s="38" t="s">
        <v>863</v>
      </c>
      <c r="D595" s="1" t="s">
        <v>750</v>
      </c>
      <c r="E595" s="1"/>
      <c r="F595" s="3"/>
      <c r="G595" s="5">
        <v>11591.33</v>
      </c>
      <c r="H595" s="2"/>
      <c r="I595" s="2">
        <v>61.32</v>
      </c>
      <c r="J595" s="2">
        <v>0.9</v>
      </c>
      <c r="K595" s="2"/>
      <c r="L595" s="2"/>
      <c r="M595" s="26">
        <f>Таблица2[[#This Row],[Сумма Долл]]*Таблица2[[#This Row],[Курс ДОЛЛ]]</f>
        <v>710780.35560000001</v>
      </c>
      <c r="N59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789755.95066666661</v>
      </c>
      <c r="O59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11677.482857875126</v>
      </c>
      <c r="P59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78975.595066666603</v>
      </c>
      <c r="Q595" s="30">
        <v>789755.95</v>
      </c>
      <c r="R595" s="12">
        <f>Таблица2[[#This Row],[Сумма в руб]]-Таблица2[[#This Row],[Оплата от клиента]]</f>
        <v>6.6666665952652693E-4</v>
      </c>
      <c r="S595" s="32">
        <v>44804</v>
      </c>
      <c r="T595" s="32" t="s">
        <v>720</v>
      </c>
      <c r="U595" s="24" t="s">
        <v>31</v>
      </c>
      <c r="V595" s="2">
        <v>6.9</v>
      </c>
      <c r="W595" s="28">
        <v>60.867600000000003</v>
      </c>
      <c r="X595" s="9">
        <v>12074.3</v>
      </c>
      <c r="Y595" s="16">
        <v>80088</v>
      </c>
      <c r="Z595" s="2"/>
      <c r="AA595" s="26">
        <f>Таблица2[[#This Row],[Сумма перевода Долл/Евро]]*Таблица2[[#This Row],[Курс ДОЛЛ перевод]]+Таблица2[[#This Row],[Сумма за перевод руб]]</f>
        <v>813909.25774666655</v>
      </c>
      <c r="AB59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70.526336135995734</v>
      </c>
      <c r="AC595" s="9"/>
      <c r="AD595" s="41"/>
    </row>
    <row r="596" spans="1:30" ht="45" x14ac:dyDescent="0.25">
      <c r="A596" s="6">
        <v>44797</v>
      </c>
      <c r="B596" s="38" t="s">
        <v>535</v>
      </c>
      <c r="C596" s="38" t="s">
        <v>600</v>
      </c>
      <c r="D596" s="1" t="s">
        <v>865</v>
      </c>
      <c r="E596" s="1"/>
      <c r="F596" s="3">
        <v>409893.75</v>
      </c>
      <c r="G596" s="5"/>
      <c r="H596" s="2">
        <v>8.9600000000000009</v>
      </c>
      <c r="I596" s="2"/>
      <c r="J596" s="2">
        <v>0.97</v>
      </c>
      <c r="K596" s="2"/>
      <c r="L596" s="2"/>
      <c r="M596" s="26">
        <f>Таблица2[[#This Row],[Сумма ЮА]]*Таблица2[[#This Row],[Курс ЮА]]</f>
        <v>3672648.0000000005</v>
      </c>
      <c r="N596" s="24">
        <f>Таблица2[[#This Row],[Сумма ЮА]]*Таблица2[[#This Row],[Курс ЮА]]/Таблица2[[#This Row],[% за перевод]]</f>
        <v>3786235.0515463925</v>
      </c>
      <c r="O59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9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113587.05154639203</v>
      </c>
      <c r="Q596" s="30">
        <v>3786235.05</v>
      </c>
      <c r="R596" s="12">
        <f>Таблица2[[#This Row],[Сумма в руб]]-Таблица2[[#This Row],[Оплата от клиента]]</f>
        <v>1.5463926829397678E-3</v>
      </c>
      <c r="S596" s="32">
        <v>44797</v>
      </c>
      <c r="T596" s="32" t="s">
        <v>107</v>
      </c>
      <c r="U596" s="24" t="s">
        <v>31</v>
      </c>
      <c r="V596" s="2">
        <v>8.8645999999999994</v>
      </c>
      <c r="W596" s="28"/>
      <c r="X596" s="9"/>
      <c r="Y596" s="16">
        <v>409893.75</v>
      </c>
      <c r="Z596" s="10">
        <v>44798</v>
      </c>
      <c r="AA596" s="26">
        <f>Таблица2[[#This Row],[Сумма перевода Долл/Евро]]*Таблица2[[#This Row],[Курс ДОЛЛ перевод]]+Таблица2[[#This Row],[Сумма за перевод руб]]</f>
        <v>113587.05154639203</v>
      </c>
      <c r="AB59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96" s="9"/>
      <c r="AD596" s="41"/>
    </row>
    <row r="597" spans="1:30" ht="45" x14ac:dyDescent="0.25">
      <c r="A597" s="6">
        <v>44797</v>
      </c>
      <c r="B597" s="38" t="s">
        <v>68</v>
      </c>
      <c r="C597" s="38" t="s">
        <v>454</v>
      </c>
      <c r="D597" s="1" t="s">
        <v>864</v>
      </c>
      <c r="E597" s="1"/>
      <c r="F597" s="3">
        <v>42909.9</v>
      </c>
      <c r="G597" s="5"/>
      <c r="H597" s="2">
        <v>8.9600000000000009</v>
      </c>
      <c r="I597" s="2"/>
      <c r="J597" s="2">
        <v>0.97</v>
      </c>
      <c r="K597" s="2"/>
      <c r="L597" s="2"/>
      <c r="M597" s="26">
        <f>Таблица2[[#This Row],[Сумма ЮА]]*Таблица2[[#This Row],[Курс ЮА]]</f>
        <v>384472.70400000003</v>
      </c>
      <c r="N597" s="24">
        <f>Таблица2[[#This Row],[Сумма ЮА]]*Таблица2[[#This Row],[Курс ЮА]]/Таблица2[[#This Row],[% за перевод]]</f>
        <v>396363.61237113405</v>
      </c>
      <c r="O59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9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11890.908371134021</v>
      </c>
      <c r="Q597" s="30">
        <v>396363.61</v>
      </c>
      <c r="R597" s="12">
        <f>Таблица2[[#This Row],[Сумма в руб]]-Таблица2[[#This Row],[Оплата от клиента]]</f>
        <v>2.3711340618319809E-3</v>
      </c>
      <c r="S597" s="32">
        <v>44798</v>
      </c>
      <c r="T597" s="32" t="s">
        <v>107</v>
      </c>
      <c r="U597" s="24" t="s">
        <v>31</v>
      </c>
      <c r="V597" s="2">
        <v>8.8392999999999997</v>
      </c>
      <c r="W597" s="28"/>
      <c r="X597" s="9"/>
      <c r="Y597" s="16">
        <v>42909.9</v>
      </c>
      <c r="Z597" s="10">
        <v>44798</v>
      </c>
      <c r="AA597" s="26">
        <f>Таблица2[[#This Row],[Сумма перевода Долл/Евро]]*Таблица2[[#This Row],[Курс ДОЛЛ перевод]]+Таблица2[[#This Row],[Сумма за перевод руб]]</f>
        <v>11890.908371134021</v>
      </c>
      <c r="AB59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97" s="9"/>
      <c r="AD597" s="41"/>
    </row>
    <row r="598" spans="1:30" ht="30" x14ac:dyDescent="0.25">
      <c r="A598" s="6">
        <v>44797</v>
      </c>
      <c r="B598" s="38" t="s">
        <v>35</v>
      </c>
      <c r="C598" s="38" t="s">
        <v>36</v>
      </c>
      <c r="D598" s="1" t="s">
        <v>843</v>
      </c>
      <c r="E598" s="1"/>
      <c r="F598" s="3">
        <v>9768</v>
      </c>
      <c r="G598" s="5"/>
      <c r="H598" s="2">
        <v>8.9600000000000009</v>
      </c>
      <c r="I598" s="2"/>
      <c r="J598" s="2">
        <v>0.97</v>
      </c>
      <c r="K598" s="2"/>
      <c r="L598" s="2"/>
      <c r="M598" s="26">
        <f>Таблица2[[#This Row],[Сумма ЮА]]*Таблица2[[#This Row],[Курс ЮА]]</f>
        <v>87521.280000000013</v>
      </c>
      <c r="N598" s="24">
        <f>Таблица2[[#This Row],[Сумма ЮА]]*Таблица2[[#This Row],[Курс ЮА]]/Таблица2[[#This Row],[% за перевод]]</f>
        <v>90228.123711340217</v>
      </c>
      <c r="O59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9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2706.8437113402033</v>
      </c>
      <c r="Q598" s="30">
        <v>90228.12</v>
      </c>
      <c r="R598" s="12">
        <f>Таблица2[[#This Row],[Сумма в руб]]-Таблица2[[#This Row],[Оплата от клиента]]</f>
        <v>3.711340221343562E-3</v>
      </c>
      <c r="S598" s="32">
        <v>44797</v>
      </c>
      <c r="T598" s="32" t="s">
        <v>107</v>
      </c>
      <c r="U598" s="24" t="s">
        <v>31</v>
      </c>
      <c r="V598" s="2">
        <v>8.8413000000000004</v>
      </c>
      <c r="W598" s="28"/>
      <c r="X598" s="9"/>
      <c r="Y598" s="16">
        <v>9768</v>
      </c>
      <c r="Z598" s="10">
        <v>44797</v>
      </c>
      <c r="AA598" s="26">
        <f>Таблица2[[#This Row],[Сумма перевода Долл/Евро]]*Таблица2[[#This Row],[Курс ДОЛЛ перевод]]+Таблица2[[#This Row],[Сумма за перевод руб]]</f>
        <v>2706.8437113402033</v>
      </c>
      <c r="AB59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98" s="9"/>
      <c r="AD598" s="41"/>
    </row>
    <row r="599" spans="1:30" ht="30" x14ac:dyDescent="0.25">
      <c r="A599" s="6">
        <v>44797</v>
      </c>
      <c r="B599" s="38" t="s">
        <v>866</v>
      </c>
      <c r="C599" s="38" t="s">
        <v>354</v>
      </c>
      <c r="D599" s="1" t="s">
        <v>867</v>
      </c>
      <c r="E599" s="1"/>
      <c r="F599" s="3">
        <v>7506.32</v>
      </c>
      <c r="G599" s="5"/>
      <c r="H599" s="2">
        <v>8.93</v>
      </c>
      <c r="I599" s="2"/>
      <c r="J599" s="2">
        <v>0.97</v>
      </c>
      <c r="K599" s="2"/>
      <c r="L599" s="2"/>
      <c r="M599" s="26">
        <f>Таблица2[[#This Row],[Сумма ЮА]]*Таблица2[[#This Row],[Курс ЮА]]</f>
        <v>67031.43759999999</v>
      </c>
      <c r="N599" s="24">
        <f>Таблица2[[#This Row],[Сумма ЮА]]*Таблица2[[#This Row],[Курс ЮА]]/Таблица2[[#This Row],[% за перевод]]</f>
        <v>69104.57484536081</v>
      </c>
      <c r="O59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59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2073.1372453608201</v>
      </c>
      <c r="Q599" s="30">
        <v>69104.570000000007</v>
      </c>
      <c r="R599" s="12">
        <f>Таблица2[[#This Row],[Сумма в руб]]-Таблица2[[#This Row],[Оплата от клиента]]</f>
        <v>4.8453608033014461E-3</v>
      </c>
      <c r="S599" s="32">
        <v>44798</v>
      </c>
      <c r="T599" s="32" t="s">
        <v>107</v>
      </c>
      <c r="U599" s="24" t="s">
        <v>31</v>
      </c>
      <c r="V599" s="2">
        <v>8.8584999999999994</v>
      </c>
      <c r="W599" s="28"/>
      <c r="X599" s="9"/>
      <c r="Y599" s="16">
        <v>7506.32</v>
      </c>
      <c r="Z599" s="10">
        <v>44798</v>
      </c>
      <c r="AA599" s="26">
        <f>Таблица2[[#This Row],[Сумма перевода Долл/Евро]]*Таблица2[[#This Row],[Курс ДОЛЛ перевод]]+Таблица2[[#This Row],[Сумма за перевод руб]]</f>
        <v>2073.1372453608201</v>
      </c>
      <c r="AB59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599" s="9"/>
      <c r="AD599" s="41"/>
    </row>
    <row r="600" spans="1:30" x14ac:dyDescent="0.25">
      <c r="A600" s="6">
        <v>44798</v>
      </c>
      <c r="B600" s="38" t="s">
        <v>868</v>
      </c>
      <c r="C600" s="38" t="s">
        <v>869</v>
      </c>
      <c r="D600" s="1" t="s">
        <v>870</v>
      </c>
      <c r="E600" s="1"/>
      <c r="F600" s="3">
        <v>40090</v>
      </c>
      <c r="G600" s="5"/>
      <c r="H600" s="2">
        <v>8.9600000000000009</v>
      </c>
      <c r="I600" s="2"/>
      <c r="J600" s="2">
        <v>0.97</v>
      </c>
      <c r="K600" s="2"/>
      <c r="L600" s="2"/>
      <c r="M600" s="26">
        <f>Таблица2[[#This Row],[Сумма ЮА]]*Таблица2[[#This Row],[Курс ЮА]]</f>
        <v>359206.40000000002</v>
      </c>
      <c r="N600" s="24">
        <f>Таблица2[[#This Row],[Сумма ЮА]]*Таблица2[[#This Row],[Курс ЮА]]/Таблица2[[#This Row],[% за перевод]]</f>
        <v>370315.87628865981</v>
      </c>
      <c r="O60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0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11109.476288659789</v>
      </c>
      <c r="Q600" s="30"/>
      <c r="R600" s="12">
        <f>Таблица2[[#This Row],[Сумма в руб]]-Таблица2[[#This Row],[Оплата от клиента]]</f>
        <v>370315.87628865981</v>
      </c>
      <c r="S600" s="32"/>
      <c r="T600" s="32" t="s">
        <v>107</v>
      </c>
      <c r="U600" s="24"/>
      <c r="V600" s="2"/>
      <c r="W600" s="28"/>
      <c r="X600" s="9"/>
      <c r="Y600" s="16"/>
      <c r="Z600" s="2"/>
      <c r="AA600" s="26">
        <f>Таблица2[[#This Row],[Сумма перевода Долл/Евро]]*Таблица2[[#This Row],[Курс ДОЛЛ перевод]]+Таблица2[[#This Row],[Сумма за перевод руб]]</f>
        <v>11109.476288659789</v>
      </c>
      <c r="AB60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00" s="9"/>
      <c r="AD600" s="41"/>
    </row>
    <row r="601" spans="1:30" ht="30" x14ac:dyDescent="0.25">
      <c r="A601" s="6">
        <v>44798</v>
      </c>
      <c r="B601" s="38" t="s">
        <v>866</v>
      </c>
      <c r="C601" s="38" t="s">
        <v>871</v>
      </c>
      <c r="D601" s="1" t="s">
        <v>867</v>
      </c>
      <c r="E601" s="1"/>
      <c r="F601" s="3">
        <v>59606.82</v>
      </c>
      <c r="G601" s="5"/>
      <c r="H601" s="2">
        <v>8.9600000000000009</v>
      </c>
      <c r="I601" s="2"/>
      <c r="J601" s="2">
        <v>0.97</v>
      </c>
      <c r="K601" s="2"/>
      <c r="L601" s="2"/>
      <c r="M601" s="26">
        <f>Таблица2[[#This Row],[Сумма ЮА]]*Таблица2[[#This Row],[Курс ЮА]]</f>
        <v>534077.10720000009</v>
      </c>
      <c r="N601" s="24">
        <f>Таблица2[[#This Row],[Сумма ЮА]]*Таблица2[[#This Row],[Курс ЮА]]/Таблица2[[#This Row],[% за перевод]]</f>
        <v>550594.95587628882</v>
      </c>
      <c r="O60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0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16517.848676288733</v>
      </c>
      <c r="Q601" s="30">
        <v>550594.96</v>
      </c>
      <c r="R601" s="12">
        <f>Таблица2[[#This Row],[Сумма в руб]]-Таблица2[[#This Row],[Оплата от клиента]]</f>
        <v>-4.1237111436203122E-3</v>
      </c>
      <c r="S601" s="32">
        <v>44798</v>
      </c>
      <c r="T601" s="32" t="s">
        <v>107</v>
      </c>
      <c r="U601" s="24" t="s">
        <v>31</v>
      </c>
      <c r="V601" s="2">
        <v>8.8584999999999994</v>
      </c>
      <c r="W601" s="28"/>
      <c r="X601" s="9"/>
      <c r="Y601" s="16">
        <v>59606.82</v>
      </c>
      <c r="Z601" s="10">
        <v>44799</v>
      </c>
      <c r="AA601" s="26">
        <f>Таблица2[[#This Row],[Сумма перевода Долл/Евро]]*Таблица2[[#This Row],[Курс ДОЛЛ перевод]]+Таблица2[[#This Row],[Сумма за перевод руб]]</f>
        <v>16517.848676288733</v>
      </c>
      <c r="AB60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01" s="9"/>
      <c r="AD601" s="41"/>
    </row>
    <row r="602" spans="1:30" ht="30" x14ac:dyDescent="0.25">
      <c r="A602" s="6">
        <v>44798</v>
      </c>
      <c r="B602" s="38" t="s">
        <v>803</v>
      </c>
      <c r="C602" s="38" t="s">
        <v>802</v>
      </c>
      <c r="D602" s="1" t="s">
        <v>807</v>
      </c>
      <c r="E602" s="1"/>
      <c r="F602" s="3">
        <v>174150</v>
      </c>
      <c r="G602" s="5"/>
      <c r="H602" s="2">
        <v>8.9499999999999993</v>
      </c>
      <c r="I602" s="2"/>
      <c r="J602" s="2">
        <v>0.97</v>
      </c>
      <c r="K602" s="2"/>
      <c r="L602" s="2"/>
      <c r="M602" s="26">
        <f>Таблица2[[#This Row],[Сумма ЮА]]*Таблица2[[#This Row],[Курс ЮА]]</f>
        <v>1558642.4999999998</v>
      </c>
      <c r="N602" s="24">
        <f>Таблица2[[#This Row],[Сумма ЮА]]*Таблица2[[#This Row],[Курс ЮА]]/Таблица2[[#This Row],[% за перевод]]</f>
        <v>1606847.9381443297</v>
      </c>
      <c r="O60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0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48205.438144329935</v>
      </c>
      <c r="Q602" s="30">
        <v>1606847.94</v>
      </c>
      <c r="R602" s="12">
        <f>Таблица2[[#This Row],[Сумма в руб]]-Таблица2[[#This Row],[Оплата от клиента]]</f>
        <v>-1.8556702416390181E-3</v>
      </c>
      <c r="S602" s="32">
        <v>44798</v>
      </c>
      <c r="T602" s="32" t="s">
        <v>107</v>
      </c>
      <c r="U602" s="24" t="s">
        <v>31</v>
      </c>
      <c r="V602" s="2">
        <v>8.8488000000000007</v>
      </c>
      <c r="W602" s="28"/>
      <c r="X602" s="9"/>
      <c r="Y602" s="16">
        <v>174150</v>
      </c>
      <c r="Z602" s="10">
        <v>44799</v>
      </c>
      <c r="AA602" s="26">
        <f>Таблица2[[#This Row],[Сумма перевода Долл/Евро]]*Таблица2[[#This Row],[Курс ДОЛЛ перевод]]+Таблица2[[#This Row],[Сумма за перевод руб]]</f>
        <v>48205.438144329935</v>
      </c>
      <c r="AB60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02" s="9"/>
      <c r="AD602" s="41"/>
    </row>
    <row r="603" spans="1:30" ht="30" x14ac:dyDescent="0.25">
      <c r="A603" s="6">
        <v>44798</v>
      </c>
      <c r="B603" s="38" t="s">
        <v>844</v>
      </c>
      <c r="C603" s="38" t="s">
        <v>680</v>
      </c>
      <c r="D603" s="1" t="s">
        <v>677</v>
      </c>
      <c r="E603" s="1"/>
      <c r="F603" s="3">
        <v>18177</v>
      </c>
      <c r="G603" s="5"/>
      <c r="H603" s="2">
        <v>8.93</v>
      </c>
      <c r="I603" s="2"/>
      <c r="J603" s="2">
        <v>0.97</v>
      </c>
      <c r="K603" s="2"/>
      <c r="L603" s="2"/>
      <c r="M603" s="26">
        <f>Таблица2[[#This Row],[Сумма ЮА]]*Таблица2[[#This Row],[Курс ЮА]]</f>
        <v>162320.60999999999</v>
      </c>
      <c r="N603" s="24">
        <f>Таблица2[[#This Row],[Сумма ЮА]]*Таблица2[[#This Row],[Курс ЮА]]/Таблица2[[#This Row],[% за перевод]]</f>
        <v>167340.83505154637</v>
      </c>
      <c r="O60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0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5020.225051546382</v>
      </c>
      <c r="Q603" s="30">
        <v>167340.84</v>
      </c>
      <c r="R603" s="12">
        <f>Таблица2[[#This Row],[Сумма в руб]]-Таблица2[[#This Row],[Оплата от клиента]]</f>
        <v>-4.9484536284580827E-3</v>
      </c>
      <c r="S603" s="32">
        <v>44798</v>
      </c>
      <c r="T603" s="32" t="s">
        <v>107</v>
      </c>
      <c r="U603" s="24" t="s">
        <v>31</v>
      </c>
      <c r="V603" s="2">
        <v>8.8584999999999994</v>
      </c>
      <c r="W603" s="28"/>
      <c r="X603" s="9"/>
      <c r="Y603" s="16">
        <v>18177</v>
      </c>
      <c r="Z603" s="10">
        <v>44798</v>
      </c>
      <c r="AA603" s="26">
        <f>Таблица2[[#This Row],[Сумма перевода Долл/Евро]]*Таблица2[[#This Row],[Курс ДОЛЛ перевод]]+Таблица2[[#This Row],[Сумма за перевод руб]]</f>
        <v>5020.225051546382</v>
      </c>
      <c r="AB60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03" s="9"/>
      <c r="AD603" s="41"/>
    </row>
    <row r="604" spans="1:30" x14ac:dyDescent="0.25">
      <c r="A604" s="6">
        <v>44802</v>
      </c>
      <c r="B604" s="38" t="s">
        <v>581</v>
      </c>
      <c r="C604" s="38" t="s">
        <v>582</v>
      </c>
      <c r="D604" s="1" t="s">
        <v>872</v>
      </c>
      <c r="E604" s="1"/>
      <c r="F604" s="3">
        <v>23945.72</v>
      </c>
      <c r="G604" s="5"/>
      <c r="H604" s="2">
        <v>8.99</v>
      </c>
      <c r="I604" s="2"/>
      <c r="J604" s="2">
        <v>0.9</v>
      </c>
      <c r="K604" s="2"/>
      <c r="L604" s="2"/>
      <c r="M604" s="26">
        <f>Таблица2[[#This Row],[Сумма ЮА]]*Таблица2[[#This Row],[Курс ЮА]]</f>
        <v>215272.02280000001</v>
      </c>
      <c r="N604" s="24">
        <f>Таблица2[[#This Row],[Сумма ЮА]]*Таблица2[[#This Row],[Курс ЮА]]/Таблица2[[#This Row],[% за перевод]]</f>
        <v>239191.13644444445</v>
      </c>
      <c r="O60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3524.8948010459803</v>
      </c>
      <c r="P60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23919.113644444442</v>
      </c>
      <c r="Q604" s="30">
        <v>239191.14</v>
      </c>
      <c r="R604" s="12">
        <f>Таблица2[[#This Row],[Сумма в руб]]-Таблица2[[#This Row],[Оплата от клиента]]</f>
        <v>-3.5555555659811944E-3</v>
      </c>
      <c r="S604" s="32">
        <v>44802</v>
      </c>
      <c r="T604" s="32" t="s">
        <v>720</v>
      </c>
      <c r="U604" s="24" t="s">
        <v>31</v>
      </c>
      <c r="V604" s="2">
        <v>6.9</v>
      </c>
      <c r="W604" s="28">
        <v>61.071899999999999</v>
      </c>
      <c r="X604" s="9">
        <v>3671.76</v>
      </c>
      <c r="Y604" s="16" t="s">
        <v>935</v>
      </c>
      <c r="Z604" s="2"/>
      <c r="AA604" s="26">
        <f>Таблица2[[#This Row],[Сумма перевода Долл/Евро]]*Таблица2[[#This Row],[Курс ДОЛЛ перевод]]+Таблица2[[#This Row],[Сумма за перевод руб]]</f>
        <v>248160.47318844445</v>
      </c>
      <c r="AB60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#VALUE!</v>
      </c>
      <c r="AC604" s="9"/>
      <c r="AD604" s="41"/>
    </row>
    <row r="605" spans="1:30" x14ac:dyDescent="0.25">
      <c r="A605" s="6">
        <v>44802</v>
      </c>
      <c r="B605" s="2" t="s">
        <v>59</v>
      </c>
      <c r="C605" s="2" t="s">
        <v>435</v>
      </c>
      <c r="D605" s="4" t="s">
        <v>766</v>
      </c>
      <c r="E605" s="1"/>
      <c r="F605" s="3"/>
      <c r="G605" s="5">
        <v>35605.32</v>
      </c>
      <c r="H605" s="2"/>
      <c r="I605" s="2">
        <v>61.21</v>
      </c>
      <c r="J605" s="2">
        <v>0.99</v>
      </c>
      <c r="K605" s="2"/>
      <c r="L605" s="2"/>
      <c r="M605" s="26">
        <f>Таблица2[[#This Row],[Сумма Долл]]*Таблица2[[#This Row],[Курс ДОЛЛ]]</f>
        <v>2179401.6372000002</v>
      </c>
      <c r="N60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2201415.7951515154</v>
      </c>
      <c r="O60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35766.300489870271</v>
      </c>
      <c r="P60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22014.157951515168</v>
      </c>
      <c r="Q605" s="30">
        <v>2201415.7999999998</v>
      </c>
      <c r="R605" s="12">
        <f>Таблица2[[#This Row],[Сумма в руб]]-Таблица2[[#This Row],[Оплата от клиента]]</f>
        <v>-4.8484844155609608E-3</v>
      </c>
      <c r="S605" s="32">
        <v>44802</v>
      </c>
      <c r="T605" s="32" t="s">
        <v>164</v>
      </c>
      <c r="U605" s="24" t="s">
        <v>31</v>
      </c>
      <c r="V605" s="2"/>
      <c r="W605" s="28">
        <v>60.9345</v>
      </c>
      <c r="X605" s="9">
        <v>35605.32</v>
      </c>
      <c r="Y605" s="16"/>
      <c r="Z605" s="10">
        <v>44802</v>
      </c>
      <c r="AA605" s="26">
        <f>Таблица2[[#This Row],[Сумма перевода Долл/Евро]]*Таблица2[[#This Row],[Курс ДОЛЛ перевод]]+Таблица2[[#This Row],[Сумма за перевод руб]]</f>
        <v>2191606.5294915154</v>
      </c>
      <c r="AB60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160.98048987027141</v>
      </c>
      <c r="AC605" s="9"/>
      <c r="AD605" s="41"/>
    </row>
    <row r="606" spans="1:30" ht="30" x14ac:dyDescent="0.25">
      <c r="A606" s="6">
        <v>44802</v>
      </c>
      <c r="B606" s="38" t="s">
        <v>804</v>
      </c>
      <c r="C606" s="38" t="s">
        <v>805</v>
      </c>
      <c r="D606" s="1" t="s">
        <v>806</v>
      </c>
      <c r="E606" s="1"/>
      <c r="F606" s="3">
        <v>102367</v>
      </c>
      <c r="G606" s="5"/>
      <c r="H606" s="2">
        <v>8.93</v>
      </c>
      <c r="I606" s="2"/>
      <c r="J606" s="2">
        <v>0.97</v>
      </c>
      <c r="K606" s="2"/>
      <c r="L606" s="2"/>
      <c r="M606" s="26">
        <f>Таблица2[[#This Row],[Сумма ЮА]]*Таблица2[[#This Row],[Курс ЮА]]</f>
        <v>914137.30999999994</v>
      </c>
      <c r="N606" s="24">
        <f>Таблица2[[#This Row],[Сумма ЮА]]*Таблица2[[#This Row],[Курс ЮА]]/Таблица2[[#This Row],[% за перевод]]</f>
        <v>942409.59793814435</v>
      </c>
      <c r="O60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0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28272.287938144407</v>
      </c>
      <c r="Q606" s="30">
        <v>942409.6</v>
      </c>
      <c r="R606" s="12">
        <f>Таблица2[[#This Row],[Сумма в руб]]-Таблица2[[#This Row],[Оплата от клиента]]</f>
        <v>-2.061855630017817E-3</v>
      </c>
      <c r="S606" s="32">
        <v>44802</v>
      </c>
      <c r="T606" s="32" t="s">
        <v>107</v>
      </c>
      <c r="U606" s="24" t="s">
        <v>31</v>
      </c>
      <c r="V606" s="2">
        <v>8.8312000000000008</v>
      </c>
      <c r="W606" s="28"/>
      <c r="X606" s="9"/>
      <c r="Y606" s="16">
        <v>102367</v>
      </c>
      <c r="Z606" s="10">
        <v>44802</v>
      </c>
      <c r="AA606" s="26">
        <f>Таблица2[[#This Row],[Сумма перевода Долл/Евро]]*Таблица2[[#This Row],[Курс ДОЛЛ перевод]]+Таблица2[[#This Row],[Сумма за перевод руб]]</f>
        <v>28272.287938144407</v>
      </c>
      <c r="AB60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06" s="9"/>
      <c r="AD606" s="41"/>
    </row>
    <row r="607" spans="1:30" x14ac:dyDescent="0.25">
      <c r="A607" s="6">
        <v>44802</v>
      </c>
      <c r="B607" s="38" t="s">
        <v>873</v>
      </c>
      <c r="C607" s="38" t="s">
        <v>874</v>
      </c>
      <c r="D607" s="1" t="s">
        <v>875</v>
      </c>
      <c r="E607" s="1"/>
      <c r="F607" s="3">
        <v>8755.2000000000007</v>
      </c>
      <c r="G607" s="5"/>
      <c r="H607" s="2">
        <v>8.9499999999999993</v>
      </c>
      <c r="I607" s="2"/>
      <c r="J607" s="2">
        <v>0.97</v>
      </c>
      <c r="K607" s="2"/>
      <c r="L607" s="2"/>
      <c r="M607" s="26">
        <f>Таблица2[[#This Row],[Сумма ЮА]]*Таблица2[[#This Row],[Курс ЮА]]</f>
        <v>78359.039999999994</v>
      </c>
      <c r="N607" s="24">
        <f>Таблица2[[#This Row],[Сумма ЮА]]*Таблица2[[#This Row],[Курс ЮА]]/Таблица2[[#This Row],[% за перевод]]</f>
        <v>80782.515463917516</v>
      </c>
      <c r="O60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0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2423.4754639175226</v>
      </c>
      <c r="Q607" s="30">
        <v>80782.52</v>
      </c>
      <c r="R607" s="12">
        <f>Таблица2[[#This Row],[Сумма в руб]]-Таблица2[[#This Row],[Оплата от клиента]]</f>
        <v>-4.536082487902604E-3</v>
      </c>
      <c r="S607" s="32">
        <v>44803</v>
      </c>
      <c r="T607" s="32" t="s">
        <v>107</v>
      </c>
      <c r="U607" s="24" t="s">
        <v>31</v>
      </c>
      <c r="V607" s="2">
        <v>8.8209999999999997</v>
      </c>
      <c r="W607" s="28"/>
      <c r="X607" s="9"/>
      <c r="Y607" s="16">
        <v>8755.2000000000007</v>
      </c>
      <c r="Z607" s="10">
        <v>44804</v>
      </c>
      <c r="AA607" s="26">
        <f>Таблица2[[#This Row],[Сумма перевода Долл/Евро]]*Таблица2[[#This Row],[Курс ДОЛЛ перевод]]+Таблица2[[#This Row],[Сумма за перевод руб]]</f>
        <v>2423.4754639175226</v>
      </c>
      <c r="AB60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07" s="9"/>
      <c r="AD607" s="41"/>
    </row>
    <row r="608" spans="1:30" x14ac:dyDescent="0.25">
      <c r="A608" s="6">
        <v>44803</v>
      </c>
      <c r="B608" s="2" t="s">
        <v>142</v>
      </c>
      <c r="C608" s="2" t="s">
        <v>143</v>
      </c>
      <c r="D608" s="1" t="s">
        <v>801</v>
      </c>
      <c r="E608" s="1"/>
      <c r="F608" s="3"/>
      <c r="G608" s="5">
        <v>9000</v>
      </c>
      <c r="H608" s="2"/>
      <c r="I608" s="2">
        <v>61.29</v>
      </c>
      <c r="J608" s="2">
        <v>0.97</v>
      </c>
      <c r="K608" s="2"/>
      <c r="L608" s="2"/>
      <c r="M608" s="26">
        <f>Таблица2[[#This Row],[Сумма Долл]]*Таблица2[[#This Row],[Курс ДОЛЛ]]</f>
        <v>551610</v>
      </c>
      <c r="N60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568670.10309278348</v>
      </c>
      <c r="O60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9016.8155002721669</v>
      </c>
      <c r="P60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17060.10309278348</v>
      </c>
      <c r="Q608" s="30">
        <v>568670.1</v>
      </c>
      <c r="R608" s="12">
        <f>Таблица2[[#This Row],[Сумма в руб]]-Таблица2[[#This Row],[Оплата от клиента]]</f>
        <v>3.0927835032343864E-3</v>
      </c>
      <c r="S608" s="32">
        <v>44803</v>
      </c>
      <c r="T608" s="32" t="s">
        <v>164</v>
      </c>
      <c r="U608" s="24" t="s">
        <v>31</v>
      </c>
      <c r="V608" s="2"/>
      <c r="W608" s="28">
        <v>61.175699999999999</v>
      </c>
      <c r="X608" s="9">
        <v>9000</v>
      </c>
      <c r="Y608" s="16"/>
      <c r="Z608" s="10">
        <v>44803</v>
      </c>
      <c r="AA608" s="26">
        <f>Таблица2[[#This Row],[Сумма перевода Долл/Евро]]*Таблица2[[#This Row],[Курс ДОЛЛ перевод]]+Таблица2[[#This Row],[Сумма за перевод руб]]</f>
        <v>567641.40309278353</v>
      </c>
      <c r="AB60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16.815500272166901</v>
      </c>
      <c r="AC608" s="9"/>
      <c r="AD608" s="41"/>
    </row>
    <row r="609" spans="1:30" x14ac:dyDescent="0.25">
      <c r="A609" s="6">
        <v>44803</v>
      </c>
      <c r="B609" s="38" t="s">
        <v>762</v>
      </c>
      <c r="C609" s="38" t="s">
        <v>816</v>
      </c>
      <c r="D609" s="1" t="s">
        <v>876</v>
      </c>
      <c r="E609" s="1"/>
      <c r="F609" s="3">
        <v>11832</v>
      </c>
      <c r="G609" s="5"/>
      <c r="H609" s="2">
        <v>8.9600000000000009</v>
      </c>
      <c r="I609" s="2"/>
      <c r="J609" s="2">
        <v>0.97</v>
      </c>
      <c r="K609" s="2"/>
      <c r="L609" s="2"/>
      <c r="M609" s="26">
        <f>Таблица2[[#This Row],[Сумма ЮА]]*Таблица2[[#This Row],[Курс ЮА]]</f>
        <v>106014.72000000002</v>
      </c>
      <c r="N609" s="24">
        <f>Таблица2[[#This Row],[Сумма ЮА]]*Таблица2[[#This Row],[Курс ЮА]]/Таблица2[[#This Row],[% за перевод]]</f>
        <v>109293.5257731959</v>
      </c>
      <c r="O60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0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3278.8057731958834</v>
      </c>
      <c r="Q609" s="30">
        <v>109293.53</v>
      </c>
      <c r="R609" s="12">
        <f>Таблица2[[#This Row],[Сумма в руб]]-Таблица2[[#This Row],[Оплата от клиента]]</f>
        <v>-4.2268040997441858E-3</v>
      </c>
      <c r="S609" s="32">
        <v>44803</v>
      </c>
      <c r="T609" s="32" t="s">
        <v>107</v>
      </c>
      <c r="U609" s="24" t="s">
        <v>31</v>
      </c>
      <c r="V609" s="2">
        <v>8.8704000000000001</v>
      </c>
      <c r="W609" s="28"/>
      <c r="X609" s="9"/>
      <c r="Y609" s="16">
        <v>11832</v>
      </c>
      <c r="Z609" s="10">
        <v>44803</v>
      </c>
      <c r="AA609" s="26">
        <f>Таблица2[[#This Row],[Сумма перевода Долл/Евро]]*Таблица2[[#This Row],[Курс ДОЛЛ перевод]]+Таблица2[[#This Row],[Сумма за перевод руб]]</f>
        <v>3278.8057731958834</v>
      </c>
      <c r="AB60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09" s="9"/>
      <c r="AD609" s="41"/>
    </row>
    <row r="610" spans="1:30" x14ac:dyDescent="0.25">
      <c r="A610" s="6">
        <v>44804</v>
      </c>
      <c r="B610" s="2" t="s">
        <v>139</v>
      </c>
      <c r="C610" s="2" t="s">
        <v>140</v>
      </c>
      <c r="D610" s="1" t="s">
        <v>814</v>
      </c>
      <c r="E610" s="1"/>
      <c r="F610" s="3"/>
      <c r="G610" s="5">
        <v>7200</v>
      </c>
      <c r="H610" s="2"/>
      <c r="I610" s="2">
        <v>61.32</v>
      </c>
      <c r="J610" s="2">
        <v>0.97</v>
      </c>
      <c r="K610" s="2"/>
      <c r="L610" s="2"/>
      <c r="M610" s="26">
        <f>Таблица2[[#This Row],[Сумма Долл]]*Таблица2[[#This Row],[Курс ДОЛЛ]]</f>
        <v>441504</v>
      </c>
      <c r="N61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455158.76288659795</v>
      </c>
      <c r="O61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7233.7622759847827</v>
      </c>
      <c r="P6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13654.76288659795</v>
      </c>
      <c r="Q610" s="30">
        <v>455158.76</v>
      </c>
      <c r="R610" s="12">
        <f>Таблица2[[#This Row],[Сумма в руб]]-Таблица2[[#This Row],[Оплата от клиента]]</f>
        <v>2.8865979402326047E-3</v>
      </c>
      <c r="S610" s="32">
        <v>44804</v>
      </c>
      <c r="T610" s="32" t="s">
        <v>164</v>
      </c>
      <c r="U610" s="24" t="s">
        <v>31</v>
      </c>
      <c r="V610" s="2"/>
      <c r="W610" s="28">
        <v>61.033799999999999</v>
      </c>
      <c r="X610" s="9">
        <v>7200</v>
      </c>
      <c r="Y610" s="16"/>
      <c r="Z610" s="10">
        <v>44805</v>
      </c>
      <c r="AA610" s="26">
        <f>Таблица2[[#This Row],[Сумма перевода Долл/Евро]]*Таблица2[[#This Row],[Курс ДОЛЛ перевод]]+Таблица2[[#This Row],[Сумма за перевод руб]]</f>
        <v>453098.12288659794</v>
      </c>
      <c r="AB61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33.762275984782718</v>
      </c>
      <c r="AC610" s="9"/>
      <c r="AD610" s="41"/>
    </row>
    <row r="611" spans="1:30" ht="45" x14ac:dyDescent="0.25">
      <c r="A611" s="6">
        <v>44804</v>
      </c>
      <c r="B611" s="38" t="s">
        <v>158</v>
      </c>
      <c r="C611" s="38" t="s">
        <v>322</v>
      </c>
      <c r="D611" s="1" t="s">
        <v>335</v>
      </c>
      <c r="E611" s="1"/>
      <c r="F611" s="3">
        <v>61820</v>
      </c>
      <c r="G611" s="5"/>
      <c r="H611" s="2">
        <v>8.9700000000000006</v>
      </c>
      <c r="I611" s="2"/>
      <c r="J611" s="2">
        <v>0.9</v>
      </c>
      <c r="K611" s="2"/>
      <c r="L611" s="2"/>
      <c r="M611" s="26">
        <f>Таблица2[[#This Row],[Сумма ЮА]]*Таблица2[[#This Row],[Курс ЮА]]</f>
        <v>554525.4</v>
      </c>
      <c r="N611" s="24">
        <f>Таблица2[[#This Row],[Сумма ЮА]]*Таблица2[[#This Row],[Курс ЮА]]/Таблица2[[#This Row],[% за перевод]]</f>
        <v>616139.33333333337</v>
      </c>
      <c r="O61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1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61613.933333333349</v>
      </c>
      <c r="Q611" s="30">
        <v>616139.32999999996</v>
      </c>
      <c r="R611" s="12">
        <f>Таблица2[[#This Row],[Сумма в руб]]-Таблица2[[#This Row],[Оплата от клиента]]</f>
        <v>3.3333334140479565E-3</v>
      </c>
      <c r="S611" s="32">
        <v>44804</v>
      </c>
      <c r="T611" s="32" t="s">
        <v>730</v>
      </c>
      <c r="U611" s="24" t="s">
        <v>31</v>
      </c>
      <c r="V611" s="2">
        <v>8.8486999999999991</v>
      </c>
      <c r="W611" s="28"/>
      <c r="X611" s="9"/>
      <c r="Y611" s="16">
        <v>61820</v>
      </c>
      <c r="Z611" s="10">
        <v>44806</v>
      </c>
      <c r="AA611" s="26">
        <f>Таблица2[[#This Row],[Сумма перевода Долл/Евро]]*Таблица2[[#This Row],[Курс ДОЛЛ перевод]]+Таблица2[[#This Row],[Сумма за перевод руб]]</f>
        <v>61613.933333333349</v>
      </c>
      <c r="AB61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11" s="9"/>
      <c r="AD611" s="41"/>
    </row>
    <row r="612" spans="1:30" x14ac:dyDescent="0.25">
      <c r="A612" s="6">
        <v>44804</v>
      </c>
      <c r="B612" s="38" t="s">
        <v>173</v>
      </c>
      <c r="C612" s="38" t="s">
        <v>315</v>
      </c>
      <c r="D612" s="1" t="s">
        <v>849</v>
      </c>
      <c r="E612" s="1"/>
      <c r="F612" s="3">
        <v>24600</v>
      </c>
      <c r="G612" s="5"/>
      <c r="H612" s="2">
        <v>8.9700000000000006</v>
      </c>
      <c r="I612" s="2"/>
      <c r="J612" s="2"/>
      <c r="K612" s="2"/>
      <c r="L612" s="2">
        <v>5000</v>
      </c>
      <c r="M612" s="26">
        <f>Таблица2[[#This Row],[Сумма ЮА]]*Таблица2[[#This Row],[Курс ЮА]]</f>
        <v>220662.00000000003</v>
      </c>
      <c r="N612" s="24">
        <f>Таблица2[[#This Row],[Сумма ЮА]]*Таблица2[[#This Row],[Курс ЮА]]+Таблица2[[#This Row],[Руб за перевод]]</f>
        <v>225662.00000000003</v>
      </c>
      <c r="O61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5000</v>
      </c>
      <c r="Q612" s="30">
        <v>225662</v>
      </c>
      <c r="R612" s="12">
        <f>Таблица2[[#This Row],[Сумма в руб]]-Таблица2[[#This Row],[Оплата от клиента]]</f>
        <v>0</v>
      </c>
      <c r="S612" s="32">
        <v>44805</v>
      </c>
      <c r="T612" s="32" t="s">
        <v>730</v>
      </c>
      <c r="U612" s="24" t="s">
        <v>31</v>
      </c>
      <c r="V612" s="2">
        <v>8.8486999999999991</v>
      </c>
      <c r="W612" s="28"/>
      <c r="X612" s="9"/>
      <c r="Y612" s="16">
        <v>24600</v>
      </c>
      <c r="Z612" s="10">
        <v>44806</v>
      </c>
      <c r="AA612" s="26">
        <f>Таблица2[[#This Row],[Сумма перевода Долл/Евро]]*Таблица2[[#This Row],[Курс ДОЛЛ перевод]]+Таблица2[[#This Row],[Сумма за перевод руб]]</f>
        <v>5000</v>
      </c>
      <c r="AB61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12" s="9"/>
      <c r="AD612" s="41"/>
    </row>
    <row r="613" spans="1:30" ht="30" x14ac:dyDescent="0.25">
      <c r="A613" s="6">
        <v>44804</v>
      </c>
      <c r="B613" s="38" t="s">
        <v>877</v>
      </c>
      <c r="C613" s="38" t="s">
        <v>878</v>
      </c>
      <c r="D613" s="1" t="s">
        <v>879</v>
      </c>
      <c r="E613" s="1"/>
      <c r="F613" s="3">
        <v>174150</v>
      </c>
      <c r="G613" s="5"/>
      <c r="H613" s="2">
        <v>8.9700000000000006</v>
      </c>
      <c r="I613" s="2"/>
      <c r="J613" s="2">
        <v>0.97</v>
      </c>
      <c r="K613" s="2"/>
      <c r="L613" s="2"/>
      <c r="M613" s="26">
        <f>Таблица2[[#This Row],[Сумма ЮА]]*Таблица2[[#This Row],[Курс ЮА]]</f>
        <v>1562125.5</v>
      </c>
      <c r="N613" s="24">
        <f>Таблица2[[#This Row],[Сумма ЮА]]*Таблица2[[#This Row],[Курс ЮА]]/Таблица2[[#This Row],[% за перевод]]</f>
        <v>1610438.6597938144</v>
      </c>
      <c r="O61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1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48313.159793814411</v>
      </c>
      <c r="Q613" s="30"/>
      <c r="R613" s="12">
        <f>Таблица2[[#This Row],[Сумма в руб]]-Таблица2[[#This Row],[Оплата от клиента]]</f>
        <v>1610438.6597938144</v>
      </c>
      <c r="S613" s="32"/>
      <c r="T613" s="32" t="s">
        <v>107</v>
      </c>
      <c r="U613" s="24"/>
      <c r="V613" s="2"/>
      <c r="W613" s="28"/>
      <c r="X613" s="9"/>
      <c r="Y613" s="16"/>
      <c r="Z613" s="2"/>
      <c r="AA613" s="26">
        <f>Таблица2[[#This Row],[Сумма перевода Долл/Евро]]*Таблица2[[#This Row],[Курс ДОЛЛ перевод]]+Таблица2[[#This Row],[Сумма за перевод руб]]</f>
        <v>48313.159793814411</v>
      </c>
      <c r="AB61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13" s="9"/>
      <c r="AD613" s="41"/>
    </row>
    <row r="614" spans="1:30" ht="30" x14ac:dyDescent="0.25">
      <c r="A614" s="6">
        <v>44805</v>
      </c>
      <c r="B614" s="38" t="s">
        <v>250</v>
      </c>
      <c r="C614" s="38" t="s">
        <v>354</v>
      </c>
      <c r="D614" s="1" t="s">
        <v>867</v>
      </c>
      <c r="E614" s="1"/>
      <c r="F614" s="3">
        <v>6355.12</v>
      </c>
      <c r="G614" s="5"/>
      <c r="H614" s="2">
        <v>8.93</v>
      </c>
      <c r="I614" s="2"/>
      <c r="J614" s="2">
        <v>0.97</v>
      </c>
      <c r="K614" s="2"/>
      <c r="L614" s="2"/>
      <c r="M614" s="26">
        <f>Таблица2[[#This Row],[Сумма ЮА]]*Таблица2[[#This Row],[Курс ЮА]]</f>
        <v>56751.221599999997</v>
      </c>
      <c r="N614" s="24">
        <f>Таблица2[[#This Row],[Сумма ЮА]]*Таблица2[[#This Row],[Курс ЮА]]/Таблица2[[#This Row],[% за перевод]]</f>
        <v>58506.414020618555</v>
      </c>
      <c r="O61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1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1755.1924206185577</v>
      </c>
      <c r="Q614" s="30">
        <v>58506.41</v>
      </c>
      <c r="R614" s="12">
        <f>Таблица2[[#This Row],[Сумма в руб]]-Таблица2[[#This Row],[Оплата от клиента]]</f>
        <v>4.0206185512943193E-3</v>
      </c>
      <c r="S614" s="32">
        <v>44805</v>
      </c>
      <c r="T614" s="32" t="s">
        <v>107</v>
      </c>
      <c r="U614" s="24" t="s">
        <v>31</v>
      </c>
      <c r="V614" s="2">
        <v>8.8486999999999991</v>
      </c>
      <c r="W614" s="28"/>
      <c r="X614" s="9"/>
      <c r="Y614" s="16">
        <v>6355.12</v>
      </c>
      <c r="Z614" s="10">
        <v>44806</v>
      </c>
      <c r="AA614" s="26">
        <f>Таблица2[[#This Row],[Сумма перевода Долл/Евро]]*Таблица2[[#This Row],[Курс ДОЛЛ перевод]]+Таблица2[[#This Row],[Сумма за перевод руб]]</f>
        <v>1755.1924206185577</v>
      </c>
      <c r="AB61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14" s="9"/>
      <c r="AD614" s="41"/>
    </row>
    <row r="615" spans="1:30" ht="30" x14ac:dyDescent="0.25">
      <c r="A615" s="6">
        <v>44805</v>
      </c>
      <c r="B615" s="38" t="s">
        <v>250</v>
      </c>
      <c r="C615" s="38" t="s">
        <v>354</v>
      </c>
      <c r="D615" s="1" t="s">
        <v>867</v>
      </c>
      <c r="E615" s="1"/>
      <c r="F615" s="3">
        <v>1641.56</v>
      </c>
      <c r="G615" s="5"/>
      <c r="H615" s="2">
        <v>8.93</v>
      </c>
      <c r="I615" s="2"/>
      <c r="J615" s="2">
        <v>0.97</v>
      </c>
      <c r="K615" s="2"/>
      <c r="L615" s="2"/>
      <c r="M615" s="26">
        <f>Таблица2[[#This Row],[Сумма ЮА]]*Таблица2[[#This Row],[Курс ЮА]]</f>
        <v>14659.130799999999</v>
      </c>
      <c r="N615" s="24">
        <f>Таблица2[[#This Row],[Сумма ЮА]]*Таблица2[[#This Row],[Курс ЮА]]/Таблица2[[#This Row],[% за перевод]]</f>
        <v>15112.505979381443</v>
      </c>
      <c r="O61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1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453.37517938144447</v>
      </c>
      <c r="Q615" s="30">
        <v>15112.51</v>
      </c>
      <c r="R615" s="12">
        <f>Таблица2[[#This Row],[Сумма в руб]]-Таблица2[[#This Row],[Оплата от клиента]]</f>
        <v>-4.0206185567512875E-3</v>
      </c>
      <c r="S615" s="32">
        <v>44805</v>
      </c>
      <c r="T615" s="32" t="s">
        <v>107</v>
      </c>
      <c r="U615" s="24" t="s">
        <v>31</v>
      </c>
      <c r="V615" s="2">
        <v>8.8486999999999991</v>
      </c>
      <c r="W615" s="28"/>
      <c r="X615" s="9"/>
      <c r="Y615" s="16">
        <v>1641.56</v>
      </c>
      <c r="Z615" s="10">
        <v>44806</v>
      </c>
      <c r="AA615" s="26">
        <f>Таблица2[[#This Row],[Сумма перевода Долл/Евро]]*Таблица2[[#This Row],[Курс ДОЛЛ перевод]]+Таблица2[[#This Row],[Сумма за перевод руб]]</f>
        <v>453.37517938144447</v>
      </c>
      <c r="AB61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15" s="9"/>
      <c r="AD615" s="41"/>
    </row>
    <row r="616" spans="1:30" ht="60" x14ac:dyDescent="0.25">
      <c r="A616" s="6">
        <v>44805</v>
      </c>
      <c r="B616" s="38" t="s">
        <v>117</v>
      </c>
      <c r="C616" s="38" t="s">
        <v>880</v>
      </c>
      <c r="D616" s="1" t="s">
        <v>881</v>
      </c>
      <c r="E616" s="1"/>
      <c r="F616" s="3">
        <v>62697</v>
      </c>
      <c r="G616" s="5"/>
      <c r="H616" s="2">
        <v>8.9499999999999993</v>
      </c>
      <c r="I616" s="2"/>
      <c r="J616" s="2">
        <v>0.97</v>
      </c>
      <c r="K616" s="2"/>
      <c r="L616" s="2"/>
      <c r="M616" s="26">
        <f>Таблица2[[#This Row],[Сумма ЮА]]*Таблица2[[#This Row],[Курс ЮА]]</f>
        <v>561138.14999999991</v>
      </c>
      <c r="N616" s="24">
        <f>Таблица2[[#This Row],[Сумма ЮА]]*Таблица2[[#This Row],[Курс ЮА]]/Таблица2[[#This Row],[% за перевод]]</f>
        <v>578492.93814432982</v>
      </c>
      <c r="O61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1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17354.788144329912</v>
      </c>
      <c r="Q616" s="30">
        <v>578492.93999999994</v>
      </c>
      <c r="R616" s="12">
        <f>Таблица2[[#This Row],[Сумма в руб]]-Таблица2[[#This Row],[Оплата от клиента]]</f>
        <v>-1.8556701252236962E-3</v>
      </c>
      <c r="S616" s="32">
        <v>44806</v>
      </c>
      <c r="T616" s="32" t="s">
        <v>107</v>
      </c>
      <c r="U616" s="24" t="s">
        <v>31</v>
      </c>
      <c r="V616" s="2">
        <v>8.8486999999999991</v>
      </c>
      <c r="W616" s="28"/>
      <c r="X616" s="9"/>
      <c r="Y616" s="16">
        <v>62697</v>
      </c>
      <c r="Z616" s="10">
        <v>44806</v>
      </c>
      <c r="AA616" s="26">
        <f>Таблица2[[#This Row],[Сумма перевода Долл/Евро]]*Таблица2[[#This Row],[Курс ДОЛЛ перевод]]+Таблица2[[#This Row],[Сумма за перевод руб]]</f>
        <v>17354.788144329912</v>
      </c>
      <c r="AB61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16" s="9"/>
      <c r="AD616" s="41"/>
    </row>
    <row r="617" spans="1:30" x14ac:dyDescent="0.25">
      <c r="A617" s="6">
        <v>44806</v>
      </c>
      <c r="B617" s="2" t="s">
        <v>298</v>
      </c>
      <c r="C617" s="2" t="s">
        <v>56</v>
      </c>
      <c r="D617" s="1"/>
      <c r="E617" s="1"/>
      <c r="F617" s="3"/>
      <c r="G617" s="5">
        <v>51.82</v>
      </c>
      <c r="H617" s="2"/>
      <c r="I617" s="2">
        <v>61.35</v>
      </c>
      <c r="J617" s="2"/>
      <c r="K617" s="2">
        <v>80</v>
      </c>
      <c r="L617" s="2"/>
      <c r="M617" s="26">
        <f>Таблица2[[#This Row],[Сумма Долл]]*Таблица2[[#This Row],[Курс ДОЛЛ]]</f>
        <v>3179.1570000000002</v>
      </c>
      <c r="N61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8087.1570000000002</v>
      </c>
      <c r="O61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51.943614796418537</v>
      </c>
      <c r="P61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4896.32</v>
      </c>
      <c r="Q617" s="30">
        <v>8087.16</v>
      </c>
      <c r="R617" s="12">
        <f>Таблица2[[#This Row],[Сумма в руб]]-Таблица2[[#This Row],[Оплата от клиента]]</f>
        <v>-2.9999999997016857E-3</v>
      </c>
      <c r="S617" s="32">
        <v>44806</v>
      </c>
      <c r="T617" s="32" t="s">
        <v>164</v>
      </c>
      <c r="U617" s="24" t="s">
        <v>31</v>
      </c>
      <c r="V617" s="2"/>
      <c r="W617" s="28">
        <v>61.204000000000001</v>
      </c>
      <c r="X617" s="9">
        <v>51.82</v>
      </c>
      <c r="Y617" s="16"/>
      <c r="Z617" s="10">
        <v>44806</v>
      </c>
      <c r="AA617" s="26">
        <f>Таблица2[[#This Row],[Сумма перевода Долл/Евро]]*Таблица2[[#This Row],[Курс ДОЛЛ перевод]]+Таблица2[[#This Row],[Сумма за перевод руб]]</f>
        <v>8067.9112800000003</v>
      </c>
      <c r="AB61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0.12361479641853634</v>
      </c>
      <c r="AC617" s="9"/>
      <c r="AD617" s="41"/>
    </row>
    <row r="618" spans="1:30" x14ac:dyDescent="0.25">
      <c r="A618" s="6">
        <v>44806</v>
      </c>
      <c r="B618" s="38" t="s">
        <v>877</v>
      </c>
      <c r="C618" s="38" t="s">
        <v>878</v>
      </c>
      <c r="D618" s="1" t="s">
        <v>789</v>
      </c>
      <c r="E618" s="1"/>
      <c r="F618" s="3">
        <v>168000</v>
      </c>
      <c r="G618" s="5"/>
      <c r="H618" s="2">
        <v>8.8486999999999991</v>
      </c>
      <c r="I618" s="2"/>
      <c r="J618" s="2">
        <v>0.97</v>
      </c>
      <c r="K618" s="2"/>
      <c r="L618" s="2"/>
      <c r="M618" s="26">
        <f>Таблица2[[#This Row],[Сумма ЮА]]*Таблица2[[#This Row],[Курс ЮА]]</f>
        <v>1486581.5999999999</v>
      </c>
      <c r="N618" s="24">
        <f>Таблица2[[#This Row],[Сумма ЮА]]*Таблица2[[#This Row],[Курс ЮА]]/Таблица2[[#This Row],[% за перевод]]</f>
        <v>1532558.3505154639</v>
      </c>
      <c r="O61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1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45976.750515463995</v>
      </c>
      <c r="Q618" s="30">
        <v>1532558.35</v>
      </c>
      <c r="R618" s="12">
        <f>Таблица2[[#This Row],[Сумма в руб]]-Таблица2[[#This Row],[Оплата от клиента]]</f>
        <v>5.1546376198530197E-4</v>
      </c>
      <c r="S618" s="32">
        <v>44809</v>
      </c>
      <c r="T618" s="32" t="s">
        <v>730</v>
      </c>
      <c r="U618" s="24" t="s">
        <v>31</v>
      </c>
      <c r="V618" s="2">
        <v>8.8486999999999991</v>
      </c>
      <c r="W618" s="28"/>
      <c r="X618" s="9"/>
      <c r="Y618" s="16">
        <v>168000</v>
      </c>
      <c r="Z618" s="10">
        <v>44810</v>
      </c>
      <c r="AA618" s="26">
        <f>Таблица2[[#This Row],[Сумма перевода Долл/Евро]]*Таблица2[[#This Row],[Курс ДОЛЛ перевод]]+Таблица2[[#This Row],[Сумма за перевод руб]]</f>
        <v>45976.750515463995</v>
      </c>
      <c r="AB61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18" s="9"/>
      <c r="AD618" s="41"/>
    </row>
    <row r="619" spans="1:30" ht="30" x14ac:dyDescent="0.25">
      <c r="A619" s="6">
        <v>44806</v>
      </c>
      <c r="B619" s="38" t="s">
        <v>877</v>
      </c>
      <c r="C619" s="38" t="s">
        <v>878</v>
      </c>
      <c r="D619" s="1" t="s">
        <v>882</v>
      </c>
      <c r="E619" s="1"/>
      <c r="F619" s="3">
        <v>6150</v>
      </c>
      <c r="G619" s="5"/>
      <c r="H619" s="2">
        <v>8.9700000000000006</v>
      </c>
      <c r="I619" s="2"/>
      <c r="J619" s="2">
        <v>0.9</v>
      </c>
      <c r="K619" s="2"/>
      <c r="L619" s="2"/>
      <c r="M619" s="26">
        <f>Таблица2[[#This Row],[Сумма ЮА]]*Таблица2[[#This Row],[Курс ЮА]]</f>
        <v>55165.500000000007</v>
      </c>
      <c r="N619" s="24">
        <f>Таблица2[[#This Row],[Сумма ЮА]]*Таблица2[[#This Row],[Курс ЮА]]/Таблица2[[#This Row],[% за перевод]]</f>
        <v>61295.000000000007</v>
      </c>
      <c r="O61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896.44901182687727</v>
      </c>
      <c r="P6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6129.5</v>
      </c>
      <c r="Q619" s="30">
        <v>61295</v>
      </c>
      <c r="R619" s="12">
        <f>Таблица2[[#This Row],[Сумма в руб]]-Таблица2[[#This Row],[Оплата от клиента]]</f>
        <v>0</v>
      </c>
      <c r="S619" s="32">
        <v>44809</v>
      </c>
      <c r="T619" s="32" t="s">
        <v>720</v>
      </c>
      <c r="U619" s="24" t="s">
        <v>31</v>
      </c>
      <c r="V619" s="2">
        <v>6.9</v>
      </c>
      <c r="W619" s="28">
        <v>61.537799999999997</v>
      </c>
      <c r="X619" s="9">
        <v>933.8</v>
      </c>
      <c r="Y619" s="16">
        <v>6150</v>
      </c>
      <c r="Z619" s="2"/>
      <c r="AA619" s="26">
        <f>Таблица2[[#This Row],[Сумма перевода Долл/Евро]]*Таблица2[[#This Row],[Курс ДОЛЛ перевод]]+Таблица2[[#This Row],[Сумма за перевод руб]]</f>
        <v>63593.497639999994</v>
      </c>
      <c r="AB61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5.1446640007903852</v>
      </c>
      <c r="AC619" s="9"/>
      <c r="AD619" s="41"/>
    </row>
    <row r="620" spans="1:30" ht="45" x14ac:dyDescent="0.25">
      <c r="A620" s="6">
        <v>44810</v>
      </c>
      <c r="B620" s="38" t="s">
        <v>137</v>
      </c>
      <c r="C620" s="38" t="s">
        <v>138</v>
      </c>
      <c r="D620" s="1" t="s">
        <v>883</v>
      </c>
      <c r="E620" s="1"/>
      <c r="F620" s="3">
        <v>1915</v>
      </c>
      <c r="G620" s="5"/>
      <c r="H620" s="2">
        <v>8.98</v>
      </c>
      <c r="I620" s="2"/>
      <c r="J620" s="2">
        <v>0.9</v>
      </c>
      <c r="K620" s="2"/>
      <c r="L620" s="2"/>
      <c r="M620" s="26">
        <f>Таблица2[[#This Row],[Сумма ЮА]]*Таблица2[[#This Row],[Курс ЮА]]</f>
        <v>17196.7</v>
      </c>
      <c r="N620" s="24">
        <f>Таблица2[[#This Row],[Сумма ЮА]]*Таблица2[[#This Row],[Курс ЮА]]/Таблица2[[#This Row],[% за перевод]]</f>
        <v>19107.444444444445</v>
      </c>
      <c r="O62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277.71596155802712</v>
      </c>
      <c r="P6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1910.7444444444445</v>
      </c>
      <c r="Q620" s="30">
        <v>19107.439999999999</v>
      </c>
      <c r="R620" s="12">
        <f>Таблица2[[#This Row],[Сумма в руб]]-Таблица2[[#This Row],[Оплата от клиента]]</f>
        <v>4.4444444465625565E-3</v>
      </c>
      <c r="S620" s="32">
        <v>44811</v>
      </c>
      <c r="T620" s="32" t="s">
        <v>720</v>
      </c>
      <c r="U620" s="24" t="s">
        <v>31</v>
      </c>
      <c r="V620" s="2">
        <v>6.9</v>
      </c>
      <c r="W620" s="28">
        <v>61.921900000000001</v>
      </c>
      <c r="X620" s="9">
        <v>289.27999999999997</v>
      </c>
      <c r="Y620" s="16">
        <v>1915</v>
      </c>
      <c r="Z620" s="10">
        <v>44839</v>
      </c>
      <c r="AA620" s="26">
        <f>Таблица2[[#This Row],[Сумма перевода Долл/Евро]]*Таблица2[[#This Row],[Курс ДОЛЛ перевод]]+Таблица2[[#This Row],[Сумма за перевод руб]]</f>
        <v>19823.511676444443</v>
      </c>
      <c r="AB62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0.17972967396917738</v>
      </c>
      <c r="AC620" s="9"/>
      <c r="AD620" s="41"/>
    </row>
    <row r="621" spans="1:30" ht="75" x14ac:dyDescent="0.25">
      <c r="A621" s="6">
        <v>44810</v>
      </c>
      <c r="B621" s="2" t="s">
        <v>783</v>
      </c>
      <c r="C621" s="2" t="s">
        <v>784</v>
      </c>
      <c r="D621" s="1" t="s">
        <v>884</v>
      </c>
      <c r="E621" s="1"/>
      <c r="F621" s="3"/>
      <c r="G621" s="5">
        <v>893.25</v>
      </c>
      <c r="H621" s="2"/>
      <c r="I621" s="2">
        <v>61.91</v>
      </c>
      <c r="J621" s="2"/>
      <c r="K621" s="2">
        <v>80</v>
      </c>
      <c r="L621" s="2"/>
      <c r="M621" s="26">
        <f>Таблица2[[#This Row],[Сумма Долл]]*Таблица2[[#This Row],[Курс ДОЛЛ]]</f>
        <v>55301.107499999998</v>
      </c>
      <c r="N62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60253.907499999994</v>
      </c>
      <c r="O62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893.09564491357492</v>
      </c>
      <c r="P6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4953.6559999999999</v>
      </c>
      <c r="Q621" s="30">
        <v>60253.91</v>
      </c>
      <c r="R621" s="12">
        <f>Таблица2[[#This Row],[Сумма в руб]]-Таблица2[[#This Row],[Оплата от клиента]]</f>
        <v>-2.5000000096042641E-3</v>
      </c>
      <c r="S621" s="32">
        <v>44810</v>
      </c>
      <c r="T621" s="32" t="s">
        <v>164</v>
      </c>
      <c r="U621" s="24" t="s">
        <v>31</v>
      </c>
      <c r="V621" s="2"/>
      <c r="W621" s="28">
        <v>61.920699999999997</v>
      </c>
      <c r="X621" s="9">
        <v>893.25</v>
      </c>
      <c r="Y621" s="16"/>
      <c r="Z621" s="10">
        <v>44813</v>
      </c>
      <c r="AA621" s="26">
        <f>Таблица2[[#This Row],[Сумма перевода Долл/Евро]]*Таблица2[[#This Row],[Курс ДОЛЛ перевод]]+Таблица2[[#This Row],[Сумма за перевод руб]]</f>
        <v>60264.321275000002</v>
      </c>
      <c r="AB62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-0.15435508642508466</v>
      </c>
      <c r="AC621" s="9"/>
      <c r="AD621" s="41"/>
    </row>
    <row r="622" spans="1:30" ht="45" x14ac:dyDescent="0.25">
      <c r="A622" s="6">
        <v>44811</v>
      </c>
      <c r="B622" s="38" t="s">
        <v>298</v>
      </c>
      <c r="C622" s="38" t="s">
        <v>56</v>
      </c>
      <c r="D622" s="1" t="s">
        <v>885</v>
      </c>
      <c r="E622" s="1"/>
      <c r="F622" s="3">
        <v>1200</v>
      </c>
      <c r="G622" s="5"/>
      <c r="H622" s="2">
        <v>8.9499999999999993</v>
      </c>
      <c r="I622" s="2"/>
      <c r="J622" s="2">
        <v>0.9</v>
      </c>
      <c r="K622" s="2"/>
      <c r="L622" s="2"/>
      <c r="M622" s="26">
        <f>Таблица2[[#This Row],[Сумма ЮА]]*Таблица2[[#This Row],[Курс ЮА]]</f>
        <v>10740</v>
      </c>
      <c r="N622" s="24">
        <f>Таблица2[[#This Row],[Сумма ЮА]]*Таблица2[[#This Row],[Курс ЮА]]/Таблица2[[#This Row],[% за перевод]]</f>
        <v>11933.333333333334</v>
      </c>
      <c r="O62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174.02040608002022</v>
      </c>
      <c r="P6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1193.3333333333339</v>
      </c>
      <c r="Q622" s="30">
        <v>11933.33</v>
      </c>
      <c r="R622" s="12">
        <f>Таблица2[[#This Row],[Сумма в руб]]-Таблица2[[#This Row],[Оплата от клиента]]</f>
        <v>3.3333333340124227E-3</v>
      </c>
      <c r="S622" s="32">
        <v>44811</v>
      </c>
      <c r="T622" s="32" t="s">
        <v>720</v>
      </c>
      <c r="U622" s="24" t="s">
        <v>31</v>
      </c>
      <c r="V622" s="2">
        <v>6.9</v>
      </c>
      <c r="W622" s="28">
        <v>61.716900000000003</v>
      </c>
      <c r="X622" s="9">
        <v>181.27</v>
      </c>
      <c r="Y622" s="16">
        <v>1200</v>
      </c>
      <c r="Z622" s="2"/>
      <c r="AA622" s="26">
        <f>Таблица2[[#This Row],[Сумма перевода Долл/Евро]]*Таблица2[[#This Row],[Курс ДОЛЛ перевод]]+Таблица2[[#This Row],[Сумма за перевод руб]]</f>
        <v>12380.755796333335</v>
      </c>
      <c r="AB62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0.10736260175934831</v>
      </c>
      <c r="AC622" s="9"/>
      <c r="AD622" s="41"/>
    </row>
    <row r="623" spans="1:30" x14ac:dyDescent="0.25">
      <c r="A623" s="6">
        <v>44811</v>
      </c>
      <c r="B623" s="38" t="s">
        <v>32</v>
      </c>
      <c r="C623" s="38" t="s">
        <v>33</v>
      </c>
      <c r="D623" s="1" t="s">
        <v>757</v>
      </c>
      <c r="E623" s="1"/>
      <c r="F623" s="3">
        <v>4567.5</v>
      </c>
      <c r="G623" s="5"/>
      <c r="H623" s="2">
        <v>8.9499999999999993</v>
      </c>
      <c r="I623" s="2">
        <v>62.1</v>
      </c>
      <c r="J623" s="2"/>
      <c r="K623" s="2">
        <v>80</v>
      </c>
      <c r="L623" s="2"/>
      <c r="M623" s="26">
        <f>Таблица2[[#This Row],[Сумма ЮА]]*Таблица2[[#This Row],[Курс ЮА]]</f>
        <v>40879.125</v>
      </c>
      <c r="N623" s="24">
        <f>Таблица2[[#This Row],[Сумма ЮА]]*Таблица2[[#This Row],[Курс ЮА]]+Таблица2[[#This Row],[Курс ДОЛЛ]]*Таблица2[[#This Row],[Долл за перевод]]</f>
        <v>45847.125</v>
      </c>
      <c r="O62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658.27898550724638</v>
      </c>
      <c r="P6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4968</v>
      </c>
      <c r="Q623" s="30">
        <v>45847.13</v>
      </c>
      <c r="R623" s="12">
        <f>Таблица2[[#This Row],[Сумма в руб]]-Таблица2[[#This Row],[Оплата от клиента]]</f>
        <v>-4.9999999973806553E-3</v>
      </c>
      <c r="S623" s="32">
        <v>44811</v>
      </c>
      <c r="T623" s="32" t="s">
        <v>107</v>
      </c>
      <c r="U623" s="24" t="s">
        <v>31</v>
      </c>
      <c r="V623" s="2">
        <v>8.8709000000000007</v>
      </c>
      <c r="W623" s="28"/>
      <c r="X623" s="9"/>
      <c r="Y623" s="16">
        <v>4567.5</v>
      </c>
      <c r="Z623" s="10">
        <v>44813</v>
      </c>
      <c r="AA623" s="26">
        <f>Таблица2[[#This Row],[Сумма перевода Долл/Евро]]*Таблица2[[#This Row],[Курс ДОЛЛ перевод]]+Таблица2[[#This Row],[Сумма за перевод руб]]</f>
        <v>4968</v>
      </c>
      <c r="AB62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143.39323547060974</v>
      </c>
      <c r="AC623" s="9"/>
      <c r="AD623" s="41"/>
    </row>
    <row r="624" spans="1:30" ht="30" x14ac:dyDescent="0.25">
      <c r="A624" s="6">
        <v>44812</v>
      </c>
      <c r="B624" s="38" t="s">
        <v>886</v>
      </c>
      <c r="C624" s="38" t="s">
        <v>887</v>
      </c>
      <c r="D624" s="1" t="s">
        <v>729</v>
      </c>
      <c r="E624" s="1"/>
      <c r="F624" s="3">
        <v>42219</v>
      </c>
      <c r="G624" s="5"/>
      <c r="H624" s="2">
        <v>8.9700000000000006</v>
      </c>
      <c r="I624" s="2"/>
      <c r="J624" s="2">
        <v>0.97</v>
      </c>
      <c r="K624" s="2"/>
      <c r="L624" s="2"/>
      <c r="M624" s="26">
        <f>Таблица2[[#This Row],[Сумма ЮА]]*Таблица2[[#This Row],[Курс ЮА]]</f>
        <v>378704.43000000005</v>
      </c>
      <c r="N624" s="24">
        <f>Таблица2[[#This Row],[Сумма ЮА]]*Таблица2[[#This Row],[Курс ЮА]]/Таблица2[[#This Row],[% за перевод]]</f>
        <v>390416.93814432994</v>
      </c>
      <c r="O62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2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11712.508144329884</v>
      </c>
      <c r="Q624" s="30">
        <v>390416.94</v>
      </c>
      <c r="R624" s="12">
        <f>Таблица2[[#This Row],[Сумма в руб]]-Таблица2[[#This Row],[Оплата от клиента]]</f>
        <v>-1.8556700670160353E-3</v>
      </c>
      <c r="S624" s="32">
        <v>44812</v>
      </c>
      <c r="T624" s="32" t="s">
        <v>107</v>
      </c>
      <c r="U624" s="24" t="s">
        <v>31</v>
      </c>
      <c r="V624" s="2">
        <v>8.8443000000000005</v>
      </c>
      <c r="W624" s="28"/>
      <c r="X624" s="9"/>
      <c r="Y624" s="16">
        <v>42219</v>
      </c>
      <c r="Z624" s="10">
        <v>44813</v>
      </c>
      <c r="AA624" s="26">
        <f>Таблица2[[#This Row],[Сумма перевода Долл/Евро]]*Таблица2[[#This Row],[Курс ДОЛЛ перевод]]+Таблица2[[#This Row],[Сумма за перевод руб]]</f>
        <v>11712.508144329884</v>
      </c>
      <c r="AB62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24" s="9"/>
      <c r="AD624" s="41"/>
    </row>
    <row r="625" spans="1:30" ht="75" x14ac:dyDescent="0.25">
      <c r="A625" s="6">
        <v>44812</v>
      </c>
      <c r="B625" s="38" t="s">
        <v>89</v>
      </c>
      <c r="C625" s="38" t="s">
        <v>330</v>
      </c>
      <c r="D625" s="1" t="s">
        <v>888</v>
      </c>
      <c r="E625" s="1"/>
      <c r="F625" s="3">
        <v>203180</v>
      </c>
      <c r="G625" s="5"/>
      <c r="H625" s="2">
        <v>8.9700000000000006</v>
      </c>
      <c r="I625" s="2"/>
      <c r="J625" s="2">
        <v>0.995</v>
      </c>
      <c r="K625" s="2"/>
      <c r="L625" s="2"/>
      <c r="M625" s="26">
        <f>Таблица2[[#This Row],[Сумма ЮА]]*Таблица2[[#This Row],[Курс ЮА]]</f>
        <v>1822524.6</v>
      </c>
      <c r="N625" s="24">
        <f>Таблица2[[#This Row],[Сумма ЮА]]*Таблица2[[#This Row],[Курс ЮА]]/Таблица2[[#This Row],[% за перевод]]</f>
        <v>1831683.015075377</v>
      </c>
      <c r="O62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2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9158.4150753768627</v>
      </c>
      <c r="Q625" s="30">
        <v>1831683.02</v>
      </c>
      <c r="R625" s="12">
        <f>Таблица2[[#This Row],[Сумма в руб]]-Таблица2[[#This Row],[Оплата от клиента]]</f>
        <v>-4.9246230628341436E-3</v>
      </c>
      <c r="S625" s="32">
        <v>44812</v>
      </c>
      <c r="T625" s="32" t="s">
        <v>107</v>
      </c>
      <c r="U625" s="24" t="s">
        <v>31</v>
      </c>
      <c r="V625" s="2">
        <v>8.8443000000000005</v>
      </c>
      <c r="W625" s="28"/>
      <c r="X625" s="9"/>
      <c r="Y625" s="16">
        <v>203180</v>
      </c>
      <c r="Z625" s="10">
        <v>44813</v>
      </c>
      <c r="AA625" s="26">
        <f>Таблица2[[#This Row],[Сумма перевода Долл/Евро]]*Таблица2[[#This Row],[Курс ДОЛЛ перевод]]+Таблица2[[#This Row],[Сумма за перевод руб]]</f>
        <v>9158.4150753768627</v>
      </c>
      <c r="AB62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25" s="9"/>
      <c r="AD625" s="41"/>
    </row>
    <row r="626" spans="1:30" x14ac:dyDescent="0.25">
      <c r="A626" s="6">
        <v>44813</v>
      </c>
      <c r="B626" s="2" t="s">
        <v>142</v>
      </c>
      <c r="C626" s="2" t="s">
        <v>143</v>
      </c>
      <c r="D626" s="1" t="s">
        <v>801</v>
      </c>
      <c r="E626" s="1"/>
      <c r="F626" s="3"/>
      <c r="G626" s="5">
        <v>9000</v>
      </c>
      <c r="H626" s="2"/>
      <c r="I626" s="2">
        <v>61.54</v>
      </c>
      <c r="J626" s="2">
        <v>0.97</v>
      </c>
      <c r="K626" s="2"/>
      <c r="L626" s="2"/>
      <c r="M626" s="26">
        <f>Таблица2[[#This Row],[Сумма Долл]]*Таблица2[[#This Row],[Курс ДОЛЛ]]</f>
        <v>553860</v>
      </c>
      <c r="N62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570989.69072164944</v>
      </c>
      <c r="O62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9046.2011867565416</v>
      </c>
      <c r="P6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17129.690721649444</v>
      </c>
      <c r="Q626" s="30">
        <v>570989.68999999994</v>
      </c>
      <c r="R626" s="12">
        <f>Таблица2[[#This Row],[Сумма в руб]]-Таблица2[[#This Row],[Оплата от клиента]]</f>
        <v>7.2164949961006641E-4</v>
      </c>
      <c r="S626" s="32">
        <v>44813</v>
      </c>
      <c r="T626" s="32" t="s">
        <v>164</v>
      </c>
      <c r="U626" s="24" t="s">
        <v>31</v>
      </c>
      <c r="V626" s="2"/>
      <c r="W626" s="28">
        <v>61.225700000000003</v>
      </c>
      <c r="X626" s="9">
        <v>9000</v>
      </c>
      <c r="Y626" s="16"/>
      <c r="Z626" s="10">
        <v>44813</v>
      </c>
      <c r="AA626" s="26">
        <f>Таблица2[[#This Row],[Сумма перевода Долл/Евро]]*Таблица2[[#This Row],[Курс ДОЛЛ перевод]]+Таблица2[[#This Row],[Сумма за перевод руб]]</f>
        <v>568160.99072164949</v>
      </c>
      <c r="AB62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46.201186756541574</v>
      </c>
      <c r="AC626" s="9"/>
      <c r="AD626" s="41"/>
    </row>
    <row r="627" spans="1:30" ht="30" x14ac:dyDescent="0.25">
      <c r="A627" s="6">
        <v>44813</v>
      </c>
      <c r="B627" s="38" t="s">
        <v>889</v>
      </c>
      <c r="C627" s="38" t="s">
        <v>890</v>
      </c>
      <c r="D627" s="1" t="s">
        <v>891</v>
      </c>
      <c r="E627" s="1"/>
      <c r="F627" s="3">
        <v>83781</v>
      </c>
      <c r="G627" s="5"/>
      <c r="H627" s="2">
        <v>8.94</v>
      </c>
      <c r="I627" s="2"/>
      <c r="J627" s="2">
        <v>0.97</v>
      </c>
      <c r="K627" s="2"/>
      <c r="L627" s="2"/>
      <c r="M627" s="26">
        <f>Таблица2[[#This Row],[Сумма ЮА]]*Таблица2[[#This Row],[Курс ЮА]]</f>
        <v>749002.14</v>
      </c>
      <c r="N627" s="24">
        <f>Таблица2[[#This Row],[Сумма ЮА]]*Таблица2[[#This Row],[Курс ЮА]]/Таблица2[[#This Row],[% за перевод]]</f>
        <v>772167.15463917528</v>
      </c>
      <c r="O62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23165.014639175264</v>
      </c>
      <c r="Q627" s="30">
        <v>772167.15</v>
      </c>
      <c r="R627" s="12">
        <f>Таблица2[[#This Row],[Сумма в руб]]-Таблица2[[#This Row],[Оплата от клиента]]</f>
        <v>4.6391752548515797E-3</v>
      </c>
      <c r="S627" s="32">
        <v>44813</v>
      </c>
      <c r="T627" s="32" t="s">
        <v>107</v>
      </c>
      <c r="U627" s="24" t="s">
        <v>31</v>
      </c>
      <c r="V627" s="2">
        <v>8.8300999999999998</v>
      </c>
      <c r="W627" s="28"/>
      <c r="X627" s="9"/>
      <c r="Y627" s="16">
        <v>83781</v>
      </c>
      <c r="Z627" s="10">
        <v>44816</v>
      </c>
      <c r="AA627" s="26">
        <f>Таблица2[[#This Row],[Сумма перевода Долл/Евро]]*Таблица2[[#This Row],[Курс ДОЛЛ перевод]]+Таблица2[[#This Row],[Сумма за перевод руб]]</f>
        <v>23165.014639175264</v>
      </c>
      <c r="AB62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27" s="9"/>
      <c r="AD627" s="41"/>
    </row>
    <row r="628" spans="1:30" x14ac:dyDescent="0.25">
      <c r="A628" s="6">
        <v>44816</v>
      </c>
      <c r="B628" s="38" t="s">
        <v>892</v>
      </c>
      <c r="C628" s="38" t="s">
        <v>893</v>
      </c>
      <c r="D628" s="1" t="s">
        <v>894</v>
      </c>
      <c r="E628" s="1"/>
      <c r="F628" s="3">
        <v>28949.5</v>
      </c>
      <c r="G628" s="5"/>
      <c r="H628" s="2">
        <v>8.8699999999999992</v>
      </c>
      <c r="I628" s="2"/>
      <c r="J628" s="2"/>
      <c r="K628" s="2"/>
      <c r="L628" s="2">
        <v>6000</v>
      </c>
      <c r="M628" s="26">
        <f>Таблица2[[#This Row],[Сумма ЮА]]*Таблица2[[#This Row],[Курс ЮА]]</f>
        <v>256782.06499999997</v>
      </c>
      <c r="N628" s="24">
        <f>Таблица2[[#This Row],[Сумма ЮА]]*Таблица2[[#This Row],[Курс ЮА]]+Таблица2[[#This Row],[Руб за перевод]]</f>
        <v>262782.06499999994</v>
      </c>
      <c r="O62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6000</v>
      </c>
      <c r="Q628" s="30">
        <v>262995.88</v>
      </c>
      <c r="R628" s="12">
        <f>Таблица2[[#This Row],[Сумма в руб]]-Таблица2[[#This Row],[Оплата от клиента]]</f>
        <v>-213.81500000006054</v>
      </c>
      <c r="S628" s="32">
        <v>44817</v>
      </c>
      <c r="T628" s="32" t="s">
        <v>107</v>
      </c>
      <c r="U628" s="24" t="s">
        <v>31</v>
      </c>
      <c r="V628" s="2">
        <v>8.6661000000000001</v>
      </c>
      <c r="W628" s="28"/>
      <c r="X628" s="9"/>
      <c r="Y628" s="16">
        <v>28949.5</v>
      </c>
      <c r="Z628" s="10">
        <v>44818</v>
      </c>
      <c r="AA628" s="26">
        <f>Таблица2[[#This Row],[Сумма перевода Долл/Евро]]*Таблица2[[#This Row],[Курс ДОЛЛ перевод]]+Таблица2[[#This Row],[Сумма за перевод руб]]</f>
        <v>6000</v>
      </c>
      <c r="AB62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28" s="9" t="s">
        <v>972</v>
      </c>
      <c r="AD628" s="41"/>
    </row>
    <row r="629" spans="1:30" x14ac:dyDescent="0.25">
      <c r="A629" s="6">
        <v>44816</v>
      </c>
      <c r="B629" s="38" t="s">
        <v>895</v>
      </c>
      <c r="C629" s="38" t="s">
        <v>896</v>
      </c>
      <c r="D629" s="1" t="s">
        <v>515</v>
      </c>
      <c r="E629" s="1"/>
      <c r="F629" s="8">
        <v>73511</v>
      </c>
      <c r="G629" s="5"/>
      <c r="H629" s="2">
        <v>8.98</v>
      </c>
      <c r="I629" s="2"/>
      <c r="J629" s="2">
        <v>0.995</v>
      </c>
      <c r="K629" s="2"/>
      <c r="L629" s="2"/>
      <c r="M629" s="26">
        <f>Таблица2[[#This Row],[Сумма ЮА]]*Таблица2[[#This Row],[Курс ЮА]]</f>
        <v>660128.78</v>
      </c>
      <c r="N629" s="24">
        <f>Таблица2[[#This Row],[Сумма ЮА]]*Таблица2[[#This Row],[Курс ЮА]]/Таблица2[[#This Row],[% за перевод]]</f>
        <v>663446.01005025127</v>
      </c>
      <c r="O62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2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3317.2300502512371</v>
      </c>
      <c r="Q629" s="30">
        <v>663446.01</v>
      </c>
      <c r="R629" s="12">
        <f>Таблица2[[#This Row],[Сумма в руб]]-Таблица2[[#This Row],[Оплата от клиента]]</f>
        <v>5.0251255743205547E-5</v>
      </c>
      <c r="S629" s="32">
        <v>44816</v>
      </c>
      <c r="T629" s="32" t="s">
        <v>107</v>
      </c>
      <c r="U629" s="24" t="s">
        <v>31</v>
      </c>
      <c r="V629" s="2">
        <v>8.8088999999999995</v>
      </c>
      <c r="W629" s="28"/>
      <c r="X629" s="9"/>
      <c r="Y629" s="16">
        <v>73511</v>
      </c>
      <c r="Z629" s="10">
        <v>44817</v>
      </c>
      <c r="AA629" s="26">
        <f>Таблица2[[#This Row],[Сумма перевода Долл/Евро]]*Таблица2[[#This Row],[Курс ДОЛЛ перевод]]+Таблица2[[#This Row],[Сумма за перевод руб]]</f>
        <v>3317.2300502512371</v>
      </c>
      <c r="AB62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29" s="9"/>
      <c r="AD629" s="41" t="s">
        <v>903</v>
      </c>
    </row>
    <row r="630" spans="1:30" x14ac:dyDescent="0.25">
      <c r="A630" s="6">
        <v>44816</v>
      </c>
      <c r="B630" s="38" t="s">
        <v>581</v>
      </c>
      <c r="C630" s="38" t="s">
        <v>582</v>
      </c>
      <c r="D630" s="1" t="s">
        <v>897</v>
      </c>
      <c r="E630" s="1"/>
      <c r="F630" s="3"/>
      <c r="G630" s="5"/>
      <c r="H630" s="2"/>
      <c r="I630" s="2"/>
      <c r="J630" s="2">
        <v>0.9</v>
      </c>
      <c r="K630" s="2"/>
      <c r="L630" s="2"/>
      <c r="M630" s="26">
        <f>Таблица2[[#This Row],[Сумма Долл]]*Таблица2[[#This Row],[Курс ДОЛЛ]]</f>
        <v>0</v>
      </c>
      <c r="N630" s="24">
        <v>2000000</v>
      </c>
      <c r="O63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630" s="12">
        <f>Таблица2[[#This Row],[Сумма в руб]]*0.1</f>
        <v>200000</v>
      </c>
      <c r="Q630" s="30">
        <v>2000000</v>
      </c>
      <c r="R630" s="12">
        <f>Таблица2[[#This Row],[Сумма в руб]]-Таблица2[[#This Row],[Оплата от клиента]]</f>
        <v>0</v>
      </c>
      <c r="S630" s="32">
        <v>44816</v>
      </c>
      <c r="T630" s="32" t="s">
        <v>720</v>
      </c>
      <c r="U630" s="24" t="s">
        <v>31</v>
      </c>
      <c r="V630" s="2">
        <v>6.9637000000000002</v>
      </c>
      <c r="W630" s="28">
        <v>61.186999999999998</v>
      </c>
      <c r="X630" s="9">
        <v>30643.759999999998</v>
      </c>
      <c r="Y630" s="16">
        <v>145930</v>
      </c>
      <c r="Z630" s="2"/>
      <c r="AA630" s="26">
        <f>Таблица2[[#This Row],[Сумма перевода Долл/Евро]]*Таблица2[[#This Row],[Курс ДОЛЛ перевод]]+Таблица2[[#This Row],[Сумма за перевод руб]]</f>
        <v>2074999.7431199998</v>
      </c>
      <c r="AB63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-20955.813719717964</v>
      </c>
      <c r="AC630" s="9" t="s">
        <v>1093</v>
      </c>
      <c r="AD630" s="41"/>
    </row>
    <row r="631" spans="1:30" x14ac:dyDescent="0.25">
      <c r="A631" s="6">
        <v>44816</v>
      </c>
      <c r="B631" s="38" t="s">
        <v>646</v>
      </c>
      <c r="C631" s="38" t="s">
        <v>187</v>
      </c>
      <c r="D631" s="1" t="s">
        <v>898</v>
      </c>
      <c r="E631" s="1"/>
      <c r="F631" s="3">
        <v>25000</v>
      </c>
      <c r="G631" s="5"/>
      <c r="H631" s="2">
        <v>8.93</v>
      </c>
      <c r="I631" s="2"/>
      <c r="J631" s="2">
        <v>0.98</v>
      </c>
      <c r="K631" s="2"/>
      <c r="L631" s="2"/>
      <c r="M631" s="26">
        <f>Таблица2[[#This Row],[Сумма ЮА]]*Таблица2[[#This Row],[Курс ЮА]]</f>
        <v>223250</v>
      </c>
      <c r="N631" s="24">
        <f>Таблица2[[#This Row],[Сумма ЮА]]*Таблица2[[#This Row],[Курс ЮА]]/Таблица2[[#This Row],[% за перевод]]</f>
        <v>227806.12244897959</v>
      </c>
      <c r="O63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3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4556.1224489795859</v>
      </c>
      <c r="Q631" s="30">
        <v>227806.12</v>
      </c>
      <c r="R631" s="12">
        <f>Таблица2[[#This Row],[Сумма в руб]]-Таблица2[[#This Row],[Оплата от клиента]]</f>
        <v>2.4489795905537903E-3</v>
      </c>
      <c r="S631" s="32">
        <v>44816</v>
      </c>
      <c r="T631" s="32" t="s">
        <v>107</v>
      </c>
      <c r="U631" s="24" t="s">
        <v>31</v>
      </c>
      <c r="V631" s="2">
        <v>8.8088999999999995</v>
      </c>
      <c r="W631" s="28"/>
      <c r="X631" s="9"/>
      <c r="Y631" s="16">
        <v>25000</v>
      </c>
      <c r="Z631" s="10">
        <v>44817</v>
      </c>
      <c r="AA631" s="26">
        <f>Таблица2[[#This Row],[Сумма перевода Долл/Евро]]*Таблица2[[#This Row],[Курс ДОЛЛ перевод]]+Таблица2[[#This Row],[Сумма за перевод руб]]</f>
        <v>4556.1224489795859</v>
      </c>
      <c r="AB63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31" s="9"/>
      <c r="AD631" s="41"/>
    </row>
    <row r="632" spans="1:30" x14ac:dyDescent="0.25">
      <c r="A632" s="6">
        <v>44816</v>
      </c>
      <c r="B632" s="38" t="s">
        <v>900</v>
      </c>
      <c r="C632" s="38" t="s">
        <v>210</v>
      </c>
      <c r="D632" s="1" t="s">
        <v>901</v>
      </c>
      <c r="E632" s="1"/>
      <c r="F632" s="3">
        <v>107069</v>
      </c>
      <c r="G632" s="5"/>
      <c r="H632" s="2">
        <v>8.94</v>
      </c>
      <c r="I632" s="2"/>
      <c r="J632" s="2">
        <v>0.98499999999999999</v>
      </c>
      <c r="K632" s="2"/>
      <c r="L632" s="2"/>
      <c r="M632" s="26">
        <f>Таблица2[[#This Row],[Сумма ЮА]]*Таблица2[[#This Row],[Курс ЮА]]</f>
        <v>957196.86</v>
      </c>
      <c r="N632" s="24">
        <f>Таблица2[[#This Row],[Сумма ЮА]]*Таблица2[[#This Row],[Курс ЮА]]/Таблица2[[#This Row],[% за перевод]]</f>
        <v>971773.46192893398</v>
      </c>
      <c r="O63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14576.601928933989</v>
      </c>
      <c r="Q632" s="30">
        <v>971773.46</v>
      </c>
      <c r="R632" s="12">
        <f>Таблица2[[#This Row],[Сумма в руб]]-Таблица2[[#This Row],[Оплата от клиента]]</f>
        <v>1.9289340125396848E-3</v>
      </c>
      <c r="S632" s="32">
        <v>44817</v>
      </c>
      <c r="T632" s="32" t="s">
        <v>107</v>
      </c>
      <c r="U632" s="24" t="s">
        <v>31</v>
      </c>
      <c r="V632" s="2">
        <v>8.8088999999999995</v>
      </c>
      <c r="W632" s="28"/>
      <c r="X632" s="9">
        <v>44817</v>
      </c>
      <c r="Y632" s="16">
        <v>107069</v>
      </c>
      <c r="Z632" s="10">
        <v>44817</v>
      </c>
      <c r="AA632" s="26">
        <f>Таблица2[[#This Row],[Сумма перевода Долл/Евро]]*Таблица2[[#This Row],[Курс ДОЛЛ перевод]]+Таблица2[[#This Row],[Сумма за перевод руб]]</f>
        <v>14576.601928933989</v>
      </c>
      <c r="AB63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32" s="9"/>
      <c r="AD632" s="41"/>
    </row>
    <row r="633" spans="1:30" ht="45" x14ac:dyDescent="0.25">
      <c r="A633" s="6">
        <v>44817</v>
      </c>
      <c r="B633" s="38" t="s">
        <v>535</v>
      </c>
      <c r="C633" s="38" t="s">
        <v>536</v>
      </c>
      <c r="D633" s="1" t="s">
        <v>865</v>
      </c>
      <c r="E633" s="1"/>
      <c r="F633" s="3">
        <v>4860</v>
      </c>
      <c r="G633" s="5"/>
      <c r="H633" s="2">
        <v>8.8800000000000008</v>
      </c>
      <c r="I633" s="2">
        <v>61.13</v>
      </c>
      <c r="J633" s="2"/>
      <c r="K633" s="2">
        <v>80</v>
      </c>
      <c r="L633" s="2"/>
      <c r="M633" s="26">
        <f>Таблица2[[#This Row],[Сумма ЮА]]*Таблица2[[#This Row],[Курс ЮА]]</f>
        <v>43156.800000000003</v>
      </c>
      <c r="N633" s="24">
        <f>Таблица2[[#This Row],[Сумма ЮА]]*Таблица2[[#This Row],[Курс ЮА]]+Таблица2[[#This Row],[Долл за перевод]]*Таблица2[[#This Row],[Курс ДОЛЛ]]</f>
        <v>48047.200000000004</v>
      </c>
      <c r="O63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705.98396859152626</v>
      </c>
      <c r="P6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4890.4000000000005</v>
      </c>
      <c r="Q633" s="30">
        <v>48047.199999999997</v>
      </c>
      <c r="R633" s="12">
        <f>Таблица2[[#This Row],[Сумма в руб]]-Таблица2[[#This Row],[Оплата от клиента]]</f>
        <v>0</v>
      </c>
      <c r="S633" s="32">
        <v>44817</v>
      </c>
      <c r="T633" s="32" t="s">
        <v>107</v>
      </c>
      <c r="U633" s="24" t="s">
        <v>31</v>
      </c>
      <c r="V633" s="2">
        <v>8.8088999999999995</v>
      </c>
      <c r="W633" s="28"/>
      <c r="X633" s="9"/>
      <c r="Y633" s="16">
        <v>4860</v>
      </c>
      <c r="Z633" s="10">
        <v>44817</v>
      </c>
      <c r="AA633" s="26">
        <f>Таблица2[[#This Row],[Сумма перевода Долл/Евро]]*Таблица2[[#This Row],[Курс ДОЛЛ перевод]]+Таблица2[[#This Row],[Сумма за перевод руб]]</f>
        <v>4890.4000000000005</v>
      </c>
      <c r="AB63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154.26922554755936</v>
      </c>
      <c r="AC633" s="9"/>
      <c r="AD633" s="41"/>
    </row>
    <row r="634" spans="1:30" ht="75" x14ac:dyDescent="0.25">
      <c r="A634" s="6">
        <v>44817</v>
      </c>
      <c r="B634" s="38" t="s">
        <v>783</v>
      </c>
      <c r="C634" s="38" t="s">
        <v>784</v>
      </c>
      <c r="D634" s="1" t="s">
        <v>902</v>
      </c>
      <c r="E634" s="1"/>
      <c r="F634" s="3">
        <v>13600</v>
      </c>
      <c r="G634" s="5"/>
      <c r="H634" s="2">
        <v>8.8800000000000008</v>
      </c>
      <c r="I634" s="2"/>
      <c r="J634" s="2">
        <v>0.97</v>
      </c>
      <c r="K634" s="2"/>
      <c r="L634" s="2"/>
      <c r="M634" s="26">
        <f>Таблица2[[#This Row],[Сумма ЮА]]*Таблица2[[#This Row],[Курс ЮА]]</f>
        <v>120768.00000000001</v>
      </c>
      <c r="N634" s="24">
        <f>Таблица2[[#This Row],[Сумма ЮА]]*Таблица2[[#This Row],[Курс ЮА]]/Таблица2[[#This Row],[% за перевод]]</f>
        <v>124503.09278350517</v>
      </c>
      <c r="O63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3735.0927835051552</v>
      </c>
      <c r="Q634" s="30">
        <v>124503.09</v>
      </c>
      <c r="R634" s="12">
        <f>Таблица2[[#This Row],[Сумма в руб]]-Таблица2[[#This Row],[Оплата от клиента]]</f>
        <v>2.7835051732836291E-3</v>
      </c>
      <c r="S634" s="32">
        <v>44817</v>
      </c>
      <c r="T634" s="32" t="s">
        <v>382</v>
      </c>
      <c r="U634" s="24" t="s">
        <v>31</v>
      </c>
      <c r="V634" s="2">
        <v>8.8088999999999995</v>
      </c>
      <c r="W634" s="28"/>
      <c r="X634" s="9"/>
      <c r="Y634" s="16">
        <v>13600</v>
      </c>
      <c r="Z634" s="10">
        <v>44817</v>
      </c>
      <c r="AA634" s="26">
        <f>Таблица2[[#This Row],[Сумма перевода Долл/Евро]]*Таблица2[[#This Row],[Курс ДОЛЛ перевод]]+Таблица2[[#This Row],[Сумма за перевод руб]]</f>
        <v>3735.0927835051552</v>
      </c>
      <c r="AB63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34" s="9"/>
      <c r="AD634" s="41"/>
    </row>
    <row r="635" spans="1:30" ht="45" x14ac:dyDescent="0.25">
      <c r="A635" s="6">
        <v>44817</v>
      </c>
      <c r="B635" s="28" t="s">
        <v>783</v>
      </c>
      <c r="C635" s="28" t="s">
        <v>784</v>
      </c>
      <c r="D635" s="1" t="s">
        <v>904</v>
      </c>
      <c r="E635" s="1"/>
      <c r="F635" s="3"/>
      <c r="G635" s="5">
        <v>23695</v>
      </c>
      <c r="H635" s="2"/>
      <c r="I635" s="2">
        <v>62.03</v>
      </c>
      <c r="J635" s="2">
        <v>0.97</v>
      </c>
      <c r="K635" s="2"/>
      <c r="L635" s="2"/>
      <c r="M635" s="26">
        <f>Таблица2[[#This Row],[Сумма Долл]]*Таблица2[[#This Row],[Курс ДОЛЛ]]</f>
        <v>1469800.85</v>
      </c>
      <c r="N63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1515258.6082474228</v>
      </c>
      <c r="O63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24273.245607516146</v>
      </c>
      <c r="P63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45457.758247422753</v>
      </c>
      <c r="Q635" s="30">
        <v>1515258.61</v>
      </c>
      <c r="R635" s="12">
        <f>Таблица2[[#This Row],[Сумма в руб]]-Таблица2[[#This Row],[Оплата от клиента]]</f>
        <v>-1.752577256411314E-3</v>
      </c>
      <c r="S635" s="32">
        <v>44817</v>
      </c>
      <c r="T635" s="42" t="s">
        <v>277</v>
      </c>
      <c r="U635" s="24" t="s">
        <v>31</v>
      </c>
      <c r="V635" s="2"/>
      <c r="W635" s="28">
        <v>60.552300000000002</v>
      </c>
      <c r="X635" s="9">
        <v>23695</v>
      </c>
      <c r="Y635" s="16"/>
      <c r="Z635" s="10">
        <v>44819</v>
      </c>
      <c r="AA635" s="26">
        <f>Таблица2[[#This Row],[Сумма перевода Долл/Евро]]*Таблица2[[#This Row],[Курс ДОЛЛ перевод]]+Таблица2[[#This Row],[Сумма за перевод руб]]</f>
        <v>1480244.5067474227</v>
      </c>
      <c r="AB63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578.24560751614626</v>
      </c>
      <c r="AC635" s="9"/>
      <c r="AD635" s="41"/>
    </row>
    <row r="636" spans="1:30" x14ac:dyDescent="0.25">
      <c r="A636" s="6">
        <v>44817</v>
      </c>
      <c r="B636" s="38" t="s">
        <v>900</v>
      </c>
      <c r="C636" s="38" t="s">
        <v>210</v>
      </c>
      <c r="D636" s="1" t="s">
        <v>905</v>
      </c>
      <c r="E636" s="1"/>
      <c r="F636" s="3">
        <v>327157.27</v>
      </c>
      <c r="G636" s="5"/>
      <c r="H636" s="2">
        <v>8.8699999999999992</v>
      </c>
      <c r="I636" s="2"/>
      <c r="J636" s="2">
        <v>0.98499999999999999</v>
      </c>
      <c r="K636" s="2"/>
      <c r="L636" s="2"/>
      <c r="M636" s="26">
        <f>Таблица2[[#This Row],[Сумма ЮА]]*Таблица2[[#This Row],[Курс ЮА]]</f>
        <v>2901884.9849</v>
      </c>
      <c r="N636" s="24">
        <f>Таблица2[[#This Row],[Сумма ЮА]]*Таблица2[[#This Row],[Курс ЮА]]/Таблица2[[#This Row],[% за перевод]]</f>
        <v>2946076.1268020305</v>
      </c>
      <c r="O63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44191.141902030446</v>
      </c>
      <c r="Q636" s="30">
        <v>2946076.13</v>
      </c>
      <c r="R636" s="12">
        <f>Таблица2[[#This Row],[Сумма в руб]]-Таблица2[[#This Row],[Оплата от клиента]]</f>
        <v>-3.1979694031178951E-3</v>
      </c>
      <c r="S636" s="32">
        <v>44817</v>
      </c>
      <c r="T636" s="32" t="s">
        <v>382</v>
      </c>
      <c r="U636" s="24" t="s">
        <v>31</v>
      </c>
      <c r="V636" s="2">
        <v>8.7431000000000001</v>
      </c>
      <c r="W636" s="28"/>
      <c r="X636" s="9"/>
      <c r="Y636" s="16">
        <v>327157.27</v>
      </c>
      <c r="Z636" s="10">
        <v>44817</v>
      </c>
      <c r="AA636" s="26">
        <f>Таблица2[[#This Row],[Сумма перевода Долл/Евро]]*Таблица2[[#This Row],[Курс ДОЛЛ перевод]]+Таблица2[[#This Row],[Сумма за перевод руб]]</f>
        <v>44191.141902030446</v>
      </c>
      <c r="AB63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36" s="9"/>
      <c r="AD636" s="41"/>
    </row>
    <row r="637" spans="1:30" ht="60" x14ac:dyDescent="0.25">
      <c r="A637" s="6">
        <v>44817</v>
      </c>
      <c r="B637" s="2" t="s">
        <v>35</v>
      </c>
      <c r="C637" s="2" t="s">
        <v>36</v>
      </c>
      <c r="D637" s="1" t="s">
        <v>906</v>
      </c>
      <c r="E637" s="1"/>
      <c r="F637" s="3"/>
      <c r="G637" s="5">
        <v>3506.2</v>
      </c>
      <c r="H637" s="2"/>
      <c r="I637" s="2">
        <v>61.02</v>
      </c>
      <c r="J637" s="2">
        <v>0.97</v>
      </c>
      <c r="K637" s="2"/>
      <c r="L637" s="2"/>
      <c r="M637" s="26">
        <f>Таблица2[[#This Row],[Сумма Долл]]*Таблица2[[#This Row],[Курс ДОЛЛ]]</f>
        <v>213948.32399999999</v>
      </c>
      <c r="N63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220565.28247422681</v>
      </c>
      <c r="O63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3534.501498395874</v>
      </c>
      <c r="P6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6616.9584742268198</v>
      </c>
      <c r="Q637" s="30">
        <v>220565.28</v>
      </c>
      <c r="R637" s="12">
        <f>Таблица2[[#This Row],[Сумма в руб]]-Таблица2[[#This Row],[Оплата от клиента]]</f>
        <v>2.4742268142290413E-3</v>
      </c>
      <c r="S637" s="32">
        <v>44817</v>
      </c>
      <c r="T637" s="32" t="s">
        <v>130</v>
      </c>
      <c r="U637" s="24" t="s">
        <v>31</v>
      </c>
      <c r="V637" s="2"/>
      <c r="W637" s="28">
        <v>60.531399999999998</v>
      </c>
      <c r="X637" s="9">
        <v>3506.2</v>
      </c>
      <c r="Y637" s="16"/>
      <c r="Z637" s="10">
        <v>44819</v>
      </c>
      <c r="AA637" s="26">
        <f>Таблица2[[#This Row],[Сумма перевода Долл/Евро]]*Таблица2[[#This Row],[Курс ДОЛЛ перевод]]+Таблица2[[#This Row],[Сумма за перевод руб]]</f>
        <v>218852.15315422681</v>
      </c>
      <c r="AB63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28.301498395874205</v>
      </c>
      <c r="AC637" s="9"/>
      <c r="AD637" s="41"/>
    </row>
    <row r="638" spans="1:30" x14ac:dyDescent="0.25">
      <c r="A638" s="6">
        <v>44817</v>
      </c>
      <c r="B638" s="2" t="s">
        <v>35</v>
      </c>
      <c r="C638" s="2" t="s">
        <v>36</v>
      </c>
      <c r="D638" s="1" t="s">
        <v>907</v>
      </c>
      <c r="E638" s="1"/>
      <c r="F638" s="3"/>
      <c r="G638" s="5">
        <v>1290</v>
      </c>
      <c r="H638" s="2"/>
      <c r="I638" s="2">
        <v>61.05</v>
      </c>
      <c r="J638" s="2">
        <v>0.97</v>
      </c>
      <c r="K638" s="2"/>
      <c r="L638" s="2"/>
      <c r="M638" s="26">
        <f>Таблица2[[#This Row],[Сумма Долл]]*Таблица2[[#This Row],[Курс ДОЛЛ]]</f>
        <v>78754.5</v>
      </c>
      <c r="N63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81190.206185567018</v>
      </c>
      <c r="O63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1301.052015978484</v>
      </c>
      <c r="P63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2435.7061855670181</v>
      </c>
      <c r="Q638" s="30">
        <v>81190.210000000006</v>
      </c>
      <c r="R638" s="12">
        <f>Таблица2[[#This Row],[Сумма в руб]]-Таблица2[[#This Row],[Оплата от клиента]]</f>
        <v>-3.8144329882925376E-3</v>
      </c>
      <c r="S638" s="32">
        <v>44817</v>
      </c>
      <c r="T638" s="32" t="s">
        <v>130</v>
      </c>
      <c r="U638" s="24" t="s">
        <v>31</v>
      </c>
      <c r="V638" s="2"/>
      <c r="W638" s="28">
        <v>60.531399999999998</v>
      </c>
      <c r="X638" s="9">
        <v>1290</v>
      </c>
      <c r="Y638" s="16"/>
      <c r="Z638" s="10">
        <v>44819</v>
      </c>
      <c r="AA638" s="26">
        <f>Таблица2[[#This Row],[Сумма перевода Долл/Евро]]*Таблица2[[#This Row],[Курс ДОЛЛ перевод]]+Таблица2[[#This Row],[Сумма за перевод руб]]</f>
        <v>80521.212185567012</v>
      </c>
      <c r="AB63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11.052015978483951</v>
      </c>
      <c r="AC638" s="9"/>
      <c r="AD638" s="41"/>
    </row>
    <row r="639" spans="1:30" x14ac:dyDescent="0.25">
      <c r="A639" s="6">
        <v>44817</v>
      </c>
      <c r="B639" s="64" t="s">
        <v>908</v>
      </c>
      <c r="C639" s="64" t="s">
        <v>909</v>
      </c>
      <c r="D639" s="1"/>
      <c r="E639" s="1"/>
      <c r="F639" s="3"/>
      <c r="G639" s="5"/>
      <c r="H639" s="2"/>
      <c r="I639" s="2"/>
      <c r="J639" s="2"/>
      <c r="K639" s="2"/>
      <c r="L639" s="2"/>
      <c r="M639" s="26">
        <f>Таблица2[[#This Row],[Сумма ЮА]]*Таблица2[[#This Row],[Курс ЮА]]</f>
        <v>0</v>
      </c>
      <c r="N639" s="24">
        <v>70832</v>
      </c>
      <c r="O63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63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639" s="30">
        <v>70832</v>
      </c>
      <c r="R639" s="12">
        <f>Таблица2[[#This Row],[Сумма в руб]]-Таблица2[[#This Row],[Оплата от клиента]]</f>
        <v>0</v>
      </c>
      <c r="S639" s="32">
        <v>44824</v>
      </c>
      <c r="T639" s="32" t="s">
        <v>720</v>
      </c>
      <c r="U639" s="24" t="s">
        <v>31</v>
      </c>
      <c r="V639" s="2">
        <v>5.64</v>
      </c>
      <c r="W639" s="28">
        <v>61.4818</v>
      </c>
      <c r="X639" s="9">
        <v>1152.08</v>
      </c>
      <c r="Y639" s="16">
        <v>6497.5</v>
      </c>
      <c r="Z639" s="10"/>
      <c r="AA639" s="26">
        <f>Таблица2[[#This Row],[Сумма перевода Долл/Евро]]*Таблица2[[#This Row],[Курс ДОЛЛ перевод]]+Таблица2[[#This Row],[Сумма за перевод руб]]</f>
        <v>70831.952143999995</v>
      </c>
      <c r="AB63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-1152.0390070921987</v>
      </c>
      <c r="AC639" s="9"/>
      <c r="AD639" s="41"/>
    </row>
    <row r="640" spans="1:30" x14ac:dyDescent="0.25">
      <c r="A640" s="6">
        <v>44818</v>
      </c>
      <c r="B640" s="38" t="s">
        <v>910</v>
      </c>
      <c r="C640" s="38" t="s">
        <v>911</v>
      </c>
      <c r="D640" s="1"/>
      <c r="E640" s="1"/>
      <c r="F640" s="3">
        <v>58158</v>
      </c>
      <c r="G640" s="5"/>
      <c r="H640" s="2">
        <v>8.82</v>
      </c>
      <c r="I640" s="2"/>
      <c r="J640" s="2">
        <v>0.97</v>
      </c>
      <c r="K640" s="2"/>
      <c r="L640" s="2"/>
      <c r="M640" s="26">
        <f>Таблица2[[#This Row],[Сумма ЮА]]*Таблица2[[#This Row],[Курс ЮА]]</f>
        <v>512953.56</v>
      </c>
      <c r="N640" s="24">
        <f>Таблица2[[#This Row],[Сумма ЮА]]*Таблица2[[#This Row],[Курс ЮА]]/Таблица2[[#This Row],[% за перевод]]</f>
        <v>528818.10309278348</v>
      </c>
      <c r="O64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15864.543092783482</v>
      </c>
      <c r="Q640" s="30">
        <v>528818.1</v>
      </c>
      <c r="R640" s="12">
        <f>Таблица2[[#This Row],[Сумма в руб]]-Таблица2[[#This Row],[Оплата от клиента]]</f>
        <v>3.0927835032343864E-3</v>
      </c>
      <c r="S640" s="32">
        <v>44818</v>
      </c>
      <c r="T640" s="32" t="s">
        <v>382</v>
      </c>
      <c r="U640" s="24" t="s">
        <v>31</v>
      </c>
      <c r="V640" s="2">
        <v>8.6457999999999995</v>
      </c>
      <c r="W640" s="28"/>
      <c r="X640" s="9"/>
      <c r="Y640" s="16">
        <v>58158</v>
      </c>
      <c r="Z640" s="2"/>
      <c r="AA640" s="26">
        <f>Таблица2[[#This Row],[Сумма перевода Долл/Евро]]*Таблица2[[#This Row],[Курс ДОЛЛ перевод]]+Таблица2[[#This Row],[Сумма за перевод руб]]</f>
        <v>15864.543092783482</v>
      </c>
      <c r="AB64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40" s="9"/>
      <c r="AD640" s="41"/>
    </row>
    <row r="641" spans="1:30" x14ac:dyDescent="0.25">
      <c r="A641" s="6">
        <v>44818</v>
      </c>
      <c r="B641" s="38" t="s">
        <v>137</v>
      </c>
      <c r="C641" s="38" t="s">
        <v>138</v>
      </c>
      <c r="D641" s="1"/>
      <c r="E641" s="1"/>
      <c r="F641" s="3">
        <v>1832</v>
      </c>
      <c r="G641" s="5"/>
      <c r="H641" s="2">
        <v>8.76</v>
      </c>
      <c r="I641" s="2"/>
      <c r="J641" s="2">
        <v>0.9</v>
      </c>
      <c r="K641" s="2"/>
      <c r="L641" s="2"/>
      <c r="M641" s="26">
        <f>Таблица2[[#This Row],[Сумма ЮА]]*Таблица2[[#This Row],[Курс ЮА]]</f>
        <v>16048.32</v>
      </c>
      <c r="N641" s="24">
        <f>Таблица2[[#This Row],[Сумма ЮА]]*Таблица2[[#This Row],[Курс ЮА]]/Таблица2[[#This Row],[% за перевод]]</f>
        <v>17831.466666666667</v>
      </c>
      <c r="O64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263.24300118594772</v>
      </c>
      <c r="P6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1783.1466666666674</v>
      </c>
      <c r="Q641" s="30">
        <v>17831.47</v>
      </c>
      <c r="R641" s="12">
        <f>Таблица2[[#This Row],[Сумма в руб]]-Таблица2[[#This Row],[Оплата от клиента]]</f>
        <v>-3.3333333340124227E-3</v>
      </c>
      <c r="S641" s="32">
        <v>44819</v>
      </c>
      <c r="T641" s="32" t="s">
        <v>720</v>
      </c>
      <c r="U641" s="24" t="s">
        <v>31</v>
      </c>
      <c r="V641" s="2">
        <v>6.96</v>
      </c>
      <c r="W641" s="28">
        <v>60.963900000000002</v>
      </c>
      <c r="X641" s="9">
        <v>274.20999999999998</v>
      </c>
      <c r="Y641" s="16">
        <v>1832</v>
      </c>
      <c r="Z641" s="10"/>
      <c r="AA641" s="26">
        <f>Таблица2[[#This Row],[Сумма перевода Долл/Евро]]*Таблица2[[#This Row],[Курс ДОЛЛ перевод]]+Таблица2[[#This Row],[Сумма за перевод руб]]</f>
        <v>18500.057685666667</v>
      </c>
      <c r="AB64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2.4610381350044008E-2</v>
      </c>
      <c r="AC641" s="9"/>
      <c r="AD641" s="41"/>
    </row>
    <row r="642" spans="1:30" x14ac:dyDescent="0.25">
      <c r="A642" s="6">
        <v>44818</v>
      </c>
      <c r="B642" s="38" t="s">
        <v>900</v>
      </c>
      <c r="C642" s="38" t="s">
        <v>210</v>
      </c>
      <c r="D642" s="1"/>
      <c r="E642" s="1"/>
      <c r="F642" s="3">
        <v>23292</v>
      </c>
      <c r="G642" s="5"/>
      <c r="H642" s="2">
        <v>8.7799999999999994</v>
      </c>
      <c r="I642" s="2"/>
      <c r="J642" s="2">
        <v>0.98499999999999999</v>
      </c>
      <c r="K642" s="2"/>
      <c r="L642" s="2"/>
      <c r="M642" s="26">
        <f>Таблица2[[#This Row],[Сумма ЮА]]*Таблица2[[#This Row],[Курс ЮА]]</f>
        <v>204503.75999999998</v>
      </c>
      <c r="N642" s="24">
        <f>Таблица2[[#This Row],[Сумма ЮА]]*Таблица2[[#This Row],[Курс ЮА]]/Таблица2[[#This Row],[% за перевод]]</f>
        <v>207618.03045685278</v>
      </c>
      <c r="O64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4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3114.2704568527988</v>
      </c>
      <c r="Q642" s="30">
        <v>207618.03</v>
      </c>
      <c r="R642" s="12">
        <f>Таблица2[[#This Row],[Сумма в руб]]-Таблица2[[#This Row],[Оплата от клиента]]</f>
        <v>4.5685278018936515E-4</v>
      </c>
      <c r="S642" s="32">
        <v>44818</v>
      </c>
      <c r="T642" s="32" t="s">
        <v>382</v>
      </c>
      <c r="U642" s="24" t="s">
        <v>31</v>
      </c>
      <c r="V642" s="2">
        <v>8.6661000000000001</v>
      </c>
      <c r="W642" s="28"/>
      <c r="X642" s="9"/>
      <c r="Y642" s="16">
        <v>23292</v>
      </c>
      <c r="Z642" s="10">
        <v>44819</v>
      </c>
      <c r="AA642" s="26">
        <f>Таблица2[[#This Row],[Сумма перевода Долл/Евро]]*Таблица2[[#This Row],[Курс ДОЛЛ перевод]]+Таблица2[[#This Row],[Сумма за перевод руб]]</f>
        <v>3114.2704568527988</v>
      </c>
      <c r="AB64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42" s="9"/>
      <c r="AD642" s="41"/>
    </row>
    <row r="643" spans="1:30" x14ac:dyDescent="0.25">
      <c r="A643" s="6">
        <v>44818</v>
      </c>
      <c r="B643" s="38" t="s">
        <v>298</v>
      </c>
      <c r="C643" s="38" t="s">
        <v>56</v>
      </c>
      <c r="D643" s="1"/>
      <c r="E643" s="1"/>
      <c r="F643" s="3">
        <v>7680</v>
      </c>
      <c r="G643" s="5"/>
      <c r="H643" s="2">
        <v>8.7899999999999991</v>
      </c>
      <c r="I643" s="2"/>
      <c r="J643" s="2">
        <v>0.9</v>
      </c>
      <c r="K643" s="2"/>
      <c r="L643" s="2"/>
      <c r="M643" s="26">
        <f>Таблица2[[#This Row],[Сумма ЮА]]*Таблица2[[#This Row],[Курс ЮА]]</f>
        <v>67507.199999999997</v>
      </c>
      <c r="N643" s="24">
        <f>Таблица2[[#This Row],[Сумма ЮА]]*Таблица2[[#This Row],[Курс ЮА]]/Таблица2[[#This Row],[% за перевод]]</f>
        <v>75008</v>
      </c>
      <c r="O64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4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7500.8000000000029</v>
      </c>
      <c r="Q643" s="30">
        <v>75008</v>
      </c>
      <c r="R643" s="12">
        <f>Таблица2[[#This Row],[Сумма в руб]]-Таблица2[[#This Row],[Оплата от клиента]]</f>
        <v>0</v>
      </c>
      <c r="S643" s="32">
        <v>44818</v>
      </c>
      <c r="T643" s="32" t="s">
        <v>107</v>
      </c>
      <c r="U643" s="24" t="s">
        <v>31</v>
      </c>
      <c r="V643" s="2"/>
      <c r="W643" s="28"/>
      <c r="X643" s="9"/>
      <c r="Y643" s="16">
        <v>7680</v>
      </c>
      <c r="Z643" s="10"/>
      <c r="AA643" s="26">
        <f>Таблица2[[#This Row],[Сумма перевода Долл/Евро]]*Таблица2[[#This Row],[Курс ДОЛЛ перевод]]+Таблица2[[#This Row],[Сумма за перевод руб]]</f>
        <v>7500.8000000000029</v>
      </c>
      <c r="AB64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43" s="9"/>
      <c r="AD643" s="41" t="s">
        <v>924</v>
      </c>
    </row>
    <row r="644" spans="1:30" x14ac:dyDescent="0.25">
      <c r="A644" s="6">
        <v>44819</v>
      </c>
      <c r="B644" s="38" t="s">
        <v>220</v>
      </c>
      <c r="C644" s="38" t="s">
        <v>912</v>
      </c>
      <c r="D644" s="1"/>
      <c r="E644" s="1"/>
      <c r="F644" s="3">
        <v>129974.54</v>
      </c>
      <c r="G644" s="5"/>
      <c r="H644" s="2">
        <v>8.89</v>
      </c>
      <c r="I644" s="2"/>
      <c r="J644" s="2">
        <v>0.97</v>
      </c>
      <c r="K644" s="2"/>
      <c r="L644" s="2"/>
      <c r="M644" s="26">
        <f>Таблица2[[#This Row],[Сумма ЮА]]*Таблица2[[#This Row],[Курс ЮА]]</f>
        <v>1155473.6606000001</v>
      </c>
      <c r="N644" s="24">
        <f>Таблица2[[#This Row],[Сумма ЮА]]*Таблица2[[#This Row],[Курс ЮА]]/Таблица2[[#This Row],[% за перевод]]</f>
        <v>1191209.9593814434</v>
      </c>
      <c r="O64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4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35736.298781443387</v>
      </c>
      <c r="Q644" s="30">
        <v>1191209.96</v>
      </c>
      <c r="R644" s="12">
        <f>Таблица2[[#This Row],[Сумма в руб]]-Таблица2[[#This Row],[Оплата от клиента]]</f>
        <v>-6.1855651438236237E-4</v>
      </c>
      <c r="S644" s="32">
        <v>44819</v>
      </c>
      <c r="T644" s="32" t="s">
        <v>382</v>
      </c>
      <c r="U644" s="24" t="s">
        <v>31</v>
      </c>
      <c r="V644" s="2">
        <v>8.6615000000000002</v>
      </c>
      <c r="W644" s="28"/>
      <c r="X644" s="9"/>
      <c r="Y644" s="16">
        <v>129970.8</v>
      </c>
      <c r="Z644" s="10">
        <v>44824</v>
      </c>
      <c r="AA644" s="26">
        <f>Таблица2[[#This Row],[Сумма перевода Долл/Евро]]*Таблица2[[#This Row],[Курс ДОЛЛ перевод]]+Таблица2[[#This Row],[Сумма за перевод руб]]</f>
        <v>35736.298781443387</v>
      </c>
      <c r="AB64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44" s="9"/>
      <c r="AD644" s="41"/>
    </row>
    <row r="645" spans="1:30" x14ac:dyDescent="0.25">
      <c r="A645" s="6">
        <v>44819</v>
      </c>
      <c r="B645" s="38" t="s">
        <v>246</v>
      </c>
      <c r="C645" s="38" t="s">
        <v>913</v>
      </c>
      <c r="D645" s="1"/>
      <c r="E645" s="1"/>
      <c r="F645" s="3">
        <v>49551</v>
      </c>
      <c r="G645" s="5"/>
      <c r="H645" s="2">
        <v>8.89</v>
      </c>
      <c r="I645" s="2"/>
      <c r="J645" s="2">
        <v>0.97</v>
      </c>
      <c r="K645" s="2"/>
      <c r="L645" s="2"/>
      <c r="M645" s="26">
        <f>Таблица2[[#This Row],[Сумма ЮА]]*Таблица2[[#This Row],[Курс ЮА]]</f>
        <v>440508.39</v>
      </c>
      <c r="N645" s="24">
        <f>Таблица2[[#This Row],[Сумма ЮА]]*Таблица2[[#This Row],[Курс ЮА]]/Таблица2[[#This Row],[% за перевод]]</f>
        <v>454132.3608247423</v>
      </c>
      <c r="O64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4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13623.970824742282</v>
      </c>
      <c r="Q645" s="30">
        <v>454132.36</v>
      </c>
      <c r="R645" s="12">
        <f>Таблица2[[#This Row],[Сумма в руб]]-Таблица2[[#This Row],[Оплата от клиента]]</f>
        <v>8.2474231021478772E-4</v>
      </c>
      <c r="S645" s="32">
        <v>44819</v>
      </c>
      <c r="T645" s="32" t="s">
        <v>382</v>
      </c>
      <c r="U645" s="24" t="s">
        <v>31</v>
      </c>
      <c r="V645" s="2">
        <v>8.6494</v>
      </c>
      <c r="W645" s="28"/>
      <c r="X645" s="9"/>
      <c r="Y645" s="16">
        <v>49551</v>
      </c>
      <c r="Z645" s="10">
        <v>44820</v>
      </c>
      <c r="AA645" s="26">
        <f>Таблица2[[#This Row],[Сумма перевода Долл/Евро]]*Таблица2[[#This Row],[Курс ДОЛЛ перевод]]+Таблица2[[#This Row],[Сумма за перевод руб]]</f>
        <v>13623.970824742282</v>
      </c>
      <c r="AB64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45" s="9"/>
      <c r="AD645" s="41"/>
    </row>
    <row r="646" spans="1:30" x14ac:dyDescent="0.25">
      <c r="A646" s="6">
        <v>44819</v>
      </c>
      <c r="B646" s="38" t="s">
        <v>452</v>
      </c>
      <c r="C646" s="38" t="s">
        <v>447</v>
      </c>
      <c r="D646" s="1" t="s">
        <v>914</v>
      </c>
      <c r="E646" s="1"/>
      <c r="F646" s="3"/>
      <c r="G646" s="5"/>
      <c r="H646" s="2"/>
      <c r="I646" s="2"/>
      <c r="J646" s="2"/>
      <c r="K646" s="2"/>
      <c r="L646" s="2"/>
      <c r="M646" s="26">
        <f>Таблица2[[#This Row],[Сумма Долл]]*Таблица2[[#This Row],[Курс ДОЛЛ]]</f>
        <v>0</v>
      </c>
      <c r="N646" s="24">
        <v>8454.6200000000008</v>
      </c>
      <c r="O64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64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646" s="30">
        <v>8454.6200000000008</v>
      </c>
      <c r="R646" s="12">
        <f>Таблица2[[#This Row],[Сумма в руб]]-Таблица2[[#This Row],[Оплата от клиента]]</f>
        <v>0</v>
      </c>
      <c r="S646" s="32">
        <v>44826</v>
      </c>
      <c r="T646" s="32" t="s">
        <v>720</v>
      </c>
      <c r="U646" s="24" t="s">
        <v>375</v>
      </c>
      <c r="V646" s="2"/>
      <c r="W646" s="28">
        <v>60.589599999999997</v>
      </c>
      <c r="X646" s="9">
        <v>130.82</v>
      </c>
      <c r="Y646" s="16"/>
      <c r="Z646" s="2"/>
      <c r="AA646" s="26">
        <f>Таблица2[[#This Row],[Сумма перевода Долл/Евро]]*Таблица2[[#This Row],[Курс ДОЛЛ перевод]]+Таблица2[[#This Row],[Сумма за перевод руб]]</f>
        <v>7926.3314719999989</v>
      </c>
      <c r="AB64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-130.82</v>
      </c>
      <c r="AC646" s="9"/>
      <c r="AD646" s="41"/>
    </row>
    <row r="647" spans="1:30" x14ac:dyDescent="0.25">
      <c r="A647" s="6">
        <v>44820</v>
      </c>
      <c r="B647" s="2" t="s">
        <v>915</v>
      </c>
      <c r="C647" s="2" t="s">
        <v>553</v>
      </c>
      <c r="D647" s="1" t="s">
        <v>916</v>
      </c>
      <c r="E647" s="1"/>
      <c r="F647" s="3"/>
      <c r="G647" s="5">
        <v>2550</v>
      </c>
      <c r="H647" s="2"/>
      <c r="I647" s="2">
        <v>61.14</v>
      </c>
      <c r="J647" s="2">
        <v>0.99</v>
      </c>
      <c r="K647" s="2"/>
      <c r="L647" s="2"/>
      <c r="M647" s="26">
        <f>Таблица2[[#This Row],[Сумма Долл]]*Таблица2[[#This Row],[Курс ДОЛЛ]]</f>
        <v>155907</v>
      </c>
      <c r="N64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157481.81818181818</v>
      </c>
      <c r="O64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2561.4372319976342</v>
      </c>
      <c r="P64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1574.8181818181765</v>
      </c>
      <c r="Q647" s="30">
        <v>157481.82</v>
      </c>
      <c r="R647" s="12">
        <f>Таблица2[[#This Row],[Сумма в руб]]-Таблица2[[#This Row],[Оплата от клиента]]</f>
        <v>-1.818181830458343E-3</v>
      </c>
      <c r="S647" s="32">
        <v>44820</v>
      </c>
      <c r="T647" s="32" t="s">
        <v>130</v>
      </c>
      <c r="U647" s="24" t="s">
        <v>31</v>
      </c>
      <c r="V647" s="2"/>
      <c r="W647" s="28">
        <v>60.866999999999997</v>
      </c>
      <c r="X647" s="9">
        <v>2550</v>
      </c>
      <c r="Y647" s="16"/>
      <c r="Z647" s="10">
        <v>44820</v>
      </c>
      <c r="AA647" s="26">
        <f>Таблица2[[#This Row],[Сумма перевода Долл/Евро]]*Таблица2[[#This Row],[Курс ДОЛЛ перевод]]+Таблица2[[#This Row],[Сумма за перевод руб]]</f>
        <v>156785.66818181818</v>
      </c>
      <c r="AB64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11.437231997634171</v>
      </c>
      <c r="AC647" s="9" t="s">
        <v>1170</v>
      </c>
      <c r="AD647" s="41"/>
    </row>
    <row r="648" spans="1:30" ht="45" x14ac:dyDescent="0.25">
      <c r="A648" s="6">
        <v>44820</v>
      </c>
      <c r="B648" s="38" t="s">
        <v>32</v>
      </c>
      <c r="C648" s="38" t="s">
        <v>33</v>
      </c>
      <c r="D648" s="1" t="s">
        <v>917</v>
      </c>
      <c r="E648" s="1"/>
      <c r="F648" s="3"/>
      <c r="G648" s="5"/>
      <c r="H648" s="2"/>
      <c r="I648" s="2"/>
      <c r="J648" s="2"/>
      <c r="K648" s="2"/>
      <c r="L648" s="2"/>
      <c r="M648" s="26">
        <f>Таблица2[[#This Row],[Сумма Долл]]*Таблица2[[#This Row],[Курс ДОЛЛ]]</f>
        <v>0</v>
      </c>
      <c r="N648" s="24">
        <v>3000000</v>
      </c>
      <c r="O64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48" s="12">
        <f>Таблица2[[#This Row],[Сумма в руб]]*0.1</f>
        <v>300000</v>
      </c>
      <c r="Q648" s="30">
        <v>3000000</v>
      </c>
      <c r="R648" s="12">
        <f>Таблица2[[#This Row],[Сумма в руб]]-Таблица2[[#This Row],[Оплата от клиента]]</f>
        <v>0</v>
      </c>
      <c r="S648" s="32">
        <v>44823</v>
      </c>
      <c r="T648" s="32" t="s">
        <v>382</v>
      </c>
      <c r="U648" s="24" t="s">
        <v>31</v>
      </c>
      <c r="V648" s="2">
        <v>8.6889000000000003</v>
      </c>
      <c r="W648" s="28"/>
      <c r="X648" s="9"/>
      <c r="Y648" s="16">
        <v>334910.05</v>
      </c>
      <c r="Z648" s="10">
        <v>44824</v>
      </c>
      <c r="AA648" s="26">
        <f>Таблица2[[#This Row],[Сумма перевода Долл/Евро]]*Таблица2[[#This Row],[Курс ДОЛЛ перевод]]+Таблица2[[#This Row],[Сумма за перевод руб]]</f>
        <v>300000</v>
      </c>
      <c r="AB64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48" s="9"/>
      <c r="AD648" s="41" t="s">
        <v>921</v>
      </c>
    </row>
    <row r="649" spans="1:30" x14ac:dyDescent="0.25">
      <c r="A649" s="6">
        <v>44820</v>
      </c>
      <c r="B649" s="38" t="s">
        <v>32</v>
      </c>
      <c r="C649" s="38" t="s">
        <v>33</v>
      </c>
      <c r="D649" s="1" t="s">
        <v>757</v>
      </c>
      <c r="E649" s="1"/>
      <c r="F649" s="3">
        <v>229432.35</v>
      </c>
      <c r="G649" s="5"/>
      <c r="H649" s="2">
        <v>8.76</v>
      </c>
      <c r="I649" s="2"/>
      <c r="J649" s="2">
        <v>0.97</v>
      </c>
      <c r="K649" s="2"/>
      <c r="L649" s="2"/>
      <c r="M649" s="26">
        <f>Таблица2[[#This Row],[Сумма ЮА]]*Таблица2[[#This Row],[Курс ЮА]]</f>
        <v>2009827.3859999999</v>
      </c>
      <c r="N649" s="24">
        <f>Таблица2[[#This Row],[Сумма ЮА]]*Таблица2[[#This Row],[Курс ЮА]]/Таблица2[[#This Row],[% за перевод]]</f>
        <v>2071986.9958762887</v>
      </c>
      <c r="O64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4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62159.6098762888</v>
      </c>
      <c r="Q649" s="30">
        <v>2071987</v>
      </c>
      <c r="R649" s="12">
        <f>Таблица2[[#This Row],[Сумма в руб]]-Таблица2[[#This Row],[Оплата от клиента]]</f>
        <v>-4.123711260035634E-3</v>
      </c>
      <c r="S649" s="32">
        <v>44824</v>
      </c>
      <c r="T649" s="32" t="s">
        <v>382</v>
      </c>
      <c r="U649" s="24" t="s">
        <v>31</v>
      </c>
      <c r="V649" s="2">
        <v>8.6837999999999997</v>
      </c>
      <c r="W649" s="28"/>
      <c r="X649" s="9"/>
      <c r="Y649" s="16">
        <v>229432.35</v>
      </c>
      <c r="Z649" s="2"/>
      <c r="AA649" s="26">
        <f>Таблица2[[#This Row],[Сумма перевода Долл/Евро]]*Таблица2[[#This Row],[Курс ДОЛЛ перевод]]+Таблица2[[#This Row],[Сумма за перевод руб]]</f>
        <v>62159.6098762888</v>
      </c>
      <c r="AB64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49" s="9"/>
      <c r="AD649" s="41"/>
    </row>
    <row r="650" spans="1:30" x14ac:dyDescent="0.25">
      <c r="A650" s="6">
        <v>44823</v>
      </c>
      <c r="B650" s="2" t="s">
        <v>126</v>
      </c>
      <c r="C650" s="2" t="s">
        <v>52</v>
      </c>
      <c r="D650" s="1" t="s">
        <v>854</v>
      </c>
      <c r="E650" s="1"/>
      <c r="F650" s="3"/>
      <c r="G650" s="5">
        <v>5000</v>
      </c>
      <c r="H650" s="2"/>
      <c r="I650" s="2">
        <v>61.12</v>
      </c>
      <c r="J650" s="2">
        <v>0.97</v>
      </c>
      <c r="K650" s="2"/>
      <c r="L650" s="2"/>
      <c r="M650" s="26">
        <f>Таблица2[[#This Row],[Сумма Долл]]*Таблица2[[#This Row],[Курс ДОЛЛ]]</f>
        <v>305600</v>
      </c>
      <c r="N65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315051.54639175261</v>
      </c>
      <c r="O65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5018.9607006837023</v>
      </c>
      <c r="P65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9451.5463917526067</v>
      </c>
      <c r="Q650" s="30">
        <v>315051.55</v>
      </c>
      <c r="R650" s="12">
        <f>Таблица2[[#This Row],[Сумма в руб]]-Таблица2[[#This Row],[Оплата от клиента]]</f>
        <v>-3.6082473816350102E-3</v>
      </c>
      <c r="S650" s="32">
        <v>44823</v>
      </c>
      <c r="T650" s="32" t="s">
        <v>130</v>
      </c>
      <c r="U650" s="24" t="s">
        <v>31</v>
      </c>
      <c r="V650" s="2"/>
      <c r="W650" s="28">
        <v>60.889099999999999</v>
      </c>
      <c r="X650" s="9">
        <v>5000</v>
      </c>
      <c r="Y650" s="16"/>
      <c r="Z650" s="10">
        <v>44823</v>
      </c>
      <c r="AA650" s="26">
        <f>Таблица2[[#This Row],[Сумма перевода Долл/Евро]]*Таблица2[[#This Row],[Курс ДОЛЛ перевод]]+Таблица2[[#This Row],[Сумма за перевод руб]]</f>
        <v>313897.04639175261</v>
      </c>
      <c r="AB65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18.960700683702271</v>
      </c>
      <c r="AC650" s="9"/>
      <c r="AD650" s="41"/>
    </row>
    <row r="651" spans="1:30" ht="45" x14ac:dyDescent="0.25">
      <c r="A651" s="6">
        <v>44823</v>
      </c>
      <c r="B651" s="38" t="s">
        <v>726</v>
      </c>
      <c r="C651" s="38" t="s">
        <v>203</v>
      </c>
      <c r="D651" s="1" t="s">
        <v>918</v>
      </c>
      <c r="E651" s="1"/>
      <c r="F651" s="3">
        <v>898</v>
      </c>
      <c r="G651" s="5"/>
      <c r="H651" s="2">
        <v>8.77</v>
      </c>
      <c r="I651" s="2"/>
      <c r="J651" s="2">
        <v>0.9</v>
      </c>
      <c r="K651" s="2"/>
      <c r="L651" s="2"/>
      <c r="M651" s="26">
        <f>Таблица2[[#This Row],[Сумма ЮА]]*Таблица2[[#This Row],[Курс ЮА]]</f>
        <v>7875.46</v>
      </c>
      <c r="N651" s="24">
        <f>Таблица2[[#This Row],[Сумма ЮА]]*Таблица2[[#This Row],[Курс ЮА]]/Таблица2[[#This Row],[% за перевод]]</f>
        <v>8750.5111111111109</v>
      </c>
      <c r="O65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129.31874757798082</v>
      </c>
      <c r="P65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875.05111111111091</v>
      </c>
      <c r="Q651" s="30">
        <v>8750.51</v>
      </c>
      <c r="R651" s="12">
        <f>Таблица2[[#This Row],[Сумма в руб]]-Таблица2[[#This Row],[Оплата от клиента]]</f>
        <v>1.1111111107311444E-3</v>
      </c>
      <c r="S651" s="32">
        <v>44824</v>
      </c>
      <c r="T651" s="32" t="s">
        <v>720</v>
      </c>
      <c r="U651" s="24" t="s">
        <v>31</v>
      </c>
      <c r="V651" s="2">
        <v>6.9637000000000002</v>
      </c>
      <c r="W651" s="28">
        <v>60.8996</v>
      </c>
      <c r="X651" s="9">
        <v>134.69999999999999</v>
      </c>
      <c r="Y651" s="16">
        <v>898</v>
      </c>
      <c r="Z651" s="10">
        <v>44839</v>
      </c>
      <c r="AA651" s="26">
        <f>Таблица2[[#This Row],[Сумма перевода Долл/Евро]]*Таблица2[[#This Row],[Курс ДОЛЛ перевод]]+Таблица2[[#This Row],[Сумма за перевод руб]]</f>
        <v>9078.2272311111119</v>
      </c>
      <c r="AB65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0.3643124357432157</v>
      </c>
      <c r="AC651" s="9"/>
      <c r="AD651" s="41"/>
    </row>
    <row r="652" spans="1:30" ht="45" x14ac:dyDescent="0.25">
      <c r="A652" s="6">
        <v>44823</v>
      </c>
      <c r="B652" s="38" t="s">
        <v>919</v>
      </c>
      <c r="C652" s="38" t="s">
        <v>680</v>
      </c>
      <c r="D652" s="1" t="s">
        <v>920</v>
      </c>
      <c r="E652" s="1"/>
      <c r="F652" s="3">
        <v>78624</v>
      </c>
      <c r="G652" s="5"/>
      <c r="H652" s="2">
        <v>8.77</v>
      </c>
      <c r="I652" s="2"/>
      <c r="J652" s="2">
        <v>0.99</v>
      </c>
      <c r="K652" s="2"/>
      <c r="L652" s="2"/>
      <c r="M652" s="26">
        <f>Таблица2[[#This Row],[Сумма ЮА]]*Таблица2[[#This Row],[Курс ЮА]]</f>
        <v>689532.48</v>
      </c>
      <c r="N652" s="24">
        <f>Таблица2[[#This Row],[Сумма ЮА]]*Таблица2[[#This Row],[Курс ЮА]]/Таблица2[[#This Row],[% за перевод]]</f>
        <v>696497.45454545459</v>
      </c>
      <c r="O65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5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6964.9745454546064</v>
      </c>
      <c r="Q652" s="30">
        <v>696497.45</v>
      </c>
      <c r="R652" s="12">
        <f>Таблица2[[#This Row],[Сумма в руб]]-Таблица2[[#This Row],[Оплата от клиента]]</f>
        <v>4.5454546343535185E-3</v>
      </c>
      <c r="S652" s="32">
        <v>44823</v>
      </c>
      <c r="T652" s="32" t="s">
        <v>382</v>
      </c>
      <c r="U652" s="24" t="s">
        <v>31</v>
      </c>
      <c r="V652" s="2">
        <v>8.0630000000000006</v>
      </c>
      <c r="W652" s="28"/>
      <c r="X652" s="9"/>
      <c r="Y652" s="16">
        <v>78624</v>
      </c>
      <c r="Z652" s="10">
        <v>44833</v>
      </c>
      <c r="AA652" s="26">
        <f>Таблица2[[#This Row],[Сумма перевода Долл/Евро]]*Таблица2[[#This Row],[Курс ДОЛЛ перевод]]+Таблица2[[#This Row],[Сумма за перевод руб]]</f>
        <v>6964.9745454546064</v>
      </c>
      <c r="AB65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52" s="9"/>
      <c r="AD652" s="41"/>
    </row>
    <row r="653" spans="1:30" x14ac:dyDescent="0.25">
      <c r="A653" s="6">
        <v>44823</v>
      </c>
      <c r="B653" s="38" t="s">
        <v>873</v>
      </c>
      <c r="C653" s="38" t="s">
        <v>874</v>
      </c>
      <c r="D653" s="63" t="s">
        <v>875</v>
      </c>
      <c r="E653" s="1"/>
      <c r="F653" s="3">
        <v>20428.8</v>
      </c>
      <c r="G653" s="5"/>
      <c r="H653" s="2">
        <v>8.76</v>
      </c>
      <c r="I653" s="2"/>
      <c r="J653" s="2">
        <v>0.9</v>
      </c>
      <c r="K653" s="2"/>
      <c r="L653" s="2"/>
      <c r="M653" s="26">
        <f>Таблица2[[#This Row],[Сумма ЮА]]*Таблица2[[#This Row],[Курс ЮА]]</f>
        <v>178956.288</v>
      </c>
      <c r="N653" s="24">
        <f>Таблица2[[#This Row],[Сумма ЮА]]*Таблица2[[#This Row],[Курс ЮА]]/Таблица2[[#This Row],[% за перевод]]</f>
        <v>198840.32000000001</v>
      </c>
      <c r="O65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5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19884.032000000007</v>
      </c>
      <c r="Q653" s="30">
        <v>198840.32000000001</v>
      </c>
      <c r="R653" s="12">
        <f>Таблица2[[#This Row],[Сумма в руб]]-Таблица2[[#This Row],[Оплата от клиента]]</f>
        <v>0</v>
      </c>
      <c r="S653" s="32">
        <v>44825</v>
      </c>
      <c r="T653" s="32" t="s">
        <v>382</v>
      </c>
      <c r="U653" s="24" t="s">
        <v>31</v>
      </c>
      <c r="V653" s="2">
        <v>8.0630000000000006</v>
      </c>
      <c r="W653" s="28"/>
      <c r="X653" s="9"/>
      <c r="Y653" s="16">
        <v>20428.8</v>
      </c>
      <c r="Z653" s="10">
        <v>44833</v>
      </c>
      <c r="AA653" s="26">
        <f>Таблица2[[#This Row],[Сумма перевода Долл/Евро]]*Таблица2[[#This Row],[Курс ДОЛЛ перевод]]+Таблица2[[#This Row],[Сумма за перевод руб]]</f>
        <v>19884.032000000007</v>
      </c>
      <c r="AB65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53" s="9"/>
      <c r="AD653" s="41" t="s">
        <v>928</v>
      </c>
    </row>
    <row r="654" spans="1:30" x14ac:dyDescent="0.25">
      <c r="A654" s="6">
        <v>44825</v>
      </c>
      <c r="B654" s="2" t="s">
        <v>35</v>
      </c>
      <c r="C654" s="2" t="s">
        <v>36</v>
      </c>
      <c r="D654" s="1" t="s">
        <v>907</v>
      </c>
      <c r="E654" s="1"/>
      <c r="F654" s="3"/>
      <c r="G654" s="5">
        <v>1436.4</v>
      </c>
      <c r="H654" s="2"/>
      <c r="I654" s="2">
        <v>61.57</v>
      </c>
      <c r="J654" s="2">
        <v>0.97</v>
      </c>
      <c r="K654" s="2"/>
      <c r="L654" s="2"/>
      <c r="M654" s="26">
        <f>Таблица2[[#This Row],[Сумма Долл]]*Таблица2[[#This Row],[Курс ДОЛЛ]]</f>
        <v>88439.148000000001</v>
      </c>
      <c r="N65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91174.379381443301</v>
      </c>
      <c r="O65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1418.462451442374</v>
      </c>
      <c r="P65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2735.2313814433001</v>
      </c>
      <c r="Q654" s="30">
        <v>91174.38</v>
      </c>
      <c r="R654" s="12">
        <f>Таблица2[[#This Row],[Сумма в руб]]-Таблица2[[#This Row],[Оплата от клиента]]</f>
        <v>-6.1855670355726033E-4</v>
      </c>
      <c r="S654" s="32">
        <v>44825</v>
      </c>
      <c r="T654" s="32" t="s">
        <v>130</v>
      </c>
      <c r="U654" s="24" t="s">
        <v>31</v>
      </c>
      <c r="V654" s="2"/>
      <c r="W654" s="28">
        <v>62.348599999999998</v>
      </c>
      <c r="X654" s="9">
        <v>1436.4</v>
      </c>
      <c r="Y654" s="16"/>
      <c r="Z654" s="10">
        <v>44826</v>
      </c>
      <c r="AA654" s="26">
        <f>Таблица2[[#This Row],[Сумма перевода Долл/Евро]]*Таблица2[[#This Row],[Курс ДОЛЛ перевод]]+Таблица2[[#This Row],[Сумма за перевод руб]]</f>
        <v>92292.760421443309</v>
      </c>
      <c r="AB65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-17.937548557626087</v>
      </c>
      <c r="AC654" s="9"/>
      <c r="AD654" s="41"/>
    </row>
    <row r="655" spans="1:30" ht="45" x14ac:dyDescent="0.25">
      <c r="A655" s="6">
        <v>44825</v>
      </c>
      <c r="B655" s="2" t="s">
        <v>535</v>
      </c>
      <c r="C655" s="2" t="s">
        <v>600</v>
      </c>
      <c r="D655" s="1" t="s">
        <v>865</v>
      </c>
      <c r="E655" s="1"/>
      <c r="F655" s="3"/>
      <c r="G655" s="5">
        <v>31923</v>
      </c>
      <c r="H655" s="2"/>
      <c r="I655" s="2">
        <v>61.57</v>
      </c>
      <c r="J655" s="2">
        <v>0.97</v>
      </c>
      <c r="K655" s="2"/>
      <c r="L655" s="2"/>
      <c r="M655" s="26">
        <f>Таблица2[[#This Row],[Сумма Долл]]*Таблица2[[#This Row],[Курс ДОЛЛ]]</f>
        <v>1965499.11</v>
      </c>
      <c r="N65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2026287.7422680415</v>
      </c>
      <c r="O65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32031.210032267529</v>
      </c>
      <c r="P65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60788.632268041372</v>
      </c>
      <c r="Q655" s="30">
        <v>2026287.74</v>
      </c>
      <c r="R655" s="12">
        <f>Таблица2[[#This Row],[Сумма в руб]]-Таблица2[[#This Row],[Оплата от клиента]]</f>
        <v>2.2680414840579033E-3</v>
      </c>
      <c r="S655" s="32">
        <v>44825</v>
      </c>
      <c r="T655" s="32" t="s">
        <v>130</v>
      </c>
      <c r="U655" s="24" t="s">
        <v>31</v>
      </c>
      <c r="V655" s="2"/>
      <c r="W655" s="28">
        <v>61.362000000000002</v>
      </c>
      <c r="X655" s="9">
        <v>31923</v>
      </c>
      <c r="Y655" s="16"/>
      <c r="Z655" s="10">
        <v>44825</v>
      </c>
      <c r="AA655" s="26">
        <f>Таблица2[[#This Row],[Сумма перевода Долл/Евро]]*Таблица2[[#This Row],[Курс ДОЛЛ перевод]]+Таблица2[[#This Row],[Сумма за перевод руб]]</f>
        <v>2019647.7582680415</v>
      </c>
      <c r="AB65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108.21003226752873</v>
      </c>
      <c r="AC655" s="9"/>
      <c r="AD655" s="41"/>
    </row>
    <row r="656" spans="1:30" ht="30" x14ac:dyDescent="0.25">
      <c r="A656" s="6">
        <v>44825</v>
      </c>
      <c r="B656" s="38" t="s">
        <v>762</v>
      </c>
      <c r="C656" s="38" t="s">
        <v>816</v>
      </c>
      <c r="D656" s="1" t="s">
        <v>729</v>
      </c>
      <c r="E656" s="1"/>
      <c r="F656" s="3"/>
      <c r="G656" s="5">
        <v>3500</v>
      </c>
      <c r="H656" s="2"/>
      <c r="I656" s="2">
        <v>61.77</v>
      </c>
      <c r="J656" s="2">
        <v>0.99</v>
      </c>
      <c r="K656" s="2"/>
      <c r="L656" s="2"/>
      <c r="M656" s="26">
        <f>Таблица2[[#This Row],[Сумма Долл]]*Таблица2[[#This Row],[Курс ДОЛЛ]]</f>
        <v>216195</v>
      </c>
      <c r="N65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218378.78787878787</v>
      </c>
      <c r="O65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3500</v>
      </c>
      <c r="P65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2183.7878787878726</v>
      </c>
      <c r="Q656" s="30">
        <v>218378.79</v>
      </c>
      <c r="R656" s="12">
        <f>Таблица2[[#This Row],[Сумма в руб]]-Таблица2[[#This Row],[Оплата от клиента]]</f>
        <v>-2.1212121355347335E-3</v>
      </c>
      <c r="S656" s="32">
        <v>44827</v>
      </c>
      <c r="T656" s="32" t="s">
        <v>107</v>
      </c>
      <c r="U656" s="24" t="s">
        <v>31</v>
      </c>
      <c r="V656" s="2">
        <v>8.1915999999999993</v>
      </c>
      <c r="W656" s="28"/>
      <c r="X656" s="9"/>
      <c r="Y656" s="16">
        <v>19619</v>
      </c>
      <c r="Z656" s="10">
        <v>44830</v>
      </c>
      <c r="AA656" s="26">
        <f>Таблица2[[#This Row],[Сумма перевода Долл/Евро]]*Таблица2[[#This Row],[Курс ДОЛЛ перевод]]+Таблица2[[#This Row],[Сумма за перевод руб]]</f>
        <v>2183.7878787878726</v>
      </c>
      <c r="AB65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1104.9855949997554</v>
      </c>
      <c r="AC656" s="9" t="s">
        <v>996</v>
      </c>
      <c r="AD656" s="41" t="s">
        <v>923</v>
      </c>
    </row>
    <row r="657" spans="1:30" ht="30" x14ac:dyDescent="0.25">
      <c r="A657" s="6">
        <v>44826</v>
      </c>
      <c r="B657" s="38" t="s">
        <v>57</v>
      </c>
      <c r="C657" s="38" t="s">
        <v>1005</v>
      </c>
      <c r="D657" s="65" t="s">
        <v>183</v>
      </c>
      <c r="E657" s="1"/>
      <c r="F657" s="3">
        <v>69885.3</v>
      </c>
      <c r="G657" s="5"/>
      <c r="H657" s="2">
        <v>8.77</v>
      </c>
      <c r="I657" s="2"/>
      <c r="J657" s="2">
        <v>0.97</v>
      </c>
      <c r="K657" s="2"/>
      <c r="L657" s="2"/>
      <c r="M657" s="26">
        <f>Таблица2[[#This Row],[Сумма ЮА]]*Таблица2[[#This Row],[Курс ЮА]]</f>
        <v>612894.08100000001</v>
      </c>
      <c r="N657" s="24">
        <f>Таблица2[[#This Row],[Сумма ЮА]]*Таблица2[[#This Row],[Курс ЮА]]/Таблица2[[#This Row],[% за перевод]]</f>
        <v>631849.56804123719</v>
      </c>
      <c r="O65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5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18955.487041237182</v>
      </c>
      <c r="Q657" s="30">
        <v>631849.56999999995</v>
      </c>
      <c r="R657" s="12">
        <f>Таблица2[[#This Row],[Сумма в руб]]-Таблица2[[#This Row],[Оплата от клиента]]</f>
        <v>-1.9587627612054348E-3</v>
      </c>
      <c r="S657" s="32">
        <v>44826</v>
      </c>
      <c r="T657" s="32" t="s">
        <v>382</v>
      </c>
      <c r="U657" s="24" t="s">
        <v>31</v>
      </c>
      <c r="V657" s="2">
        <v>8.4812999999999992</v>
      </c>
      <c r="W657" s="28"/>
      <c r="X657" s="9"/>
      <c r="Y657" s="16">
        <v>69885.3</v>
      </c>
      <c r="Z657" s="10">
        <v>44826</v>
      </c>
      <c r="AA657" s="26">
        <f>Таблица2[[#This Row],[Сумма перевода Долл/Евро]]*Таблица2[[#This Row],[Курс ДОЛЛ перевод]]+Таблица2[[#This Row],[Сумма за перевод руб]]</f>
        <v>18955.487041237182</v>
      </c>
      <c r="AB65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57" s="9" t="s">
        <v>1042</v>
      </c>
      <c r="AD657" s="41"/>
    </row>
    <row r="658" spans="1:30" ht="30" x14ac:dyDescent="0.25">
      <c r="A658" s="6">
        <v>44827</v>
      </c>
      <c r="B658" s="38" t="s">
        <v>847</v>
      </c>
      <c r="C658" s="38" t="s">
        <v>848</v>
      </c>
      <c r="D658" s="65" t="s">
        <v>926</v>
      </c>
      <c r="E658" s="1"/>
      <c r="F658" s="3">
        <v>69900</v>
      </c>
      <c r="G658" s="5"/>
      <c r="H658" s="2">
        <v>8.5299999999999994</v>
      </c>
      <c r="I658" s="2"/>
      <c r="J658" s="2">
        <v>0.995</v>
      </c>
      <c r="K658" s="2"/>
      <c r="L658" s="2"/>
      <c r="M658" s="26">
        <f>Таблица2[[#This Row],[Сумма ЮА]]*Таблица2[[#This Row],[Курс ЮА]]</f>
        <v>596247</v>
      </c>
      <c r="N658" s="24">
        <f>Таблица2[[#This Row],[Сумма ЮА]]*Таблица2[[#This Row],[Курс ЮА]]/Таблица2[[#This Row],[% за перевод]]</f>
        <v>599243.21608040202</v>
      </c>
      <c r="O65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5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2996.2160804020241</v>
      </c>
      <c r="Q658" s="30">
        <v>599243.22</v>
      </c>
      <c r="R658" s="12">
        <f>Таблица2[[#This Row],[Сумма в руб]]-Таблица2[[#This Row],[Оплата от клиента]]</f>
        <v>-3.9195979479700327E-3</v>
      </c>
      <c r="S658" s="32">
        <v>44827</v>
      </c>
      <c r="T658" s="32" t="s">
        <v>382</v>
      </c>
      <c r="U658" s="24" t="s">
        <v>31</v>
      </c>
      <c r="V658" s="2">
        <v>8.2017000000000007</v>
      </c>
      <c r="W658" s="28"/>
      <c r="X658" s="9"/>
      <c r="Y658" s="16">
        <v>69900</v>
      </c>
      <c r="Z658" s="10">
        <v>44830</v>
      </c>
      <c r="AA658" s="26">
        <f>Таблица2[[#This Row],[Сумма перевода Долл/Евро]]*Таблица2[[#This Row],[Курс ДОЛЛ перевод]]+Таблица2[[#This Row],[Сумма за перевод руб]]</f>
        <v>2996.2160804020241</v>
      </c>
      <c r="AB65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58" s="9"/>
      <c r="AD658" s="41"/>
    </row>
    <row r="659" spans="1:30" ht="75" x14ac:dyDescent="0.25">
      <c r="A659" s="6">
        <v>44827</v>
      </c>
      <c r="B659" s="38" t="s">
        <v>919</v>
      </c>
      <c r="C659" s="38" t="s">
        <v>680</v>
      </c>
      <c r="D659" s="1" t="s">
        <v>925</v>
      </c>
      <c r="E659" s="1"/>
      <c r="F659" s="3">
        <v>74150</v>
      </c>
      <c r="G659" s="5"/>
      <c r="H659" s="2">
        <v>8.5299999999999994</v>
      </c>
      <c r="I659" s="2"/>
      <c r="J659" s="2">
        <v>0.97</v>
      </c>
      <c r="K659" s="2"/>
      <c r="L659" s="2"/>
      <c r="M659" s="26">
        <f>Таблица2[[#This Row],[Сумма ЮА]]*Таблица2[[#This Row],[Курс ЮА]]</f>
        <v>632499.5</v>
      </c>
      <c r="N659" s="24">
        <f>Таблица2[[#This Row],[Сумма ЮА]]*Таблица2[[#This Row],[Курс ЮА]]/Таблица2[[#This Row],[% за перевод]]</f>
        <v>652061.34020618559</v>
      </c>
      <c r="O65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5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19561.840206185589</v>
      </c>
      <c r="Q659" s="30">
        <v>652061.34</v>
      </c>
      <c r="R659" s="12">
        <f>Таблица2[[#This Row],[Сумма в руб]]-Таблица2[[#This Row],[Оплата от клиента]]</f>
        <v>2.0618562120944262E-4</v>
      </c>
      <c r="S659" s="32">
        <v>44862</v>
      </c>
      <c r="T659" s="32" t="s">
        <v>382</v>
      </c>
      <c r="U659" s="24" t="s">
        <v>31</v>
      </c>
      <c r="V659" s="2">
        <v>8.5381</v>
      </c>
      <c r="W659" s="28"/>
      <c r="X659" s="9"/>
      <c r="Y659" s="16">
        <v>74150</v>
      </c>
      <c r="Z659" s="10">
        <v>44865</v>
      </c>
      <c r="AA659" s="26">
        <f>Таблица2[[#This Row],[Сумма перевода Долл/Евро]]*Таблица2[[#This Row],[Курс ДОЛЛ перевод]]+Таблица2[[#This Row],[Сумма за перевод руб]]</f>
        <v>19561.840206185589</v>
      </c>
      <c r="AB65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59" s="9"/>
      <c r="AD659" s="41"/>
    </row>
    <row r="660" spans="1:30" ht="45" x14ac:dyDescent="0.25">
      <c r="A660" s="6">
        <v>44827</v>
      </c>
      <c r="B660" s="38" t="s">
        <v>57</v>
      </c>
      <c r="C660" s="38" t="s">
        <v>1005</v>
      </c>
      <c r="D660" s="1" t="s">
        <v>927</v>
      </c>
      <c r="E660" s="1"/>
      <c r="F660" s="3">
        <v>69885.3</v>
      </c>
      <c r="G660" s="5"/>
      <c r="H660" s="2">
        <v>8.5299999999999994</v>
      </c>
      <c r="I660" s="2"/>
      <c r="J660" s="2">
        <v>0.97</v>
      </c>
      <c r="K660" s="2"/>
      <c r="L660" s="2"/>
      <c r="M660" s="26">
        <f>Таблица2[[#This Row],[Сумма ЮА]]*Таблица2[[#This Row],[Курс ЮА]]</f>
        <v>596121.60899999994</v>
      </c>
      <c r="N660" s="24">
        <f>Таблица2[[#This Row],[Сумма ЮА]]*Таблица2[[#This Row],[Курс ЮА]]/Таблица2[[#This Row],[% за перевод]]</f>
        <v>614558.35979381436</v>
      </c>
      <c r="O66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6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18436.750793814426</v>
      </c>
      <c r="Q660" s="30">
        <v>614558.36</v>
      </c>
      <c r="R660" s="12">
        <f>Таблица2[[#This Row],[Сумма в руб]]-Таблица2[[#This Row],[Оплата от клиента]]</f>
        <v>-2.0618562120944262E-4</v>
      </c>
      <c r="S660" s="32">
        <v>44827</v>
      </c>
      <c r="T660" s="32" t="s">
        <v>382</v>
      </c>
      <c r="U660" s="24" t="s">
        <v>31</v>
      </c>
      <c r="V660" s="2">
        <v>8.1997</v>
      </c>
      <c r="W660" s="28"/>
      <c r="X660" s="9"/>
      <c r="Y660" s="16">
        <v>69885.3</v>
      </c>
      <c r="Z660" s="10">
        <v>44827</v>
      </c>
      <c r="AA660" s="26">
        <f>Таблица2[[#This Row],[Сумма перевода Долл/Евро]]*Таблица2[[#This Row],[Курс ДОЛЛ перевод]]+Таблица2[[#This Row],[Сумма за перевод руб]]</f>
        <v>18436.750793814426</v>
      </c>
      <c r="AB66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60" s="9" t="s">
        <v>1042</v>
      </c>
      <c r="AD660" s="41"/>
    </row>
    <row r="661" spans="1:30" x14ac:dyDescent="0.25">
      <c r="A661" s="6">
        <v>44830</v>
      </c>
      <c r="B661" s="38" t="s">
        <v>220</v>
      </c>
      <c r="C661" s="38" t="s">
        <v>221</v>
      </c>
      <c r="D661" s="1"/>
      <c r="E661" s="1"/>
      <c r="F661" s="3">
        <v>10000</v>
      </c>
      <c r="G661" s="5"/>
      <c r="H661" s="2">
        <v>8.2799999999999994</v>
      </c>
      <c r="I661" s="2"/>
      <c r="J661" s="2">
        <v>0.97</v>
      </c>
      <c r="K661" s="2"/>
      <c r="L661" s="2"/>
      <c r="M661" s="26">
        <f>Таблица2[[#This Row],[Сумма ЮА]]*Таблица2[[#This Row],[Курс ЮА]]</f>
        <v>82800</v>
      </c>
      <c r="N661" s="24">
        <f>Таблица2[[#This Row],[Сумма ЮА]]*Таблица2[[#This Row],[Курс ЮА]]/Таблица2[[#This Row],[% за перевод]]</f>
        <v>85360.824742268043</v>
      </c>
      <c r="O66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6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2560.8247422680433</v>
      </c>
      <c r="Q661" s="30">
        <v>85360.82</v>
      </c>
      <c r="R661" s="12">
        <f>Таблица2[[#This Row],[Сумма в руб]]-Таблица2[[#This Row],[Оплата от клиента]]</f>
        <v>4.7422680363524705E-3</v>
      </c>
      <c r="S661" s="32">
        <v>44830</v>
      </c>
      <c r="T661" s="32" t="s">
        <v>107</v>
      </c>
      <c r="U661" s="24" t="s">
        <v>31</v>
      </c>
      <c r="V661" s="2">
        <v>8.0630000000000006</v>
      </c>
      <c r="W661" s="28"/>
      <c r="X661" s="9"/>
      <c r="Y661" s="16">
        <v>10000</v>
      </c>
      <c r="Z661" s="10">
        <v>44834</v>
      </c>
      <c r="AA661" s="26">
        <f>Таблица2[[#This Row],[Сумма перевода Долл/Евро]]*Таблица2[[#This Row],[Курс ДОЛЛ перевод]]+Таблица2[[#This Row],[Сумма за перевод руб]]</f>
        <v>2560.8247422680433</v>
      </c>
      <c r="AB66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61" s="9"/>
      <c r="AD661" s="41"/>
    </row>
    <row r="662" spans="1:30" ht="30" x14ac:dyDescent="0.25">
      <c r="A662" s="6">
        <v>44830</v>
      </c>
      <c r="B662" s="38" t="s">
        <v>804</v>
      </c>
      <c r="C662" s="38" t="s">
        <v>805</v>
      </c>
      <c r="D662" s="1" t="s">
        <v>806</v>
      </c>
      <c r="E662" s="1"/>
      <c r="F662" s="3">
        <v>68365.5</v>
      </c>
      <c r="G662" s="5"/>
      <c r="H662" s="2">
        <v>8.2799999999999994</v>
      </c>
      <c r="I662" s="2"/>
      <c r="J662" s="2">
        <v>0.97</v>
      </c>
      <c r="K662" s="2"/>
      <c r="L662" s="2"/>
      <c r="M662" s="26">
        <f>Таблица2[[#This Row],[Сумма ЮА]]*Таблица2[[#This Row],[Курс ЮА]]</f>
        <v>566066.34</v>
      </c>
      <c r="N662" s="24">
        <f>Таблица2[[#This Row],[Сумма ЮА]]*Таблица2[[#This Row],[Курс ЮА]]/Таблица2[[#This Row],[% за перевод]]</f>
        <v>583573.54639175255</v>
      </c>
      <c r="O66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6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17507.206391752581</v>
      </c>
      <c r="Q662" s="30">
        <v>583573.55000000005</v>
      </c>
      <c r="R662" s="12">
        <f>Таблица2[[#This Row],[Сумма в руб]]-Таблица2[[#This Row],[Оплата от клиента]]</f>
        <v>-3.6082474980503321E-3</v>
      </c>
      <c r="S662" s="32">
        <v>44768</v>
      </c>
      <c r="T662" s="32" t="s">
        <v>107</v>
      </c>
      <c r="U662" s="24" t="s">
        <v>31</v>
      </c>
      <c r="V662" s="2">
        <v>8.2270000000000003</v>
      </c>
      <c r="W662" s="28"/>
      <c r="X662" s="9"/>
      <c r="Y662" s="16">
        <v>68365.5</v>
      </c>
      <c r="Z662" s="10">
        <v>44831</v>
      </c>
      <c r="AA662" s="26">
        <f>Таблица2[[#This Row],[Сумма перевода Долл/Евро]]*Таблица2[[#This Row],[Курс ДОЛЛ перевод]]+Таблица2[[#This Row],[Сумма за перевод руб]]</f>
        <v>17507.206391752581</v>
      </c>
      <c r="AB66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62" s="9"/>
      <c r="AD662" s="41"/>
    </row>
    <row r="663" spans="1:30" ht="45" x14ac:dyDescent="0.25">
      <c r="A663" s="6">
        <v>44830</v>
      </c>
      <c r="B663" s="38" t="s">
        <v>726</v>
      </c>
      <c r="C663" s="38" t="s">
        <v>203</v>
      </c>
      <c r="D663" s="1" t="s">
        <v>929</v>
      </c>
      <c r="E663" s="1"/>
      <c r="F663" s="3">
        <v>3963.87</v>
      </c>
      <c r="G663" s="5"/>
      <c r="H663" s="2">
        <v>8.2799999999999994</v>
      </c>
      <c r="I663" s="2">
        <v>58.69</v>
      </c>
      <c r="J663" s="2"/>
      <c r="K663" s="2">
        <v>80</v>
      </c>
      <c r="L663" s="2"/>
      <c r="M663" s="26">
        <f>Таблица2[[#This Row],[Сумма ЮА]]*Таблица2[[#This Row],[Курс ЮА]]</f>
        <v>32820.8436</v>
      </c>
      <c r="N663" s="24">
        <f>Таблица2[[#This Row],[Сумма ЮА]]*Таблица2[[#This Row],[Курс ЮА]]+Таблица2[[#This Row],[Долл за перевод]]*Таблица2[[#This Row],[Курс ДОЛЛ]]</f>
        <v>37516.043599999997</v>
      </c>
      <c r="O66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559.22377917873575</v>
      </c>
      <c r="P66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4695.2</v>
      </c>
      <c r="Q663" s="30">
        <v>37516.04</v>
      </c>
      <c r="R663" s="12">
        <f>Таблица2[[#This Row],[Сумма в руб]]-Таблица2[[#This Row],[Оплата от клиента]]</f>
        <v>3.599999996367842E-3</v>
      </c>
      <c r="S663" s="32">
        <v>44769</v>
      </c>
      <c r="T663" s="32" t="s">
        <v>107</v>
      </c>
      <c r="U663" s="24" t="s">
        <v>31</v>
      </c>
      <c r="V663" s="2">
        <v>8.2270000000000003</v>
      </c>
      <c r="W663" s="28"/>
      <c r="X663" s="9"/>
      <c r="Y663" s="16">
        <v>3963.87</v>
      </c>
      <c r="Z663" s="10">
        <v>44831</v>
      </c>
      <c r="AA663" s="26">
        <f>Таблица2[[#This Row],[Сумма перевода Долл/Евро]]*Таблица2[[#This Row],[Курс ДОЛЛ перевод]]+Таблица2[[#This Row],[Сумма за перевод руб]]</f>
        <v>4695.2</v>
      </c>
      <c r="AB66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77.411453908284841</v>
      </c>
      <c r="AC663" s="9"/>
      <c r="AD663" s="41"/>
    </row>
    <row r="664" spans="1:30" ht="30" x14ac:dyDescent="0.25">
      <c r="A664" s="6">
        <v>44831</v>
      </c>
      <c r="B664" s="38" t="s">
        <v>173</v>
      </c>
      <c r="C664" s="38" t="s">
        <v>315</v>
      </c>
      <c r="D664" s="1" t="s">
        <v>677</v>
      </c>
      <c r="E664" s="1"/>
      <c r="F664" s="3">
        <v>4100</v>
      </c>
      <c r="G664" s="5"/>
      <c r="H664" s="2">
        <v>8.33</v>
      </c>
      <c r="I664" s="2">
        <v>59.07</v>
      </c>
      <c r="J664" s="2"/>
      <c r="K664" s="2">
        <v>80</v>
      </c>
      <c r="L664" s="2"/>
      <c r="M664" s="26">
        <f>Таблица2[[#This Row],[Сумма ЮА]]*Таблица2[[#This Row],[Курс ЮА]]</f>
        <v>34153</v>
      </c>
      <c r="N664" s="24">
        <f>Таблица2[[#This Row],[Сумма ЮА]]*Таблица2[[#This Row],[Курс ЮА]]+Таблица2[[#This Row],[Долл за перевод]]*Таблица2[[#This Row],[Курс ДОЛЛ]]</f>
        <v>38878.6</v>
      </c>
      <c r="O66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578.17843236837655</v>
      </c>
      <c r="P66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4725.6000000000004</v>
      </c>
      <c r="Q664" s="30">
        <v>38878.6</v>
      </c>
      <c r="R664" s="12">
        <f>Таблица2[[#This Row],[Сумма в руб]]-Таблица2[[#This Row],[Оплата от клиента]]</f>
        <v>0</v>
      </c>
      <c r="S664" s="32">
        <v>44831</v>
      </c>
      <c r="T664" s="32" t="s">
        <v>107</v>
      </c>
      <c r="U664" s="24" t="s">
        <v>751</v>
      </c>
      <c r="V664" s="2">
        <v>8.2574000000000005</v>
      </c>
      <c r="W664" s="28"/>
      <c r="X664" s="9"/>
      <c r="Y664" s="16">
        <v>4100</v>
      </c>
      <c r="Z664" s="10">
        <v>44832</v>
      </c>
      <c r="AA664" s="26">
        <f>Таблица2[[#This Row],[Сумма перевода Долл/Евро]]*Таблица2[[#This Row],[Курс ДОЛЛ перевод]]+Таблица2[[#This Row],[Сумма за перевод руб]]</f>
        <v>4725.6000000000004</v>
      </c>
      <c r="AB66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81.654102676221669</v>
      </c>
      <c r="AC664" s="9"/>
      <c r="AD664" s="41"/>
    </row>
    <row r="665" spans="1:30" ht="45" x14ac:dyDescent="0.25">
      <c r="A665" s="6">
        <v>44832</v>
      </c>
      <c r="B665" s="38" t="s">
        <v>68</v>
      </c>
      <c r="C665" s="38" t="s">
        <v>454</v>
      </c>
      <c r="D665" s="1" t="s">
        <v>864</v>
      </c>
      <c r="E665" s="1"/>
      <c r="F665" s="3">
        <v>18189.099999999999</v>
      </c>
      <c r="G665" s="5"/>
      <c r="H665" s="2">
        <v>8.2899999999999991</v>
      </c>
      <c r="I665" s="2"/>
      <c r="J665" s="2">
        <v>0.97</v>
      </c>
      <c r="K665" s="2"/>
      <c r="L665" s="2"/>
      <c r="M665" s="26">
        <f>Таблица2[[#This Row],[Сумма ЮА]]*Таблица2[[#This Row],[Курс ЮА]]</f>
        <v>150787.63899999997</v>
      </c>
      <c r="N665" s="24">
        <f>Таблица2[[#This Row],[Сумма ЮА]]*Таблица2[[#This Row],[Курс ЮА]]/Таблица2[[#This Row],[% за перевод]]</f>
        <v>155451.17422680408</v>
      </c>
      <c r="O66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6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4663.535226804117</v>
      </c>
      <c r="Q665" s="30">
        <v>155451.17000000001</v>
      </c>
      <c r="R665" s="12">
        <f>Таблица2[[#This Row],[Сумма в руб]]-Таблица2[[#This Row],[Оплата от клиента]]</f>
        <v>4.2268040706403553E-3</v>
      </c>
      <c r="S665" s="32">
        <v>44832</v>
      </c>
      <c r="T665" s="32" t="s">
        <v>107</v>
      </c>
      <c r="U665" s="24" t="s">
        <v>31</v>
      </c>
      <c r="V665" s="2">
        <v>8.1713000000000005</v>
      </c>
      <c r="W665" s="28"/>
      <c r="X665" s="9"/>
      <c r="Y665" s="16">
        <v>18189.099999999999</v>
      </c>
      <c r="Z665" s="10">
        <v>44832</v>
      </c>
      <c r="AA665" s="26">
        <f>Таблица2[[#This Row],[Сумма перевода Долл/Евро]]*Таблица2[[#This Row],[Курс ДОЛЛ перевод]]+Таблица2[[#This Row],[Сумма за перевод руб]]</f>
        <v>4663.535226804117</v>
      </c>
      <c r="AB66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65" s="9"/>
      <c r="AD665" s="41"/>
    </row>
    <row r="666" spans="1:30" ht="30" x14ac:dyDescent="0.25">
      <c r="A666" s="6">
        <v>44832</v>
      </c>
      <c r="B666" s="2" t="s">
        <v>35</v>
      </c>
      <c r="C666" s="2" t="s">
        <v>36</v>
      </c>
      <c r="D666" s="1" t="s">
        <v>843</v>
      </c>
      <c r="E666" s="1"/>
      <c r="F666" s="3"/>
      <c r="G666" s="5">
        <v>1409</v>
      </c>
      <c r="H666" s="2"/>
      <c r="I666" s="2">
        <v>59.43</v>
      </c>
      <c r="J666" s="2"/>
      <c r="K666" s="2">
        <v>80</v>
      </c>
      <c r="L666" s="2"/>
      <c r="M666" s="26">
        <f>Таблица2[[#This Row],[Сумма Долл]]*Таблица2[[#This Row],[Курс ДОЛЛ]]</f>
        <v>83736.87</v>
      </c>
      <c r="N66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88491.27</v>
      </c>
      <c r="O66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1419.820065754335</v>
      </c>
      <c r="P66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4718.1679999999997</v>
      </c>
      <c r="Q666" s="30">
        <v>88491.27</v>
      </c>
      <c r="R666" s="12">
        <f>Таблица2[[#This Row],[Сумма в руб]]-Таблица2[[#This Row],[Оплата от клиента]]</f>
        <v>0</v>
      </c>
      <c r="S666" s="32">
        <v>44832</v>
      </c>
      <c r="T666" s="32" t="s">
        <v>164</v>
      </c>
      <c r="U666" s="24" t="s">
        <v>31</v>
      </c>
      <c r="V666" s="2"/>
      <c r="W666" s="28">
        <v>58.9771</v>
      </c>
      <c r="X666" s="9">
        <v>1409</v>
      </c>
      <c r="Y666" s="16"/>
      <c r="Z666" s="10">
        <v>44832</v>
      </c>
      <c r="AA666" s="26">
        <f>Таблица2[[#This Row],[Сумма перевода Долл/Евро]]*Таблица2[[#This Row],[Курс ДОЛЛ перевод]]+Таблица2[[#This Row],[Сумма за перевод руб]]</f>
        <v>87816.901900000012</v>
      </c>
      <c r="AB66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10.820065754335019</v>
      </c>
      <c r="AC666" s="9"/>
      <c r="AD666" s="41"/>
    </row>
    <row r="667" spans="1:30" x14ac:dyDescent="0.25">
      <c r="A667" s="6">
        <v>44832</v>
      </c>
      <c r="B667" s="2" t="s">
        <v>126</v>
      </c>
      <c r="C667" s="2" t="s">
        <v>52</v>
      </c>
      <c r="D667" s="1" t="s">
        <v>801</v>
      </c>
      <c r="E667" s="1"/>
      <c r="F667" s="3"/>
      <c r="G667" s="5">
        <v>5000</v>
      </c>
      <c r="H667" s="2"/>
      <c r="I667" s="2">
        <v>59.43</v>
      </c>
      <c r="J667" s="2">
        <v>0.97</v>
      </c>
      <c r="K667" s="2"/>
      <c r="L667" s="2"/>
      <c r="M667" s="26">
        <f>Таблица2[[#This Row],[Сумма Долл]]*Таблица2[[#This Row],[Курс ДОЛЛ]]</f>
        <v>297150</v>
      </c>
      <c r="N66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306340.20618556702</v>
      </c>
      <c r="O66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5038.3962588869235</v>
      </c>
      <c r="P66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9190.2061855670181</v>
      </c>
      <c r="Q667" s="30">
        <v>306340.21000000002</v>
      </c>
      <c r="R667" s="12">
        <f>Таблица2[[#This Row],[Сумма в руб]]-Таблица2[[#This Row],[Оплата от клиента]]</f>
        <v>-3.8144330028444529E-3</v>
      </c>
      <c r="S667" s="32">
        <v>44832</v>
      </c>
      <c r="T667" s="32" t="s">
        <v>164</v>
      </c>
      <c r="U667" s="24" t="s">
        <v>31</v>
      </c>
      <c r="V667" s="2"/>
      <c r="W667" s="28">
        <v>58.9771</v>
      </c>
      <c r="X667" s="9">
        <v>5000</v>
      </c>
      <c r="Y667" s="16"/>
      <c r="Z667" s="10">
        <v>44832</v>
      </c>
      <c r="AA667" s="26">
        <f>Таблица2[[#This Row],[Сумма перевода Долл/Евро]]*Таблица2[[#This Row],[Курс ДОЛЛ перевод]]+Таблица2[[#This Row],[Сумма за перевод руб]]</f>
        <v>304075.70618556702</v>
      </c>
      <c r="AB66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38.396258886923533</v>
      </c>
      <c r="AC667" s="9"/>
      <c r="AD667" s="41"/>
    </row>
    <row r="668" spans="1:30" ht="30" x14ac:dyDescent="0.25">
      <c r="A668" s="6">
        <v>44833</v>
      </c>
      <c r="B668" s="2" t="s">
        <v>397</v>
      </c>
      <c r="C668" s="2" t="s">
        <v>396</v>
      </c>
      <c r="D668" s="1" t="s">
        <v>729</v>
      </c>
      <c r="E668" s="1"/>
      <c r="F668" s="3"/>
      <c r="G668" s="5">
        <v>76930</v>
      </c>
      <c r="H668" s="2"/>
      <c r="I668" s="2">
        <v>58.63</v>
      </c>
      <c r="J668" s="2">
        <v>0.97</v>
      </c>
      <c r="K668" s="2"/>
      <c r="L668" s="2"/>
      <c r="M668" s="26">
        <f>Таблица2[[#This Row],[Сумма Долл]]*Таблица2[[#This Row],[Курс ДОЛЛ]]</f>
        <v>4510405.9000000004</v>
      </c>
      <c r="N66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4649902.989690722</v>
      </c>
      <c r="O66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76830.538327493501</v>
      </c>
      <c r="P66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139497.08969072159</v>
      </c>
      <c r="Q668" s="30">
        <v>4649902.99</v>
      </c>
      <c r="R668" s="12">
        <f>Таблица2[[#This Row],[Сумма в руб]]-Таблица2[[#This Row],[Оплата от клиента]]</f>
        <v>-3.0927825719118118E-4</v>
      </c>
      <c r="S668" s="32">
        <v>44834</v>
      </c>
      <c r="T668" s="32" t="s">
        <v>164</v>
      </c>
      <c r="U668" s="24" t="s">
        <v>31</v>
      </c>
      <c r="V668" s="2"/>
      <c r="W668" s="28">
        <v>58.7059</v>
      </c>
      <c r="X668" s="9">
        <v>76930</v>
      </c>
      <c r="Y668" s="16"/>
      <c r="Z668" s="10">
        <v>44834</v>
      </c>
      <c r="AA668" s="26">
        <f>Таблица2[[#This Row],[Сумма перевода Долл/Евро]]*Таблица2[[#This Row],[Курс ДОЛЛ перевод]]+Таблица2[[#This Row],[Сумма за перевод руб]]</f>
        <v>4655741.9766907217</v>
      </c>
      <c r="AB66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-99.461672506498871</v>
      </c>
      <c r="AC668" s="9" t="s">
        <v>1066</v>
      </c>
      <c r="AD668" s="41"/>
    </row>
    <row r="669" spans="1:30" ht="45" x14ac:dyDescent="0.25">
      <c r="A669" s="6">
        <v>44833</v>
      </c>
      <c r="B669" s="38" t="s">
        <v>726</v>
      </c>
      <c r="C669" s="38" t="s">
        <v>203</v>
      </c>
      <c r="D669" s="1" t="s">
        <v>930</v>
      </c>
      <c r="E669" s="1"/>
      <c r="F669" s="3">
        <v>16700</v>
      </c>
      <c r="G669" s="5"/>
      <c r="H669" s="2">
        <v>8.26</v>
      </c>
      <c r="I669" s="2"/>
      <c r="J669" s="2">
        <v>0.97</v>
      </c>
      <c r="K669" s="2"/>
      <c r="L669" s="2"/>
      <c r="M669" s="26">
        <f>Таблица2[[#This Row],[Сумма ЮА]]*Таблица2[[#This Row],[Курс ЮА]]</f>
        <v>137942</v>
      </c>
      <c r="N669" s="24">
        <f>Таблица2[[#This Row],[Сумма ЮА]]*Таблица2[[#This Row],[Курс ЮА]]/Таблица2[[#This Row],[% за перевод]]</f>
        <v>142208.2474226804</v>
      </c>
      <c r="O66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6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4266.2474226804043</v>
      </c>
      <c r="Q669" s="30">
        <v>142208.25</v>
      </c>
      <c r="R669" s="12">
        <f>Таблица2[[#This Row],[Сумма в руб]]-Таблица2[[#This Row],[Оплата от клиента]]</f>
        <v>-2.5773195957299322E-3</v>
      </c>
      <c r="S669" s="32">
        <v>44833</v>
      </c>
      <c r="T669" s="32" t="s">
        <v>107</v>
      </c>
      <c r="U669" s="24" t="s">
        <v>31</v>
      </c>
      <c r="V669" s="2">
        <v>8.1013999999999999</v>
      </c>
      <c r="W669" s="28"/>
      <c r="X669" s="9"/>
      <c r="Y669" s="16">
        <v>16700</v>
      </c>
      <c r="Z669" s="10">
        <v>44833</v>
      </c>
      <c r="AA669" s="26">
        <f>Таблица2[[#This Row],[Сумма перевода Долл/Евро]]*Таблица2[[#This Row],[Курс ДОЛЛ перевод]]+Таблица2[[#This Row],[Сумма за перевод руб]]</f>
        <v>4266.2474226804043</v>
      </c>
      <c r="AB66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69" s="9"/>
      <c r="AD669" s="41"/>
    </row>
    <row r="670" spans="1:30" ht="45" x14ac:dyDescent="0.25">
      <c r="A670" s="6">
        <v>44833</v>
      </c>
      <c r="B670" s="38" t="s">
        <v>726</v>
      </c>
      <c r="C670" s="38" t="s">
        <v>203</v>
      </c>
      <c r="D670" s="1" t="s">
        <v>931</v>
      </c>
      <c r="E670" s="1"/>
      <c r="F670" s="3">
        <v>5744</v>
      </c>
      <c r="G670" s="5"/>
      <c r="H670" s="2">
        <v>8.26</v>
      </c>
      <c r="I670" s="2"/>
      <c r="J670" s="2">
        <v>0.9</v>
      </c>
      <c r="K670" s="2"/>
      <c r="L670" s="2"/>
      <c r="M670" s="26">
        <f>Таблица2[[#This Row],[Сумма ЮА]]*Таблица2[[#This Row],[Курс ЮА]]</f>
        <v>47445.440000000002</v>
      </c>
      <c r="N670" s="24">
        <f>Таблица2[[#This Row],[Сумма ЮА]]*Таблица2[[#This Row],[Курс ЮА]]/Таблица2[[#This Row],[% за перевод]]</f>
        <v>52717.155555555553</v>
      </c>
      <c r="O67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770.38076217383536</v>
      </c>
      <c r="P67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5271.715555555551</v>
      </c>
      <c r="Q670" s="30">
        <v>52717.16</v>
      </c>
      <c r="R670" s="12">
        <f>Таблица2[[#This Row],[Сумма в руб]]-Таблица2[[#This Row],[Оплата от клиента]]</f>
        <v>-4.4444444502005354E-3</v>
      </c>
      <c r="S670" s="32">
        <v>44833</v>
      </c>
      <c r="T670" s="32" t="s">
        <v>720</v>
      </c>
      <c r="U670" s="24" t="s">
        <v>31</v>
      </c>
      <c r="V670" s="2">
        <v>6.9637000000000002</v>
      </c>
      <c r="W670" s="28">
        <v>61.587000000000003</v>
      </c>
      <c r="X670" s="9">
        <v>802.48</v>
      </c>
      <c r="Y670" s="16">
        <v>5744</v>
      </c>
      <c r="Z670" s="10">
        <v>44839</v>
      </c>
      <c r="AA670" s="26">
        <f>Таблица2[[#This Row],[Сумма перевода Долл/Евро]]*Таблица2[[#This Row],[Курс ДОЛЛ перевод]]+Таблица2[[#This Row],[Сумма за перевод руб]]</f>
        <v>54694.051315555553</v>
      </c>
      <c r="AB67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-54.468096909697806</v>
      </c>
      <c r="AC670" s="9"/>
      <c r="AD670" s="41"/>
    </row>
    <row r="671" spans="1:30" x14ac:dyDescent="0.25">
      <c r="A671" s="6">
        <v>44833</v>
      </c>
      <c r="B671" s="2" t="s">
        <v>811</v>
      </c>
      <c r="C671" s="2" t="s">
        <v>187</v>
      </c>
      <c r="D671" s="1" t="s">
        <v>812</v>
      </c>
      <c r="E671" s="1"/>
      <c r="F671" s="3"/>
      <c r="G671" s="5">
        <v>2500</v>
      </c>
      <c r="H671" s="2"/>
      <c r="I671" s="2">
        <v>58.33</v>
      </c>
      <c r="J671" s="2">
        <v>0.97</v>
      </c>
      <c r="K671" s="2"/>
      <c r="L671" s="2"/>
      <c r="M671" s="26">
        <f>Таблица2[[#This Row],[Сумма Долл]]*Таблица2[[#This Row],[Курс ДОЛЛ]]</f>
        <v>145825</v>
      </c>
      <c r="N67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150335.05154639177</v>
      </c>
      <c r="O67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2394.5149065018491</v>
      </c>
      <c r="P67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4510.0515463917691</v>
      </c>
      <c r="Q671" s="30">
        <v>150335.04999999999</v>
      </c>
      <c r="R671" s="12">
        <f>Таблица2[[#This Row],[Сумма в руб]]-Таблица2[[#This Row],[Оплата от клиента]]</f>
        <v>1.5463917807210237E-3</v>
      </c>
      <c r="S671" s="32">
        <v>44833</v>
      </c>
      <c r="T671" s="32" t="s">
        <v>164</v>
      </c>
      <c r="U671" s="24" t="s">
        <v>31</v>
      </c>
      <c r="V671" s="2"/>
      <c r="W671" s="28">
        <v>60.8996</v>
      </c>
      <c r="X671" s="9">
        <v>2500</v>
      </c>
      <c r="Y671" s="16"/>
      <c r="Z671" s="10">
        <v>44833</v>
      </c>
      <c r="AA671" s="26">
        <f>Таблица2[[#This Row],[Сумма перевода Долл/Евро]]*Таблица2[[#This Row],[Курс ДОЛЛ перевод]]+Таблица2[[#This Row],[Сумма за перевод руб]]</f>
        <v>156759.05154639177</v>
      </c>
      <c r="AB67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-105.48509349815095</v>
      </c>
      <c r="AC671" s="9"/>
      <c r="AD671" s="41"/>
    </row>
    <row r="672" spans="1:30" x14ac:dyDescent="0.25">
      <c r="A672" s="6">
        <v>44833</v>
      </c>
      <c r="B672" s="2" t="s">
        <v>298</v>
      </c>
      <c r="C672" s="2" t="s">
        <v>56</v>
      </c>
      <c r="D672" s="1"/>
      <c r="E672" s="1"/>
      <c r="F672" s="3"/>
      <c r="G672" s="5">
        <v>5655.63</v>
      </c>
      <c r="H672" s="2"/>
      <c r="I672" s="2">
        <v>58.33</v>
      </c>
      <c r="J672" s="2">
        <v>0.97</v>
      </c>
      <c r="K672" s="2"/>
      <c r="L672" s="2"/>
      <c r="M672" s="26">
        <f>Таблица2[[#This Row],[Сумма Долл]]*Таблица2[[#This Row],[Курс ДОЛЛ]]</f>
        <v>329892.89789999998</v>
      </c>
      <c r="N67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340095.77103092783</v>
      </c>
      <c r="O67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5558.0567088991475</v>
      </c>
      <c r="P67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10202.873130927852</v>
      </c>
      <c r="Q672" s="30">
        <v>340095.77</v>
      </c>
      <c r="R672" s="12">
        <f>Таблица2[[#This Row],[Сумма в руб]]-Таблица2[[#This Row],[Оплата от клиента]]</f>
        <v>1.0309278150089085E-3</v>
      </c>
      <c r="S672" s="32">
        <v>44834</v>
      </c>
      <c r="T672" s="32" t="s">
        <v>164</v>
      </c>
      <c r="U672" s="24" t="s">
        <v>31</v>
      </c>
      <c r="V672" s="2"/>
      <c r="W672" s="28">
        <v>59.353999999999999</v>
      </c>
      <c r="X672" s="9">
        <v>5655.63</v>
      </c>
      <c r="Y672" s="16"/>
      <c r="Z672" s="10">
        <v>44834</v>
      </c>
      <c r="AA672" s="26">
        <f>Таблица2[[#This Row],[Сумма перевода Долл/Евро]]*Таблица2[[#This Row],[Курс ДОЛЛ перевод]]+Таблица2[[#This Row],[Сумма за перевод руб]]</f>
        <v>345887.13615092786</v>
      </c>
      <c r="AB67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-97.573291100852657</v>
      </c>
      <c r="AC672" s="9" t="s">
        <v>1092</v>
      </c>
      <c r="AD672" s="41"/>
    </row>
    <row r="673" spans="1:30" ht="45" x14ac:dyDescent="0.25">
      <c r="A673" s="6">
        <v>44834</v>
      </c>
      <c r="B673" s="38" t="s">
        <v>919</v>
      </c>
      <c r="C673" s="38" t="s">
        <v>680</v>
      </c>
      <c r="D673" s="1" t="s">
        <v>932</v>
      </c>
      <c r="E673" s="1"/>
      <c r="F673" s="3">
        <v>34530</v>
      </c>
      <c r="G673" s="5"/>
      <c r="H673" s="2">
        <v>8.36</v>
      </c>
      <c r="I673" s="2"/>
      <c r="J673" s="2">
        <v>0.97</v>
      </c>
      <c r="K673" s="2"/>
      <c r="L673" s="2"/>
      <c r="M673" s="26">
        <f>Таблица2[[#This Row],[Сумма ЮА]]*Таблица2[[#This Row],[Курс ЮА]]</f>
        <v>288670.8</v>
      </c>
      <c r="N673" s="24">
        <f>Таблица2[[#This Row],[Сумма ЮА]]*Таблица2[[#This Row],[Курс ЮА]]/Таблица2[[#This Row],[% за перевод]]</f>
        <v>297598.76288659795</v>
      </c>
      <c r="O67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7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8927.9628865979612</v>
      </c>
      <c r="Q673" s="30">
        <v>297598.76</v>
      </c>
      <c r="R673" s="12">
        <f>Таблица2[[#This Row],[Сумма в руб]]-Таблица2[[#This Row],[Оплата от клиента]]</f>
        <v>2.8865979402326047E-3</v>
      </c>
      <c r="S673" s="32">
        <v>44834</v>
      </c>
      <c r="T673" s="32" t="s">
        <v>107</v>
      </c>
      <c r="U673" s="24" t="s">
        <v>31</v>
      </c>
      <c r="V673" s="2">
        <v>8.1976999999999993</v>
      </c>
      <c r="W673" s="28"/>
      <c r="X673" s="9"/>
      <c r="Y673" s="16">
        <v>34530</v>
      </c>
      <c r="Z673" s="10">
        <v>44837</v>
      </c>
      <c r="AA673" s="26">
        <f>Таблица2[[#This Row],[Сумма перевода Долл/Евро]]*Таблица2[[#This Row],[Курс ДОЛЛ перевод]]+Таблица2[[#This Row],[Сумма за перевод руб]]</f>
        <v>8927.9628865979612</v>
      </c>
      <c r="AB67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73" s="9"/>
      <c r="AD673" s="41"/>
    </row>
    <row r="674" spans="1:30" ht="30" x14ac:dyDescent="0.25">
      <c r="A674" s="6">
        <v>44838</v>
      </c>
      <c r="B674" s="38" t="s">
        <v>120</v>
      </c>
      <c r="C674" s="38" t="s">
        <v>121</v>
      </c>
      <c r="D674" s="1" t="s">
        <v>183</v>
      </c>
      <c r="E674" s="1"/>
      <c r="F674" s="3">
        <v>28500</v>
      </c>
      <c r="G674" s="5"/>
      <c r="H674" s="2">
        <v>8.7100000000000009</v>
      </c>
      <c r="I674" s="2"/>
      <c r="J674" s="2">
        <v>0.9</v>
      </c>
      <c r="K674" s="2"/>
      <c r="L674" s="2"/>
      <c r="M674" s="26">
        <f>Таблица2[[#This Row],[Сумма ЮА]]*Таблица2[[#This Row],[Курс ЮА]]</f>
        <v>248235.00000000003</v>
      </c>
      <c r="N674" s="24">
        <f>Таблица2[[#This Row],[Сумма ЮА]]*Таблица2[[#This Row],[Курс ЮА]]/Таблица2[[#This Row],[% за перевод]]</f>
        <v>275816.66666666669</v>
      </c>
      <c r="O67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7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27581.666666666657</v>
      </c>
      <c r="Q674" s="30"/>
      <c r="R674" s="12">
        <f>Таблица2[[#This Row],[Сумма в руб]]-Таблица2[[#This Row],[Оплата от клиента]]</f>
        <v>275816.66666666669</v>
      </c>
      <c r="S674" s="32"/>
      <c r="T674" s="32" t="s">
        <v>720</v>
      </c>
      <c r="U674" s="24"/>
      <c r="V674" s="2"/>
      <c r="W674" s="28"/>
      <c r="X674" s="9"/>
      <c r="Y674" s="16"/>
      <c r="Z674" s="2"/>
      <c r="AA674" s="26">
        <f>Таблица2[[#This Row],[Сумма перевода Долл/Евро]]*Таблица2[[#This Row],[Курс ДОЛЛ перевод]]+Таблица2[[#This Row],[Сумма за перевод руб]]</f>
        <v>27581.666666666657</v>
      </c>
      <c r="AB67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74" s="9"/>
      <c r="AD674" s="41"/>
    </row>
    <row r="675" spans="1:30" ht="30" x14ac:dyDescent="0.25">
      <c r="A675" s="6">
        <v>44838</v>
      </c>
      <c r="B675" s="38" t="s">
        <v>72</v>
      </c>
      <c r="C675" s="38" t="s">
        <v>73</v>
      </c>
      <c r="D675" s="1" t="s">
        <v>750</v>
      </c>
      <c r="E675" s="1"/>
      <c r="F675" s="3">
        <v>32100</v>
      </c>
      <c r="G675" s="5"/>
      <c r="H675" s="2">
        <v>8.3699999999999992</v>
      </c>
      <c r="I675" s="2"/>
      <c r="J675" s="2">
        <v>0.9</v>
      </c>
      <c r="K675" s="2"/>
      <c r="L675" s="2"/>
      <c r="M675" s="26">
        <f>Таблица2[[#This Row],[Сумма ЮА]]*Таблица2[[#This Row],[Курс ЮА]]</f>
        <v>268677</v>
      </c>
      <c r="N675" s="24">
        <f>Таблица2[[#This Row],[Сумма ЮА]]*Таблица2[[#This Row],[Курс ЮА]]/Таблица2[[#This Row],[% за перевод]]</f>
        <v>298530</v>
      </c>
      <c r="O67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4411.8023763702886</v>
      </c>
      <c r="P67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29853</v>
      </c>
      <c r="Q675" s="30">
        <v>298530</v>
      </c>
      <c r="R675" s="12">
        <f>Таблица2[[#This Row],[Сумма в руб]]-Таблица2[[#This Row],[Оплата от клиента]]</f>
        <v>0</v>
      </c>
      <c r="S675" s="32">
        <v>44839</v>
      </c>
      <c r="T675" s="32" t="s">
        <v>720</v>
      </c>
      <c r="U675" s="24" t="s">
        <v>31</v>
      </c>
      <c r="V675" s="2">
        <v>7.1</v>
      </c>
      <c r="W675" s="28">
        <v>60.8996</v>
      </c>
      <c r="X675" s="9">
        <v>4595.63</v>
      </c>
      <c r="Y675" s="16">
        <v>32100</v>
      </c>
      <c r="Z675" s="10">
        <v>44848</v>
      </c>
      <c r="AA675" s="26">
        <f>Таблица2[[#This Row],[Сумма перевода Долл/Евро]]*Таблица2[[#This Row],[Курс ДОЛЛ перевод]]+Таблица2[[#This Row],[Сумма за перевод руб]]</f>
        <v>309725.02874799998</v>
      </c>
      <c r="AB67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-109.32438419309165</v>
      </c>
      <c r="AC675" s="9" t="s">
        <v>1137</v>
      </c>
      <c r="AD675" s="41"/>
    </row>
    <row r="676" spans="1:30" ht="30" x14ac:dyDescent="0.25">
      <c r="A676" s="6">
        <v>44838</v>
      </c>
      <c r="B676" s="38" t="s">
        <v>178</v>
      </c>
      <c r="C676" s="38" t="s">
        <v>179</v>
      </c>
      <c r="D676" s="1" t="s">
        <v>933</v>
      </c>
      <c r="E676" s="1"/>
      <c r="F676" s="3">
        <v>41328</v>
      </c>
      <c r="G676" s="5"/>
      <c r="H676" s="2">
        <v>8.3454999999999995</v>
      </c>
      <c r="I676" s="2"/>
      <c r="J676" s="2">
        <v>0.99</v>
      </c>
      <c r="K676" s="2"/>
      <c r="L676" s="2"/>
      <c r="M676" s="26">
        <f>Таблица2[[#This Row],[Сумма ЮА]]*Таблица2[[#This Row],[Курс ЮА]]</f>
        <v>344902.82399999996</v>
      </c>
      <c r="N676" s="24">
        <f>Таблица2[[#This Row],[Сумма ЮА]]*Таблица2[[#This Row],[Курс ЮА]]/Таблица2[[#This Row],[% за перевод]]</f>
        <v>348386.69090909086</v>
      </c>
      <c r="O67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7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3483.8669090908952</v>
      </c>
      <c r="Q676" s="30">
        <v>348386.69</v>
      </c>
      <c r="R676" s="12">
        <f>Таблица2[[#This Row],[Сумма в руб]]-Таблица2[[#This Row],[Оплата от клиента]]</f>
        <v>9.090908570215106E-4</v>
      </c>
      <c r="S676" s="32">
        <v>44839</v>
      </c>
      <c r="T676" s="32" t="s">
        <v>107</v>
      </c>
      <c r="U676" s="24" t="s">
        <v>31</v>
      </c>
      <c r="V676" s="2">
        <v>8.3454999999999995</v>
      </c>
      <c r="W676" s="28"/>
      <c r="X676" s="9"/>
      <c r="Y676" s="16">
        <v>41328</v>
      </c>
      <c r="Z676" s="10">
        <v>44839</v>
      </c>
      <c r="AA676" s="26">
        <f>Таблица2[[#This Row],[Сумма перевода Долл/Евро]]*Таблица2[[#This Row],[Курс ДОЛЛ перевод]]+Таблица2[[#This Row],[Сумма за перевод руб]]</f>
        <v>3483.8669090908952</v>
      </c>
      <c r="AB67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76" s="9"/>
      <c r="AD676" s="41"/>
    </row>
    <row r="677" spans="1:30" ht="30" x14ac:dyDescent="0.25">
      <c r="A677" s="6">
        <v>44838</v>
      </c>
      <c r="B677" s="38" t="s">
        <v>178</v>
      </c>
      <c r="C677" s="38" t="s">
        <v>179</v>
      </c>
      <c r="D677" s="1" t="s">
        <v>933</v>
      </c>
      <c r="E677" s="1"/>
      <c r="F677" s="3">
        <v>60684.73</v>
      </c>
      <c r="G677" s="5"/>
      <c r="H677" s="2">
        <v>8.3454999999999995</v>
      </c>
      <c r="I677" s="2"/>
      <c r="J677" s="2">
        <v>0.99</v>
      </c>
      <c r="K677" s="2"/>
      <c r="L677" s="2"/>
      <c r="M677" s="26">
        <f>Таблица2[[#This Row],[Сумма ЮА]]*Таблица2[[#This Row],[Курс ЮА]]</f>
        <v>506444.414215</v>
      </c>
      <c r="N677" s="24">
        <f>Таблица2[[#This Row],[Сумма ЮА]]*Таблица2[[#This Row],[Курс ЮА]]/Таблица2[[#This Row],[% за перевод]]</f>
        <v>511560.01435858588</v>
      </c>
      <c r="O67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7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5115.600143585878</v>
      </c>
      <c r="Q677" s="30">
        <v>511560.01</v>
      </c>
      <c r="R677" s="12">
        <f>Таблица2[[#This Row],[Сумма в руб]]-Таблица2[[#This Row],[Оплата от клиента]]</f>
        <v>4.3585858657024801E-3</v>
      </c>
      <c r="S677" s="32">
        <v>44839</v>
      </c>
      <c r="T677" s="32" t="s">
        <v>107</v>
      </c>
      <c r="U677" s="24" t="s">
        <v>31</v>
      </c>
      <c r="V677" s="2">
        <v>8.3454999999999995</v>
      </c>
      <c r="W677" s="28"/>
      <c r="X677" s="9"/>
      <c r="Y677" s="16">
        <v>60684.73</v>
      </c>
      <c r="Z677" s="10">
        <v>44839</v>
      </c>
      <c r="AA677" s="26">
        <f>Таблица2[[#This Row],[Сумма перевода Долл/Евро]]*Таблица2[[#This Row],[Курс ДОЛЛ перевод]]+Таблица2[[#This Row],[Сумма за перевод руб]]</f>
        <v>5115.600143585878</v>
      </c>
      <c r="AB67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77" s="9"/>
      <c r="AD677" s="41"/>
    </row>
    <row r="678" spans="1:30" ht="30" x14ac:dyDescent="0.25">
      <c r="A678" s="6">
        <v>44840</v>
      </c>
      <c r="B678" s="38" t="s">
        <v>158</v>
      </c>
      <c r="C678" s="38" t="s">
        <v>322</v>
      </c>
      <c r="D678" s="1" t="s">
        <v>937</v>
      </c>
      <c r="E678" s="1"/>
      <c r="F678" s="3">
        <v>35350</v>
      </c>
      <c r="G678" s="5"/>
      <c r="H678" s="2">
        <v>8.83</v>
      </c>
      <c r="I678" s="2"/>
      <c r="J678" s="2">
        <v>0.97</v>
      </c>
      <c r="K678" s="2"/>
      <c r="L678" s="2"/>
      <c r="M678" s="26">
        <f>Таблица2[[#This Row],[Сумма ЮА]]*Таблица2[[#This Row],[Курс ЮА]]</f>
        <v>312140.5</v>
      </c>
      <c r="N678" s="24">
        <f>Таблица2[[#This Row],[Сумма ЮА]]*Таблица2[[#This Row],[Курс ЮА]]/Таблица2[[#This Row],[% за перевод]]</f>
        <v>321794.32989690721</v>
      </c>
      <c r="O67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7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9653.8298969072057</v>
      </c>
      <c r="Q678" s="30">
        <v>321794.33</v>
      </c>
      <c r="R678" s="12">
        <f>Таблица2[[#This Row],[Сумма в руб]]-Таблица2[[#This Row],[Оплата от клиента]]</f>
        <v>-1.0309281060472131E-4</v>
      </c>
      <c r="S678" s="32">
        <v>44840</v>
      </c>
      <c r="T678" s="32" t="s">
        <v>107</v>
      </c>
      <c r="U678" s="24" t="s">
        <v>31</v>
      </c>
      <c r="V678" s="2">
        <v>8.7162000000000006</v>
      </c>
      <c r="W678" s="28"/>
      <c r="X678" s="9"/>
      <c r="Y678" s="16">
        <v>35350</v>
      </c>
      <c r="Z678" s="10">
        <v>44840</v>
      </c>
      <c r="AA678" s="26">
        <f>Таблица2[[#This Row],[Сумма перевода Долл/Евро]]*Таблица2[[#This Row],[Курс ДОЛЛ перевод]]+Таблица2[[#This Row],[Сумма за перевод руб]]</f>
        <v>9653.8298969072057</v>
      </c>
      <c r="AB67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78" s="9"/>
      <c r="AD678" s="41"/>
    </row>
    <row r="679" spans="1:30" ht="45" x14ac:dyDescent="0.25">
      <c r="A679" s="6">
        <v>44841</v>
      </c>
      <c r="B679" s="2" t="s">
        <v>681</v>
      </c>
      <c r="C679" s="2" t="s">
        <v>680</v>
      </c>
      <c r="D679" s="1" t="s">
        <v>940</v>
      </c>
      <c r="E679" s="1"/>
      <c r="F679" s="3"/>
      <c r="G679" s="5">
        <v>5570</v>
      </c>
      <c r="H679" s="2"/>
      <c r="I679" s="2">
        <v>62.8</v>
      </c>
      <c r="J679" s="2">
        <v>0.97</v>
      </c>
      <c r="K679" s="2"/>
      <c r="L679" s="2"/>
      <c r="M679" s="26">
        <f>Таблица2[[#This Row],[Сумма Долл]]*Таблица2[[#This Row],[Курс ДОЛЛ]]</f>
        <v>349796</v>
      </c>
      <c r="N67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360614.43298969074</v>
      </c>
      <c r="O67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5721.2767523450475</v>
      </c>
      <c r="P67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10818.432989690744</v>
      </c>
      <c r="Q679" s="30">
        <v>360614.43</v>
      </c>
      <c r="R679" s="12">
        <f>Таблица2[[#This Row],[Сумма в руб]]-Таблица2[[#This Row],[Оплата от клиента]]</f>
        <v>2.989690750837326E-3</v>
      </c>
      <c r="S679" s="32">
        <v>44841</v>
      </c>
      <c r="T679" s="32" t="s">
        <v>164</v>
      </c>
      <c r="U679" s="24" t="s">
        <v>31</v>
      </c>
      <c r="V679" s="2"/>
      <c r="W679" s="28">
        <v>61.139499999999998</v>
      </c>
      <c r="X679" s="9">
        <v>5570</v>
      </c>
      <c r="Y679" s="16"/>
      <c r="Z679" s="10">
        <v>44841</v>
      </c>
      <c r="AA679" s="26">
        <f>Таблица2[[#This Row],[Сумма перевода Долл/Евро]]*Таблица2[[#This Row],[Курс ДОЛЛ перевод]]+Таблица2[[#This Row],[Сумма за перевод руб]]</f>
        <v>351365.44798969076</v>
      </c>
      <c r="AB67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151.2767523450475</v>
      </c>
      <c r="AC679" s="9"/>
      <c r="AD679" s="41"/>
    </row>
    <row r="680" spans="1:30" ht="60" x14ac:dyDescent="0.25">
      <c r="A680" s="6">
        <v>44841</v>
      </c>
      <c r="B680" s="28" t="s">
        <v>938</v>
      </c>
      <c r="C680" s="28" t="s">
        <v>939</v>
      </c>
      <c r="D680" s="1" t="s">
        <v>941</v>
      </c>
      <c r="E680" s="1"/>
      <c r="F680" s="3"/>
      <c r="G680" s="5">
        <v>21221.24</v>
      </c>
      <c r="H680" s="2"/>
      <c r="I680" s="2">
        <v>64.876999999999995</v>
      </c>
      <c r="J680" s="2">
        <v>0.95</v>
      </c>
      <c r="K680" s="2"/>
      <c r="L680" s="2"/>
      <c r="M680" s="26">
        <f>Таблица2[[#This Row],[Сумма Долл]]*Таблица2[[#This Row],[Курс ДОЛЛ]]</f>
        <v>1376770.38748</v>
      </c>
      <c r="N68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1449231.9868210529</v>
      </c>
      <c r="O68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21221.24</v>
      </c>
      <c r="P68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72461.599341052817</v>
      </c>
      <c r="Q680" s="30">
        <f>1368658.29 + 80573.7</f>
        <v>1449231.99</v>
      </c>
      <c r="R680" s="12">
        <f>Таблица2[[#This Row],[Сумма в руб]]-Таблица2[[#This Row],[Оплата от клиента]]</f>
        <v>-3.178947139531374E-3</v>
      </c>
      <c r="S680" s="32">
        <v>44845</v>
      </c>
      <c r="T680" s="42" t="s">
        <v>277</v>
      </c>
      <c r="U680" s="24" t="s">
        <v>31</v>
      </c>
      <c r="V680" s="2"/>
      <c r="W680" s="28">
        <v>64.876999999999995</v>
      </c>
      <c r="X680" s="9">
        <v>20360.84</v>
      </c>
      <c r="Y680" s="16"/>
      <c r="Z680" s="10">
        <v>44860</v>
      </c>
      <c r="AA680" s="26">
        <f>Таблица2[[#This Row],[Сумма перевода Долл/Евро]]*Таблица2[[#This Row],[Курс ДОЛЛ перевод]]+Таблица2[[#This Row],[Сумма за перевод руб]]</f>
        <v>1393411.8160210527</v>
      </c>
      <c r="AB68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860.40000000000146</v>
      </c>
      <c r="AC680" s="9"/>
      <c r="AD680" s="41"/>
    </row>
    <row r="681" spans="1:30" ht="45" x14ac:dyDescent="0.25">
      <c r="A681" s="6">
        <v>44841</v>
      </c>
      <c r="B681" s="38" t="s">
        <v>942</v>
      </c>
      <c r="C681" s="38" t="s">
        <v>943</v>
      </c>
      <c r="D681" s="1" t="s">
        <v>944</v>
      </c>
      <c r="E681" s="1"/>
      <c r="F681" s="3">
        <v>255600</v>
      </c>
      <c r="G681" s="5"/>
      <c r="H681" s="2">
        <v>8.9126999999999992</v>
      </c>
      <c r="I681" s="2"/>
      <c r="J681" s="2">
        <v>0.95</v>
      </c>
      <c r="K681" s="2"/>
      <c r="L681" s="2"/>
      <c r="M681" s="26">
        <f>Таблица2[[#This Row],[Сумма ЮА]]*Таблица2[[#This Row],[Курс ЮА]]</f>
        <v>2278086.1199999996</v>
      </c>
      <c r="N681" s="24">
        <f>Таблица2[[#This Row],[Сумма ЮА]]*Таблица2[[#This Row],[Курс ЮА]]/Таблица2[[#This Row],[% за перевод]]</f>
        <v>2397985.3894736841</v>
      </c>
      <c r="O68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8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119899.26947368449</v>
      </c>
      <c r="Q681" s="30">
        <v>2284210.5299999998</v>
      </c>
      <c r="R681" s="12">
        <f>Таблица2[[#This Row],[Сумма в руб]]-Таблица2[[#This Row],[Оплата от клиента]]</f>
        <v>113774.85947368434</v>
      </c>
      <c r="S681" s="32">
        <v>44845</v>
      </c>
      <c r="T681" s="32" t="s">
        <v>107</v>
      </c>
      <c r="U681" s="24" t="s">
        <v>947</v>
      </c>
      <c r="V681" s="2">
        <v>8.9126999999999992</v>
      </c>
      <c r="W681" s="28"/>
      <c r="X681" s="9"/>
      <c r="Y681" s="16">
        <v>255600</v>
      </c>
      <c r="Z681" s="10">
        <v>44846</v>
      </c>
      <c r="AA681" s="26">
        <f>Таблица2[[#This Row],[Сумма перевода Долл/Евро]]*Таблица2[[#This Row],[Курс ДОЛЛ перевод]]+Таблица2[[#This Row],[Сумма за перевод руб]]</f>
        <v>119899.26947368449</v>
      </c>
      <c r="AB68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81" s="9"/>
      <c r="AD681" s="41"/>
    </row>
    <row r="682" spans="1:30" ht="75" x14ac:dyDescent="0.25">
      <c r="A682" s="6">
        <v>44844</v>
      </c>
      <c r="B682" s="2" t="s">
        <v>783</v>
      </c>
      <c r="C682" s="2" t="s">
        <v>784</v>
      </c>
      <c r="D682" s="1" t="s">
        <v>884</v>
      </c>
      <c r="E682" s="1"/>
      <c r="F682" s="3"/>
      <c r="G682" s="5">
        <v>2084.25</v>
      </c>
      <c r="H682" s="2"/>
      <c r="I682" s="2">
        <v>62.87</v>
      </c>
      <c r="J682" s="2">
        <v>0.97</v>
      </c>
      <c r="K682" s="2"/>
      <c r="L682" s="2"/>
      <c r="M682" s="26">
        <f>Таблица2[[#This Row],[Сумма Долл]]*Таблица2[[#This Row],[Курс ДОЛЛ]]</f>
        <v>131036.7975</v>
      </c>
      <c r="N68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135089.48195876289</v>
      </c>
      <c r="O68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2111.089410945905</v>
      </c>
      <c r="P68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4052.6844587628875</v>
      </c>
      <c r="Q682" s="30">
        <v>135089.48000000001</v>
      </c>
      <c r="R682" s="12">
        <f>Таблица2[[#This Row],[Сумма в руб]]-Таблица2[[#This Row],[Оплата от клиента]]</f>
        <v>1.9587628776207566E-3</v>
      </c>
      <c r="S682" s="32">
        <v>44844</v>
      </c>
      <c r="T682" s="32" t="s">
        <v>164</v>
      </c>
      <c r="U682" s="24" t="s">
        <v>31</v>
      </c>
      <c r="V682" s="2"/>
      <c r="W682" s="28">
        <v>62.070700000000002</v>
      </c>
      <c r="X682" s="9">
        <v>2084.25</v>
      </c>
      <c r="Y682" s="16"/>
      <c r="Z682" s="10">
        <v>44844</v>
      </c>
      <c r="AA682" s="26">
        <f>Таблица2[[#This Row],[Сумма перевода Долл/Евро]]*Таблица2[[#This Row],[Курс ДОЛЛ перевод]]+Таблица2[[#This Row],[Сумма за перевод руб]]</f>
        <v>133423.54093376291</v>
      </c>
      <c r="AB68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26.839410945905001</v>
      </c>
      <c r="AC682" s="9"/>
      <c r="AD682" s="41"/>
    </row>
    <row r="683" spans="1:30" x14ac:dyDescent="0.25">
      <c r="A683" s="6">
        <v>44844</v>
      </c>
      <c r="B683" s="38" t="s">
        <v>892</v>
      </c>
      <c r="C683" s="38" t="s">
        <v>893</v>
      </c>
      <c r="D683" s="1" t="s">
        <v>812</v>
      </c>
      <c r="E683" s="1"/>
      <c r="F683" s="3">
        <v>15048.9</v>
      </c>
      <c r="G683" s="5"/>
      <c r="H683" s="2">
        <v>8.8699999999999992</v>
      </c>
      <c r="I683" s="2"/>
      <c r="J683" s="2">
        <v>0.97</v>
      </c>
      <c r="K683" s="2"/>
      <c r="L683" s="2"/>
      <c r="M683" s="26">
        <f>Таблица2[[#This Row],[Сумма ЮА]]*Таблица2[[#This Row],[Курс ЮА]]</f>
        <v>133483.74299999999</v>
      </c>
      <c r="N683" s="24">
        <f>Таблица2[[#This Row],[Сумма ЮА]]*Таблица2[[#This Row],[Курс ЮА]]/Таблица2[[#This Row],[% за перевод]]</f>
        <v>137612.10618556701</v>
      </c>
      <c r="O68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8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4128.3631855670246</v>
      </c>
      <c r="Q683" s="30"/>
      <c r="R683" s="12">
        <f>Таблица2[[#This Row],[Сумма в руб]]-Таблица2[[#This Row],[Оплата от клиента]]</f>
        <v>137612.10618556701</v>
      </c>
      <c r="S683" s="32"/>
      <c r="T683" s="32" t="s">
        <v>107</v>
      </c>
      <c r="U683" s="24"/>
      <c r="V683" s="2"/>
      <c r="W683" s="28"/>
      <c r="X683" s="9"/>
      <c r="Y683" s="16"/>
      <c r="Z683" s="2"/>
      <c r="AA683" s="26">
        <f>Таблица2[[#This Row],[Сумма перевода Долл/Евро]]*Таблица2[[#This Row],[Курс ДОЛЛ перевод]]+Таблица2[[#This Row],[Сумма за перевод руб]]</f>
        <v>4128.3631855670246</v>
      </c>
      <c r="AB68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83" s="9"/>
      <c r="AD683" s="41"/>
    </row>
    <row r="684" spans="1:30" ht="45" x14ac:dyDescent="0.25">
      <c r="A684" s="6">
        <v>44844</v>
      </c>
      <c r="B684" s="38" t="s">
        <v>72</v>
      </c>
      <c r="C684" s="38" t="s">
        <v>73</v>
      </c>
      <c r="D684" s="1" t="s">
        <v>945</v>
      </c>
      <c r="E684" s="1"/>
      <c r="F684" s="3">
        <v>60000</v>
      </c>
      <c r="G684" s="5"/>
      <c r="H684" s="2">
        <v>8.8699999999999992</v>
      </c>
      <c r="I684" s="2"/>
      <c r="J684" s="2">
        <v>0.9</v>
      </c>
      <c r="K684" s="2"/>
      <c r="L684" s="2"/>
      <c r="M684" s="26">
        <f>Таблица2[[#This Row],[Сумма ЮА]]*Таблица2[[#This Row],[Курс ЮА]]</f>
        <v>532200</v>
      </c>
      <c r="N684" s="24">
        <f>Таблица2[[#This Row],[Сумма ЮА]]*Таблица2[[#This Row],[Курс ЮА]]/Таблица2[[#This Row],[% за перевод]]</f>
        <v>591333.33333333337</v>
      </c>
      <c r="O68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8803.3731376366541</v>
      </c>
      <c r="P68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59133.333333333372</v>
      </c>
      <c r="Q684" s="30">
        <v>591333.32999999996</v>
      </c>
      <c r="R684" s="12">
        <f>Таблица2[[#This Row],[Сумма в руб]]-Таблица2[[#This Row],[Оплата от клиента]]</f>
        <v>3.3333334140479565E-3</v>
      </c>
      <c r="S684" s="32">
        <v>44844</v>
      </c>
      <c r="T684" s="32" t="s">
        <v>720</v>
      </c>
      <c r="U684" s="24" t="s">
        <v>31</v>
      </c>
      <c r="V684" s="2">
        <v>7.2</v>
      </c>
      <c r="W684" s="28">
        <v>60.454099999999997</v>
      </c>
      <c r="X684" s="9" t="s">
        <v>946</v>
      </c>
      <c r="Y684" s="16">
        <v>60000</v>
      </c>
      <c r="Z684" s="10">
        <v>44860</v>
      </c>
      <c r="AA684" s="26" t="e">
        <f>Таблица2[[#This Row],[Сумма перевода Долл/Евро]]*Таблица2[[#This Row],[Курс ДОЛЛ перевод]]+Таблица2[[#This Row],[Сумма за перевод руб]]</f>
        <v>#VALUE!</v>
      </c>
      <c r="AB68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470.03980430332012</v>
      </c>
      <c r="AC684" s="9" t="s">
        <v>1137</v>
      </c>
      <c r="AD684" s="41"/>
    </row>
    <row r="685" spans="1:30" ht="45" x14ac:dyDescent="0.25">
      <c r="A685" s="6">
        <v>44846</v>
      </c>
      <c r="B685" s="38" t="s">
        <v>733</v>
      </c>
      <c r="C685" s="38" t="s">
        <v>734</v>
      </c>
      <c r="D685" s="1" t="s">
        <v>948</v>
      </c>
      <c r="E685" s="1"/>
      <c r="F685" s="3"/>
      <c r="G685" s="5">
        <v>518</v>
      </c>
      <c r="H685" s="2"/>
      <c r="I685" s="2">
        <v>65.209999999999994</v>
      </c>
      <c r="J685" s="2">
        <v>0.9</v>
      </c>
      <c r="K685" s="2"/>
      <c r="L685" s="2"/>
      <c r="M685" s="26">
        <f>Таблица2[[#This Row],[Сумма Долл]]*Таблица2[[#This Row],[Курс ДОЛЛ]]</f>
        <v>33778.78</v>
      </c>
      <c r="N68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37531.977777777778</v>
      </c>
      <c r="O68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557.50128734964414</v>
      </c>
      <c r="P68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3753.1977777777793</v>
      </c>
      <c r="Q685" s="30">
        <v>37531.980000000003</v>
      </c>
      <c r="R685" s="12">
        <f>Таблица2[[#This Row],[Сумма в руб]]-Таблица2[[#This Row],[Оплата от клиента]]</f>
        <v>-2.2222222251002677E-3</v>
      </c>
      <c r="S685" s="32">
        <v>44845</v>
      </c>
      <c r="T685" s="32" t="s">
        <v>720</v>
      </c>
      <c r="U685" s="24" t="s">
        <v>31</v>
      </c>
      <c r="V685" s="2">
        <v>7.2</v>
      </c>
      <c r="W685" s="28">
        <v>60.589599999999997</v>
      </c>
      <c r="X685" s="9">
        <v>538.72</v>
      </c>
      <c r="Y685" s="16">
        <v>3729.6</v>
      </c>
      <c r="Z685" s="10">
        <v>44847</v>
      </c>
      <c r="AA685" s="26">
        <f>Таблица2[[#This Row],[Сумма перевода Долл/Евро]]*Таблица2[[#This Row],[Курс ДОЛЛ перевод]]+Таблица2[[#This Row],[Сумма за перевод руб]]</f>
        <v>36394.027089777781</v>
      </c>
      <c r="AB68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39.501287349644144</v>
      </c>
      <c r="AC685" s="9"/>
      <c r="AD685" s="41"/>
    </row>
    <row r="686" spans="1:30" ht="30" x14ac:dyDescent="0.25">
      <c r="A686" s="6">
        <v>44846</v>
      </c>
      <c r="B686" s="38" t="s">
        <v>755</v>
      </c>
      <c r="C686" s="38" t="s">
        <v>354</v>
      </c>
      <c r="D686" s="1" t="s">
        <v>867</v>
      </c>
      <c r="E686" s="1"/>
      <c r="F686" s="3">
        <v>32623.22</v>
      </c>
      <c r="G686" s="5"/>
      <c r="H686" s="2">
        <v>8.8699999999999992</v>
      </c>
      <c r="I686" s="2"/>
      <c r="J686" s="2">
        <v>0.97</v>
      </c>
      <c r="K686" s="2"/>
      <c r="L686" s="2"/>
      <c r="M686" s="26">
        <f>Таблица2[[#This Row],[Сумма ЮА]]*Таблица2[[#This Row],[Курс ЮА]]</f>
        <v>289367.96139999997</v>
      </c>
      <c r="N686" s="24">
        <f>Таблица2[[#This Row],[Сумма ЮА]]*Таблица2[[#This Row],[Курс ЮА]]/Таблица2[[#This Row],[% за перевод]]</f>
        <v>298317.48597938142</v>
      </c>
      <c r="O68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8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8949.5245793814538</v>
      </c>
      <c r="Q686" s="30">
        <v>298317.49</v>
      </c>
      <c r="R686" s="12">
        <f>Таблица2[[#This Row],[Сумма в руб]]-Таблица2[[#This Row],[Оплата от клиента]]</f>
        <v>-4.0206185658462346E-3</v>
      </c>
      <c r="S686" s="32">
        <v>44847</v>
      </c>
      <c r="T686" s="32" t="s">
        <v>107</v>
      </c>
      <c r="U686" s="24" t="s">
        <v>31</v>
      </c>
      <c r="V686" s="2">
        <v>8.8267000000000007</v>
      </c>
      <c r="W686" s="28"/>
      <c r="X686" s="9"/>
      <c r="Y686" s="16">
        <v>32623.22</v>
      </c>
      <c r="Z686" s="10">
        <v>44847</v>
      </c>
      <c r="AA686" s="26">
        <f>Таблица2[[#This Row],[Сумма перевода Долл/Евро]]*Таблица2[[#This Row],[Курс ДОЛЛ перевод]]+Таблица2[[#This Row],[Сумма за перевод руб]]</f>
        <v>8949.5245793814538</v>
      </c>
      <c r="AB68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86" s="9"/>
      <c r="AD686" s="41"/>
    </row>
    <row r="687" spans="1:30" ht="30" x14ac:dyDescent="0.25">
      <c r="A687" s="6">
        <v>44846</v>
      </c>
      <c r="B687" s="38" t="s">
        <v>755</v>
      </c>
      <c r="C687" s="38" t="s">
        <v>354</v>
      </c>
      <c r="D687" s="1" t="s">
        <v>867</v>
      </c>
      <c r="E687" s="1"/>
      <c r="F687" s="3">
        <v>54175.98</v>
      </c>
      <c r="G687" s="5"/>
      <c r="H687" s="2">
        <v>8.8699999999999992</v>
      </c>
      <c r="I687" s="2"/>
      <c r="J687" s="2">
        <v>0.97</v>
      </c>
      <c r="K687" s="2"/>
      <c r="L687" s="2"/>
      <c r="M687" s="26">
        <f>Таблица2[[#This Row],[Сумма ЮА]]*Таблица2[[#This Row],[Курс ЮА]]</f>
        <v>480540.94260000001</v>
      </c>
      <c r="N687" s="24">
        <f>Таблица2[[#This Row],[Сумма ЮА]]*Таблица2[[#This Row],[Курс ЮА]]/Таблица2[[#This Row],[% за перевод]]</f>
        <v>495403.03360824747</v>
      </c>
      <c r="O68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8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14862.091008247458</v>
      </c>
      <c r="Q687" s="30">
        <v>495403.03</v>
      </c>
      <c r="R687" s="12">
        <f>Таблица2[[#This Row],[Сумма в руб]]-Таблица2[[#This Row],[Оплата от клиента]]</f>
        <v>3.6082474398426712E-3</v>
      </c>
      <c r="S687" s="10">
        <v>44851</v>
      </c>
      <c r="T687" s="32" t="s">
        <v>107</v>
      </c>
      <c r="U687" s="24" t="s">
        <v>950</v>
      </c>
      <c r="V687" s="2">
        <v>8.6180000000000003</v>
      </c>
      <c r="W687" s="28"/>
      <c r="X687" s="9"/>
      <c r="Y687" s="16">
        <v>54175.98</v>
      </c>
      <c r="Z687" s="10">
        <v>44851</v>
      </c>
      <c r="AA687" s="26">
        <f>Таблица2[[#This Row],[Сумма перевода Долл/Евро]]*Таблица2[[#This Row],[Курс ДОЛЛ перевод]]+Таблица2[[#This Row],[Сумма за перевод руб]]</f>
        <v>14862.091008247458</v>
      </c>
      <c r="AB68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87" s="9"/>
      <c r="AD687" s="41"/>
    </row>
    <row r="688" spans="1:30" ht="30" x14ac:dyDescent="0.25">
      <c r="A688" s="6">
        <v>44846</v>
      </c>
      <c r="B688" s="38" t="s">
        <v>755</v>
      </c>
      <c r="C688" s="38" t="s">
        <v>354</v>
      </c>
      <c r="D688" s="1" t="s">
        <v>867</v>
      </c>
      <c r="E688" s="1"/>
      <c r="F688" s="3">
        <v>31180</v>
      </c>
      <c r="G688" s="5"/>
      <c r="H688" s="2">
        <v>8.8699999999999992</v>
      </c>
      <c r="I688" s="2"/>
      <c r="J688" s="2">
        <v>0.97</v>
      </c>
      <c r="K688" s="2"/>
      <c r="L688" s="2"/>
      <c r="M688" s="26">
        <f>Таблица2[[#This Row],[Сумма ЮА]]*Таблица2[[#This Row],[Курс ЮА]]</f>
        <v>276566.59999999998</v>
      </c>
      <c r="N688" s="24">
        <f>Таблица2[[#This Row],[Сумма ЮА]]*Таблица2[[#This Row],[Курс ЮА]]/Таблица2[[#This Row],[% за перевод]]</f>
        <v>285120.20618556702</v>
      </c>
      <c r="O68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8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8553.6061855670414</v>
      </c>
      <c r="Q688" s="30">
        <v>285120.21000000002</v>
      </c>
      <c r="R688" s="12">
        <f>Таблица2[[#This Row],[Сумма в руб]]-Таблица2[[#This Row],[Оплата от клиента]]</f>
        <v>-3.8144330028444529E-3</v>
      </c>
      <c r="S688" s="32">
        <v>44847</v>
      </c>
      <c r="T688" s="32" t="s">
        <v>107</v>
      </c>
      <c r="U688" s="24" t="s">
        <v>31</v>
      </c>
      <c r="V688" s="2">
        <v>8.8267000000000007</v>
      </c>
      <c r="W688" s="28"/>
      <c r="X688" s="9"/>
      <c r="Y688" s="16">
        <v>31180</v>
      </c>
      <c r="Z688" s="10">
        <v>44847</v>
      </c>
      <c r="AA688" s="26">
        <f>Таблица2[[#This Row],[Сумма перевода Долл/Евро]]*Таблица2[[#This Row],[Курс ДОЛЛ перевод]]+Таблица2[[#This Row],[Сумма за перевод руб]]</f>
        <v>8553.6061855670414</v>
      </c>
      <c r="AB68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88" s="9"/>
      <c r="AD688" s="41"/>
    </row>
    <row r="689" spans="1:30" x14ac:dyDescent="0.25">
      <c r="A689" s="6">
        <v>44846</v>
      </c>
      <c r="B689" s="2" t="s">
        <v>811</v>
      </c>
      <c r="C689" s="2" t="s">
        <v>187</v>
      </c>
      <c r="D689" s="1" t="s">
        <v>812</v>
      </c>
      <c r="E689" s="1"/>
      <c r="F689" s="3"/>
      <c r="G689" s="5">
        <v>2500</v>
      </c>
      <c r="H689" s="2"/>
      <c r="I689" s="2">
        <v>65.03</v>
      </c>
      <c r="J689" s="2">
        <v>0.97</v>
      </c>
      <c r="K689" s="2"/>
      <c r="L689" s="2"/>
      <c r="M689" s="26">
        <f>Таблица2[[#This Row],[Сумма Долл]]*Таблица2[[#This Row],[Курс ДОЛЛ]]</f>
        <v>162575</v>
      </c>
      <c r="N68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167603.09278350516</v>
      </c>
      <c r="O68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2689.230341697255</v>
      </c>
      <c r="P68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5028.0927835051552</v>
      </c>
      <c r="Q689" s="30">
        <v>167603.09</v>
      </c>
      <c r="R689" s="12">
        <f>Таблица2[[#This Row],[Сумма в руб]]-Таблица2[[#This Row],[Оплата от клиента]]</f>
        <v>2.7835051587317139E-3</v>
      </c>
      <c r="S689" s="32">
        <v>44846</v>
      </c>
      <c r="T689" s="32" t="s">
        <v>164</v>
      </c>
      <c r="U689" s="24" t="s">
        <v>31</v>
      </c>
      <c r="V689" s="2"/>
      <c r="W689" s="28">
        <v>60.454099999999997</v>
      </c>
      <c r="X689" s="9">
        <v>2500</v>
      </c>
      <c r="Y689" s="16"/>
      <c r="Z689" s="10">
        <v>44846</v>
      </c>
      <c r="AA689" s="26">
        <f>Таблица2[[#This Row],[Сумма перевода Долл/Евро]]*Таблица2[[#This Row],[Курс ДОЛЛ перевод]]+Таблица2[[#This Row],[Сумма за перевод руб]]</f>
        <v>156163.34278350516</v>
      </c>
      <c r="AB68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189.23034169725497</v>
      </c>
      <c r="AC689" s="9"/>
      <c r="AD689" s="41"/>
    </row>
    <row r="690" spans="1:30" ht="45" x14ac:dyDescent="0.25">
      <c r="A690" s="6">
        <v>44848</v>
      </c>
      <c r="B690" s="38" t="s">
        <v>726</v>
      </c>
      <c r="C690" s="38" t="s">
        <v>203</v>
      </c>
      <c r="D690" s="1" t="s">
        <v>795</v>
      </c>
      <c r="E690" s="1"/>
      <c r="F690" s="3">
        <v>38405</v>
      </c>
      <c r="G690" s="5"/>
      <c r="H690" s="2">
        <v>8.94</v>
      </c>
      <c r="I690" s="2"/>
      <c r="J690" s="2">
        <v>0.97</v>
      </c>
      <c r="K690" s="2"/>
      <c r="L690" s="2"/>
      <c r="M690" s="26">
        <f>Таблица2[[#This Row],[Сумма ЮА]]*Таблица2[[#This Row],[Курс ЮА]]</f>
        <v>343340.69999999995</v>
      </c>
      <c r="N690" s="24">
        <f>Таблица2[[#This Row],[Сумма ЮА]]*Таблица2[[#This Row],[Курс ЮА]]/Таблица2[[#This Row],[% за перевод]]</f>
        <v>353959.48453608243</v>
      </c>
      <c r="O69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9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10618.784536082472</v>
      </c>
      <c r="Q690" s="30">
        <v>353959.48</v>
      </c>
      <c r="R690" s="12">
        <f>Таблица2[[#This Row],[Сумма в руб]]-Таблица2[[#This Row],[Оплата от клиента]]</f>
        <v>4.5360824442468584E-3</v>
      </c>
      <c r="S690" s="32">
        <v>44851</v>
      </c>
      <c r="T690" s="32" t="s">
        <v>107</v>
      </c>
      <c r="U690" s="24" t="s">
        <v>31</v>
      </c>
      <c r="V690" s="2">
        <v>8.6884999999999994</v>
      </c>
      <c r="W690" s="28"/>
      <c r="X690" s="9"/>
      <c r="Y690" s="16">
        <v>38405</v>
      </c>
      <c r="Z690" s="10">
        <v>44851</v>
      </c>
      <c r="AA690" s="26">
        <f>Таблица2[[#This Row],[Сумма перевода Долл/Евро]]*Таблица2[[#This Row],[Курс ДОЛЛ перевод]]+Таблица2[[#This Row],[Сумма за перевод руб]]</f>
        <v>10618.784536082472</v>
      </c>
      <c r="AB69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90" s="9"/>
      <c r="AD690" s="41"/>
    </row>
    <row r="691" spans="1:30" ht="30" x14ac:dyDescent="0.25">
      <c r="A691" s="6">
        <v>44848</v>
      </c>
      <c r="B691" s="38" t="s">
        <v>755</v>
      </c>
      <c r="C691" s="38" t="s">
        <v>354</v>
      </c>
      <c r="D691" s="1" t="s">
        <v>867</v>
      </c>
      <c r="E691" s="1"/>
      <c r="F691" s="3">
        <v>491.54</v>
      </c>
      <c r="G691" s="5"/>
      <c r="H691" s="2">
        <v>8.94</v>
      </c>
      <c r="I691" s="2"/>
      <c r="J691" s="2">
        <v>0.97</v>
      </c>
      <c r="K691" s="2"/>
      <c r="L691" s="2"/>
      <c r="M691" s="26">
        <f>Таблица2[[#This Row],[Сумма ЮА]]*Таблица2[[#This Row],[Курс ЮА]]</f>
        <v>4394.3675999999996</v>
      </c>
      <c r="N691" s="24">
        <f>Таблица2[[#This Row],[Сумма ЮА]]*Таблица2[[#This Row],[Курс ЮА]]/Таблица2[[#This Row],[% за перевод]]</f>
        <v>4530.2758762886597</v>
      </c>
      <c r="O69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9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135.90827628866009</v>
      </c>
      <c r="Q691" s="30">
        <v>4530.28</v>
      </c>
      <c r="R691" s="12">
        <f>Таблица2[[#This Row],[Сумма в руб]]-Таблица2[[#This Row],[Оплата от клиента]]</f>
        <v>-4.1237113400711678E-3</v>
      </c>
      <c r="S691" s="10">
        <v>44851</v>
      </c>
      <c r="T691" s="32" t="s">
        <v>107</v>
      </c>
      <c r="U691" s="24" t="s">
        <v>31</v>
      </c>
      <c r="V691" s="2">
        <v>8.6180000000000003</v>
      </c>
      <c r="W691" s="28"/>
      <c r="X691" s="9"/>
      <c r="Y691" s="16">
        <v>491.54</v>
      </c>
      <c r="Z691" s="10">
        <v>44851</v>
      </c>
      <c r="AA691" s="26">
        <f>Таблица2[[#This Row],[Сумма перевода Долл/Евро]]*Таблица2[[#This Row],[Курс ДОЛЛ перевод]]+Таблица2[[#This Row],[Сумма за перевод руб]]</f>
        <v>135.90827628866009</v>
      </c>
      <c r="AB69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91" s="9"/>
      <c r="AD691" s="41"/>
    </row>
    <row r="692" spans="1:30" ht="30" x14ac:dyDescent="0.25">
      <c r="A692" s="6">
        <v>44848</v>
      </c>
      <c r="B692" s="38" t="s">
        <v>755</v>
      </c>
      <c r="C692" s="38" t="s">
        <v>354</v>
      </c>
      <c r="D692" s="1" t="s">
        <v>867</v>
      </c>
      <c r="E692" s="1"/>
      <c r="F692" s="3">
        <v>7224.47</v>
      </c>
      <c r="G692" s="5"/>
      <c r="H692" s="2">
        <v>8.94</v>
      </c>
      <c r="I692" s="2"/>
      <c r="J692" s="2">
        <v>0.97</v>
      </c>
      <c r="K692" s="2"/>
      <c r="L692" s="2"/>
      <c r="M692" s="26">
        <f>Таблица2[[#This Row],[Сумма ЮА]]*Таблица2[[#This Row],[Курс ЮА]]</f>
        <v>64586.7618</v>
      </c>
      <c r="N692" s="24">
        <f>Таблица2[[#This Row],[Сумма ЮА]]*Таблица2[[#This Row],[Курс ЮА]]/Таблица2[[#This Row],[% за перевод]]</f>
        <v>66584.290515463916</v>
      </c>
      <c r="O69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9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1997.5287154639154</v>
      </c>
      <c r="Q692" s="30">
        <v>66584.289999999994</v>
      </c>
      <c r="R692" s="12">
        <f>Таблица2[[#This Row],[Сумма в руб]]-Таблица2[[#This Row],[Оплата от клиента]]</f>
        <v>5.1546392205636948E-4</v>
      </c>
      <c r="S692" s="10">
        <v>44851</v>
      </c>
      <c r="T692" s="32" t="s">
        <v>107</v>
      </c>
      <c r="U692" s="24" t="s">
        <v>31</v>
      </c>
      <c r="V692" s="2">
        <v>8.6180000000000003</v>
      </c>
      <c r="W692" s="28"/>
      <c r="X692" s="9"/>
      <c r="Y692" s="16">
        <v>7224.47</v>
      </c>
      <c r="Z692" s="10">
        <v>44851</v>
      </c>
      <c r="AA692" s="26">
        <f>Таблица2[[#This Row],[Сумма перевода Долл/Евро]]*Таблица2[[#This Row],[Курс ДОЛЛ перевод]]+Таблица2[[#This Row],[Сумма за перевод руб]]</f>
        <v>1997.5287154639154</v>
      </c>
      <c r="AB69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92" s="9"/>
      <c r="AD692" s="41"/>
    </row>
    <row r="693" spans="1:30" ht="30" x14ac:dyDescent="0.25">
      <c r="A693" s="6">
        <v>44848</v>
      </c>
      <c r="B693" s="38" t="s">
        <v>755</v>
      </c>
      <c r="C693" s="38" t="s">
        <v>354</v>
      </c>
      <c r="D693" s="1" t="s">
        <v>867</v>
      </c>
      <c r="E693" s="1"/>
      <c r="F693" s="3">
        <v>11239.54</v>
      </c>
      <c r="G693" s="5"/>
      <c r="H693" s="2">
        <v>8.94</v>
      </c>
      <c r="I693" s="2"/>
      <c r="J693" s="2">
        <v>0.97</v>
      </c>
      <c r="K693" s="2"/>
      <c r="L693" s="2"/>
      <c r="M693" s="26">
        <f>Таблица2[[#This Row],[Сумма ЮА]]*Таблица2[[#This Row],[Курс ЮА]]</f>
        <v>100481.48760000001</v>
      </c>
      <c r="N693" s="24">
        <f>Таблица2[[#This Row],[Сумма ЮА]]*Таблица2[[#This Row],[Курс ЮА]]/Таблица2[[#This Row],[% за перевод]]</f>
        <v>103589.16247422682</v>
      </c>
      <c r="O69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69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3107.6748742268101</v>
      </c>
      <c r="Q693" s="30">
        <v>103589.16</v>
      </c>
      <c r="R693" s="12">
        <f>Таблица2[[#This Row],[Сумма в руб]]-Таблица2[[#This Row],[Оплата от клиента]]</f>
        <v>2.4742268142290413E-3</v>
      </c>
      <c r="S693" s="10">
        <v>44851</v>
      </c>
      <c r="T693" s="32" t="s">
        <v>107</v>
      </c>
      <c r="U693" s="24" t="s">
        <v>31</v>
      </c>
      <c r="V693" s="2">
        <v>8.6180000000000003</v>
      </c>
      <c r="W693" s="28"/>
      <c r="X693" s="9"/>
      <c r="Y693" s="16">
        <v>11239.54</v>
      </c>
      <c r="Z693" s="10">
        <v>44851</v>
      </c>
      <c r="AA693" s="26">
        <f>Таблица2[[#This Row],[Сумма перевода Долл/Евро]]*Таблица2[[#This Row],[Курс ДОЛЛ перевод]]+Таблица2[[#This Row],[Сумма за перевод руб]]</f>
        <v>3107.6748742268101</v>
      </c>
      <c r="AB69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693" s="9"/>
      <c r="AD693" s="41"/>
    </row>
    <row r="694" spans="1:30" ht="30" x14ac:dyDescent="0.25">
      <c r="A694" s="6">
        <v>44848</v>
      </c>
      <c r="B694" s="38" t="s">
        <v>139</v>
      </c>
      <c r="C694" s="38" t="s">
        <v>140</v>
      </c>
      <c r="D694" s="1" t="s">
        <v>949</v>
      </c>
      <c r="E694" s="1"/>
      <c r="F694" s="3">
        <v>7700</v>
      </c>
      <c r="G694" s="5"/>
      <c r="H694" s="2">
        <v>8.94</v>
      </c>
      <c r="I694" s="2">
        <v>64.2</v>
      </c>
      <c r="J694" s="2"/>
      <c r="K694" s="2">
        <v>80</v>
      </c>
      <c r="L694" s="2"/>
      <c r="M694" s="26">
        <f>Таблица2[[#This Row],[Сумма ЮА]]*Таблица2[[#This Row],[Курс ЮА]]</f>
        <v>68838</v>
      </c>
      <c r="N694" s="24">
        <f>Таблица2[[#This Row],[Сумма ЮА]]*Таблица2[[#This Row],[Курс ЮА]]+Таблица2[[#This Row],[Долл за перевод]]*Таблица2[[#This Row],[Курс ДОЛЛ]]</f>
        <v>73974</v>
      </c>
      <c r="O69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1072.2429906542056</v>
      </c>
      <c r="P69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5136</v>
      </c>
      <c r="Q694" s="30">
        <v>73974</v>
      </c>
      <c r="R694" s="12">
        <f>Таблица2[[#This Row],[Сумма в руб]]-Таблица2[[#This Row],[Оплата от клиента]]</f>
        <v>0</v>
      </c>
      <c r="S694" s="32">
        <v>44848</v>
      </c>
      <c r="T694" s="32" t="s">
        <v>107</v>
      </c>
      <c r="U694" s="24" t="s">
        <v>31</v>
      </c>
      <c r="V694" s="2">
        <v>8.6180000000000003</v>
      </c>
      <c r="W694" s="28"/>
      <c r="X694" s="9"/>
      <c r="Y694" s="16">
        <v>7700</v>
      </c>
      <c r="Z694" s="10">
        <v>44851</v>
      </c>
      <c r="AA694" s="26">
        <f>Таблица2[[#This Row],[Сумма перевода Долл/Евро]]*Таблица2[[#This Row],[Курс ДОЛЛ перевод]]+Таблица2[[#This Row],[Сумма за перевод руб]]</f>
        <v>5136</v>
      </c>
      <c r="AB69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178.76422527940872</v>
      </c>
      <c r="AC694" s="9"/>
      <c r="AD694" s="41"/>
    </row>
    <row r="695" spans="1:30" ht="30" x14ac:dyDescent="0.25">
      <c r="A695" s="6">
        <v>44851</v>
      </c>
      <c r="B695" s="28" t="s">
        <v>938</v>
      </c>
      <c r="C695" s="28" t="s">
        <v>939</v>
      </c>
      <c r="D695" s="1" t="s">
        <v>951</v>
      </c>
      <c r="E695" s="1"/>
      <c r="F695" s="3"/>
      <c r="G695" s="5">
        <v>11612</v>
      </c>
      <c r="H695" s="2"/>
      <c r="I695" s="2">
        <v>61.91</v>
      </c>
      <c r="J695" s="2"/>
      <c r="K695" s="2"/>
      <c r="L695" s="2"/>
      <c r="M695" s="26">
        <f>Таблица2[[#This Row],[Сумма Долл]]*Таблица2[[#This Row],[Курс ДОЛЛ]]</f>
        <v>718898.91999999993</v>
      </c>
      <c r="N69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718898.91999999993</v>
      </c>
      <c r="O69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11496.845839043915</v>
      </c>
      <c r="P69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695" s="30">
        <v>718898.92</v>
      </c>
      <c r="R695" s="12">
        <f>Таблица2[[#This Row],[Сумма в руб]]-Таблица2[[#This Row],[Оплата от клиента]]</f>
        <v>0</v>
      </c>
      <c r="S695" s="32">
        <v>44853</v>
      </c>
      <c r="T695" s="42" t="s">
        <v>277</v>
      </c>
      <c r="U695" s="24" t="s">
        <v>31</v>
      </c>
      <c r="V695" s="2"/>
      <c r="W695" s="28">
        <v>62.530099999999997</v>
      </c>
      <c r="X695" s="9">
        <v>11031.25</v>
      </c>
      <c r="Y695" s="16"/>
      <c r="Z695" s="10">
        <v>44860</v>
      </c>
      <c r="AA695" s="26">
        <f>Таблица2[[#This Row],[Сумма перевода Долл/Евро]]*Таблица2[[#This Row],[Курс ДОЛЛ перевод]]+Таблица2[[#This Row],[Сумма за перевод руб]]</f>
        <v>689785.16562500002</v>
      </c>
      <c r="AB69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465.59583904391548</v>
      </c>
      <c r="AC695" s="9" t="s">
        <v>1085</v>
      </c>
      <c r="AD695" s="41"/>
    </row>
    <row r="696" spans="1:30" ht="30" x14ac:dyDescent="0.25">
      <c r="A696" s="6">
        <v>44852</v>
      </c>
      <c r="B696" s="38" t="s">
        <v>755</v>
      </c>
      <c r="C696" s="38" t="s">
        <v>354</v>
      </c>
      <c r="D696" s="1" t="s">
        <v>867</v>
      </c>
      <c r="E696" s="1"/>
      <c r="F696" s="3">
        <v>730</v>
      </c>
      <c r="G696" s="5"/>
      <c r="H696" s="2">
        <v>8.74</v>
      </c>
      <c r="I696" s="2">
        <v>62.65</v>
      </c>
      <c r="J696" s="2"/>
      <c r="K696" s="2">
        <v>80</v>
      </c>
      <c r="L696" s="2"/>
      <c r="M696" s="26">
        <f>Таблица2[[#This Row],[Сумма Долл]]*Таблица2[[#This Row],[Курс ДОЛЛ]]</f>
        <v>0</v>
      </c>
      <c r="N696" s="24">
        <f>Таблица2[[#This Row],[Сумма ЮА]]*Таблица2[[#This Row],[Курс ЮА]]+Таблица2[[#This Row],[Долл за перевод]]*Таблица2[[#This Row],[Курс ДОЛЛ]]</f>
        <v>11392.2</v>
      </c>
      <c r="O69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69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5012</v>
      </c>
      <c r="Q696" s="30">
        <v>11392.2</v>
      </c>
      <c r="R696" s="12">
        <f>Таблица2[[#This Row],[Сумма в руб]]-Таблица2[[#This Row],[Оплата от клиента]]</f>
        <v>0</v>
      </c>
      <c r="S696" s="32">
        <v>44853</v>
      </c>
      <c r="T696" s="32" t="s">
        <v>107</v>
      </c>
      <c r="U696" s="24" t="s">
        <v>31</v>
      </c>
      <c r="V696" s="2">
        <v>8.6884999999999994</v>
      </c>
      <c r="W696" s="28"/>
      <c r="X696" s="9"/>
      <c r="Y696" s="16">
        <v>730</v>
      </c>
      <c r="Z696" s="10">
        <v>44853</v>
      </c>
      <c r="AA696" s="26">
        <f>Таблица2[[#This Row],[Сумма перевода Долл/Евро]]*Таблица2[[#This Row],[Курс ДОЛЛ перевод]]+Таблица2[[#This Row],[Сумма за перевод руб]]</f>
        <v>5012</v>
      </c>
      <c r="AB69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-84.019105714450134</v>
      </c>
      <c r="AC696" s="9"/>
      <c r="AD696" s="41"/>
    </row>
    <row r="697" spans="1:30" ht="30" x14ac:dyDescent="0.25">
      <c r="A697" s="6">
        <v>44852</v>
      </c>
      <c r="B697" s="38" t="s">
        <v>452</v>
      </c>
      <c r="C697" s="38" t="s">
        <v>447</v>
      </c>
      <c r="D697" s="1" t="s">
        <v>750</v>
      </c>
      <c r="E697" s="1"/>
      <c r="F697" s="3"/>
      <c r="G697" s="5">
        <v>442</v>
      </c>
      <c r="H697" s="2"/>
      <c r="I697" s="2">
        <v>62.85</v>
      </c>
      <c r="J697" s="2">
        <v>0.9</v>
      </c>
      <c r="K697" s="2"/>
      <c r="L697" s="2"/>
      <c r="M697" s="26">
        <f>Таблица2[[#This Row],[Сумма Долл]]*Таблица2[[#This Row],[Курс ДОЛЛ]]</f>
        <v>27779.7</v>
      </c>
      <c r="N69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30866.333333333332</v>
      </c>
      <c r="O69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458.48957576877882</v>
      </c>
      <c r="P69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3086.6333333333314</v>
      </c>
      <c r="Q697" s="30">
        <v>30866.33</v>
      </c>
      <c r="R697" s="12">
        <f>Таблица2[[#This Row],[Сумма в руб]]-Таблица2[[#This Row],[Оплата от клиента]]</f>
        <v>3.3333333303744439E-3</v>
      </c>
      <c r="S697" s="32">
        <v>44853</v>
      </c>
      <c r="T697" s="32" t="s">
        <v>720</v>
      </c>
      <c r="U697" s="24" t="s">
        <v>31</v>
      </c>
      <c r="V697" s="2">
        <v>7.2</v>
      </c>
      <c r="W697" s="28">
        <v>60.589599999999997</v>
      </c>
      <c r="X697" s="9">
        <v>460.42</v>
      </c>
      <c r="Y697" s="16">
        <v>4124.3</v>
      </c>
      <c r="Z697" s="10">
        <v>44860</v>
      </c>
      <c r="AA697" s="26">
        <f>Таблица2[[#This Row],[Сумма перевода Долл/Евро]]*Таблица2[[#This Row],[Курс ДОЛЛ перевод]]+Таблица2[[#This Row],[Сумма за перевод руб]]</f>
        <v>30983.296965333331</v>
      </c>
      <c r="AB69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-114.32986867566564</v>
      </c>
      <c r="AC697" s="9"/>
      <c r="AD697" s="41"/>
    </row>
    <row r="698" spans="1:30" x14ac:dyDescent="0.25">
      <c r="A698" s="6">
        <v>44853</v>
      </c>
      <c r="B698" s="2" t="s">
        <v>811</v>
      </c>
      <c r="C698" s="2" t="s">
        <v>187</v>
      </c>
      <c r="D698" s="1"/>
      <c r="E698" s="1"/>
      <c r="F698" s="3"/>
      <c r="G698" s="5">
        <v>3042.6</v>
      </c>
      <c r="H698" s="2"/>
      <c r="I698" s="2">
        <v>62.69</v>
      </c>
      <c r="J698" s="2">
        <v>0.97</v>
      </c>
      <c r="K698" s="2"/>
      <c r="L698" s="2"/>
      <c r="M698" s="26">
        <f>Таблица2[[#This Row],[Сумма Долл]]*Таблица2[[#This Row],[Курс ДОЛЛ]]</f>
        <v>190740.59399999998</v>
      </c>
      <c r="N69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196639.78762886598</v>
      </c>
      <c r="O69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3155.130818257157</v>
      </c>
      <c r="P69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5899.1936288659927</v>
      </c>
      <c r="Q698" s="30">
        <v>196639.79</v>
      </c>
      <c r="R698" s="12">
        <f>Таблица2[[#This Row],[Сумма в руб]]-Таблица2[[#This Row],[Оплата от клиента]]</f>
        <v>-2.3711340327281505E-3</v>
      </c>
      <c r="S698" s="32">
        <v>44853</v>
      </c>
      <c r="T698" s="32" t="s">
        <v>164</v>
      </c>
      <c r="U698" s="24" t="s">
        <v>31</v>
      </c>
      <c r="V698" s="2"/>
      <c r="W698" s="28">
        <v>60.454099999999997</v>
      </c>
      <c r="X698" s="9">
        <v>3042.6</v>
      </c>
      <c r="Y698" s="16"/>
      <c r="Z698" s="10">
        <v>44853</v>
      </c>
      <c r="AA698" s="26">
        <f>Таблица2[[#This Row],[Сумма перевода Долл/Евро]]*Таблица2[[#This Row],[Курс ДОЛЛ перевод]]+Таблица2[[#This Row],[Сумма за перевод руб]]</f>
        <v>189836.83828886598</v>
      </c>
      <c r="AB69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112.53081825715708</v>
      </c>
      <c r="AC698" s="9"/>
      <c r="AD698" s="41"/>
    </row>
    <row r="699" spans="1:30" x14ac:dyDescent="0.25">
      <c r="A699" s="6">
        <v>44854</v>
      </c>
      <c r="B699" s="38" t="s">
        <v>32</v>
      </c>
      <c r="C699" s="38" t="s">
        <v>33</v>
      </c>
      <c r="D699" s="1" t="s">
        <v>793</v>
      </c>
      <c r="E699" s="1"/>
      <c r="F699" s="3">
        <v>13020</v>
      </c>
      <c r="G699" s="5"/>
      <c r="H699" s="2">
        <v>8.69</v>
      </c>
      <c r="I699" s="2">
        <v>62.56</v>
      </c>
      <c r="J699" s="2"/>
      <c r="K699" s="2">
        <v>80</v>
      </c>
      <c r="L699" s="2"/>
      <c r="M699" s="26">
        <f>Таблица2[[#This Row],[Сумма ЮА]]*Таблица2[[#This Row],[Курс ЮА]]</f>
        <v>113143.79999999999</v>
      </c>
      <c r="N699" s="24">
        <f>Таблица2[[#This Row],[Сумма ЮА]]*Таблица2[[#This Row],[Курс ЮА]]+Таблица2[[#This Row],[Долл за перевод]]*Таблица2[[#This Row],[Курс ДОЛЛ]]</f>
        <v>118148.59999999999</v>
      </c>
      <c r="O69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1808.5645780051148</v>
      </c>
      <c r="P69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5004.8</v>
      </c>
      <c r="Q699" s="30">
        <v>118148.6</v>
      </c>
      <c r="R699" s="12">
        <f>Таблица2[[#This Row],[Сумма в руб]]-Таблица2[[#This Row],[Оплата от клиента]]</f>
        <v>0</v>
      </c>
      <c r="S699" s="32">
        <v>44855</v>
      </c>
      <c r="T699" s="32" t="s">
        <v>107</v>
      </c>
      <c r="U699" s="24" t="s">
        <v>31</v>
      </c>
      <c r="V699" s="2">
        <v>8.4680999999999997</v>
      </c>
      <c r="W699" s="28"/>
      <c r="X699" s="9"/>
      <c r="Y699" s="16">
        <v>13020</v>
      </c>
      <c r="Z699" s="10">
        <v>44855</v>
      </c>
      <c r="AA699" s="26">
        <f>Таблица2[[#This Row],[Сумма перевода Долл/Евро]]*Таблица2[[#This Row],[Курс ДОЛЛ перевод]]+Таблица2[[#This Row],[Сумма за перевод руб]]</f>
        <v>5004.8</v>
      </c>
      <c r="AB69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271.02959377016236</v>
      </c>
      <c r="AC699" s="9" t="s">
        <v>1092</v>
      </c>
      <c r="AD699" s="41"/>
    </row>
    <row r="700" spans="1:30" x14ac:dyDescent="0.25">
      <c r="A700" s="6">
        <v>44855</v>
      </c>
      <c r="B700" s="38" t="s">
        <v>502</v>
      </c>
      <c r="C700" s="38" t="s">
        <v>503</v>
      </c>
      <c r="D700" s="1" t="s">
        <v>797</v>
      </c>
      <c r="E700" s="1"/>
      <c r="F700" s="3">
        <v>8982</v>
      </c>
      <c r="G700" s="5"/>
      <c r="H700" s="2">
        <v>8.68</v>
      </c>
      <c r="I700" s="2"/>
      <c r="J700" s="2">
        <v>0.9</v>
      </c>
      <c r="K700" s="2"/>
      <c r="L700" s="2"/>
      <c r="M700" s="26">
        <f>Таблица2[[#This Row],[Сумма ЮА]]*Таблица2[[#This Row],[Курс ЮА]]</f>
        <v>77963.759999999995</v>
      </c>
      <c r="N700" s="24">
        <f>Таблица2[[#This Row],[Сумма ЮА]]*Таблица2[[#This Row],[Курс ЮА]]/Таблица2[[#This Row],[% за перевод]]</f>
        <v>86626.4</v>
      </c>
      <c r="O70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1256.3067715794443</v>
      </c>
      <c r="P70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8662.64</v>
      </c>
      <c r="Q700" s="30">
        <v>86626.4</v>
      </c>
      <c r="R700" s="12">
        <f>Таблица2[[#This Row],[Сумма в руб]]-Таблица2[[#This Row],[Оплата от клиента]]</f>
        <v>0</v>
      </c>
      <c r="S700" s="32">
        <v>44855</v>
      </c>
      <c r="T700" s="32" t="s">
        <v>720</v>
      </c>
      <c r="U700" s="24" t="s">
        <v>31</v>
      </c>
      <c r="V700" s="2">
        <v>7.2</v>
      </c>
      <c r="W700" s="28">
        <v>62.057899999999997</v>
      </c>
      <c r="X700" s="9">
        <v>1308.6500000000001</v>
      </c>
      <c r="Y700" s="16">
        <v>8982</v>
      </c>
      <c r="Z700" s="10">
        <v>44860</v>
      </c>
      <c r="AA700" s="26">
        <f>Таблица2[[#This Row],[Сумма перевода Долл/Евро]]*Таблица2[[#This Row],[Курс ДОЛЛ перевод]]+Таблица2[[#This Row],[Сумма за перевод руб]]</f>
        <v>89874.710835000005</v>
      </c>
      <c r="AB70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8.8067715794443302</v>
      </c>
      <c r="AC700" s="9"/>
      <c r="AD700" s="41"/>
    </row>
    <row r="701" spans="1:30" ht="30" x14ac:dyDescent="0.25">
      <c r="A701" s="6">
        <v>44855</v>
      </c>
      <c r="B701" s="38" t="s">
        <v>403</v>
      </c>
      <c r="C701" s="38" t="s">
        <v>168</v>
      </c>
      <c r="D701" s="1" t="s">
        <v>750</v>
      </c>
      <c r="E701" s="1"/>
      <c r="F701" s="3">
        <v>9828</v>
      </c>
      <c r="G701" s="5"/>
      <c r="H701" s="2">
        <v>8.68</v>
      </c>
      <c r="I701" s="2"/>
      <c r="J701" s="2">
        <v>0.9</v>
      </c>
      <c r="K701" s="2"/>
      <c r="L701" s="2"/>
      <c r="M701" s="26">
        <f>Таблица2[[#This Row],[Сумма ЮА]]*Таблица2[[#This Row],[Курс ЮА]]</f>
        <v>85307.04</v>
      </c>
      <c r="N701" s="24">
        <f>Таблица2[[#This Row],[Сумма ЮА]]*Таблица2[[#This Row],[Курс ЮА]]/Таблица2[[#This Row],[% за перевод]]</f>
        <v>94785.599999999991</v>
      </c>
      <c r="O70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1371.683268613878</v>
      </c>
      <c r="P70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9478.5599999999977</v>
      </c>
      <c r="Q701" s="30">
        <v>94785.600000000006</v>
      </c>
      <c r="R701" s="12">
        <f>Таблица2[[#This Row],[Сумма в руб]]-Таблица2[[#This Row],[Оплата от клиента]]</f>
        <v>0</v>
      </c>
      <c r="S701" s="32">
        <v>44855</v>
      </c>
      <c r="T701" s="32" t="s">
        <v>720</v>
      </c>
      <c r="U701" s="24" t="s">
        <v>31</v>
      </c>
      <c r="V701" s="2">
        <v>7.2</v>
      </c>
      <c r="W701" s="28">
        <v>62.191499999999998</v>
      </c>
      <c r="X701" s="9">
        <v>1428.84</v>
      </c>
      <c r="Y701" s="16">
        <v>9828</v>
      </c>
      <c r="Z701" s="10">
        <v>44859</v>
      </c>
      <c r="AA701" s="26">
        <f>Таблица2[[#This Row],[Сумма перевода Долл/Евро]]*Таблица2[[#This Row],[Курс ДОЛЛ перевод]]+Таблица2[[#This Row],[Сумма за перевод руб]]</f>
        <v>98340.262859999988</v>
      </c>
      <c r="AB70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6.6832686138779991</v>
      </c>
      <c r="AC701" s="9" t="s">
        <v>1080</v>
      </c>
      <c r="AD701" s="41" t="s">
        <v>1071</v>
      </c>
    </row>
    <row r="702" spans="1:30" ht="30" x14ac:dyDescent="0.25">
      <c r="A702" s="6">
        <v>44855</v>
      </c>
      <c r="B702" s="38" t="s">
        <v>403</v>
      </c>
      <c r="C702" s="38" t="s">
        <v>168</v>
      </c>
      <c r="D702" s="1" t="s">
        <v>750</v>
      </c>
      <c r="E702" s="1"/>
      <c r="F702" s="3">
        <v>4410</v>
      </c>
      <c r="G702" s="5"/>
      <c r="H702" s="2">
        <v>8.68</v>
      </c>
      <c r="I702" s="2"/>
      <c r="J702" s="2">
        <v>0.9</v>
      </c>
      <c r="K702" s="2"/>
      <c r="L702" s="2"/>
      <c r="M702" s="26">
        <f>Таблица2[[#This Row],[Сумма ЮА]]*Таблица2[[#This Row],[Курс ЮА]]</f>
        <v>38278.799999999996</v>
      </c>
      <c r="N702" s="24">
        <f>Таблица2[[#This Row],[Сумма ЮА]]*Таблица2[[#This Row],[Курс ЮА]]/Таблица2[[#This Row],[% за перевод]]</f>
        <v>42531.999999999993</v>
      </c>
      <c r="O70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615.49890258315043</v>
      </c>
      <c r="P70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4253.1999999999971</v>
      </c>
      <c r="Q702" s="30">
        <v>42532</v>
      </c>
      <c r="R702" s="12">
        <f>Таблица2[[#This Row],[Сумма в руб]]-Таблица2[[#This Row],[Оплата от клиента]]</f>
        <v>0</v>
      </c>
      <c r="S702" s="32">
        <v>44855</v>
      </c>
      <c r="T702" s="32" t="s">
        <v>720</v>
      </c>
      <c r="U702" s="24" t="s">
        <v>31</v>
      </c>
      <c r="V702" s="2">
        <v>7.2</v>
      </c>
      <c r="W702" s="28">
        <v>62.191499999999998</v>
      </c>
      <c r="X702" s="9">
        <v>641.14</v>
      </c>
      <c r="Y702" s="16">
        <v>4410</v>
      </c>
      <c r="Z702" s="10">
        <v>44859</v>
      </c>
      <c r="AA702" s="26">
        <f>Таблица2[[#This Row],[Сумма перевода Долл/Евро]]*Таблица2[[#This Row],[Курс ДОЛЛ перевод]]+Таблица2[[#This Row],[Сумма за перевод руб]]</f>
        <v>44126.658309999992</v>
      </c>
      <c r="AB70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2.998902583150425</v>
      </c>
      <c r="AC702" s="41" t="s">
        <v>1139</v>
      </c>
      <c r="AD702" s="41"/>
    </row>
    <row r="703" spans="1:30" ht="30" x14ac:dyDescent="0.25">
      <c r="A703" s="6">
        <v>44855</v>
      </c>
      <c r="B703" s="38" t="s">
        <v>403</v>
      </c>
      <c r="C703" s="38" t="s">
        <v>168</v>
      </c>
      <c r="D703" s="1" t="s">
        <v>750</v>
      </c>
      <c r="E703" s="1"/>
      <c r="F703" s="3">
        <v>7126</v>
      </c>
      <c r="G703" s="5"/>
      <c r="H703" s="2">
        <v>8.68</v>
      </c>
      <c r="I703" s="2"/>
      <c r="J703" s="2">
        <v>0.9</v>
      </c>
      <c r="K703" s="2"/>
      <c r="L703" s="2"/>
      <c r="M703" s="26">
        <f>Таблица2[[#This Row],[Сумма ЮА]]*Таблица2[[#This Row],[Курс ЮА]]</f>
        <v>61853.68</v>
      </c>
      <c r="N703" s="24">
        <f>Таблица2[[#This Row],[Сумма ЮА]]*Таблица2[[#This Row],[Курс ЮА]]/Таблица2[[#This Row],[% за перевод]]</f>
        <v>68726.311111111107</v>
      </c>
      <c r="O70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994.56806798356695</v>
      </c>
      <c r="P70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6872.6311111111063</v>
      </c>
      <c r="Q703" s="30">
        <v>68726.31</v>
      </c>
      <c r="R703" s="12">
        <f>Таблица2[[#This Row],[Сумма в руб]]-Таблица2[[#This Row],[Оплата от клиента]]</f>
        <v>1.111111108912155E-3</v>
      </c>
      <c r="S703" s="32">
        <v>44855</v>
      </c>
      <c r="T703" s="32" t="s">
        <v>720</v>
      </c>
      <c r="U703" s="24" t="s">
        <v>31</v>
      </c>
      <c r="V703" s="2">
        <v>7.24</v>
      </c>
      <c r="W703" s="28">
        <v>62.191499999999998</v>
      </c>
      <c r="X703" s="9">
        <v>1036.01</v>
      </c>
      <c r="Y703" s="16">
        <v>7126</v>
      </c>
      <c r="Z703" s="10">
        <v>44873</v>
      </c>
      <c r="AA703" s="26">
        <f>Таблица2[[#This Row],[Сумма перевода Долл/Евро]]*Таблица2[[#This Row],[Курс ДОЛЛ перевод]]+Таблица2[[#This Row],[Сумма за перевод руб]]</f>
        <v>71303.64702611111</v>
      </c>
      <c r="AB70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10.313924337158141</v>
      </c>
      <c r="AC703" s="9" t="s">
        <v>1140</v>
      </c>
      <c r="AD703" s="41"/>
    </row>
    <row r="704" spans="1:30" ht="30" x14ac:dyDescent="0.25">
      <c r="A704" s="6">
        <v>44855</v>
      </c>
      <c r="B704" s="38" t="s">
        <v>403</v>
      </c>
      <c r="C704" s="38" t="s">
        <v>168</v>
      </c>
      <c r="D704" s="1" t="s">
        <v>750</v>
      </c>
      <c r="E704" s="1"/>
      <c r="F704" s="3">
        <v>17325</v>
      </c>
      <c r="G704" s="5"/>
      <c r="H704" s="2">
        <v>8.68</v>
      </c>
      <c r="I704" s="2"/>
      <c r="J704" s="2">
        <v>0.9</v>
      </c>
      <c r="K704" s="2"/>
      <c r="L704" s="2"/>
      <c r="M704" s="26">
        <f>Таблица2[[#This Row],[Сумма ЮА]]*Таблица2[[#This Row],[Курс ЮА]]</f>
        <v>150381</v>
      </c>
      <c r="N704" s="24">
        <f>Таблица2[[#This Row],[Сумма ЮА]]*Таблица2[[#This Row],[Курс ЮА]]/Таблица2[[#This Row],[% за перевод]]</f>
        <v>167090</v>
      </c>
      <c r="O70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2418.0314030052341</v>
      </c>
      <c r="P70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16709</v>
      </c>
      <c r="Q704" s="30">
        <v>167090</v>
      </c>
      <c r="R704" s="12">
        <f>Таблица2[[#This Row],[Сумма в руб]]-Таблица2[[#This Row],[Оплата от клиента]]</f>
        <v>0</v>
      </c>
      <c r="S704" s="32">
        <v>44855</v>
      </c>
      <c r="T704" s="32" t="s">
        <v>720</v>
      </c>
      <c r="U704" s="24" t="s">
        <v>31</v>
      </c>
      <c r="V704" s="2">
        <v>7.24</v>
      </c>
      <c r="W704" s="28">
        <v>62.191499999999998</v>
      </c>
      <c r="X704" s="9">
        <v>2518.7800000000002</v>
      </c>
      <c r="Y704" s="16">
        <v>17325</v>
      </c>
      <c r="Z704" s="10">
        <v>44873</v>
      </c>
      <c r="AA704" s="26">
        <f>Таблица2[[#This Row],[Сумма перевода Долл/Евро]]*Таблица2[[#This Row],[Курс ДОЛЛ перевод]]+Таблица2[[#This Row],[Сумма за перевод руб]]</f>
        <v>173355.70637</v>
      </c>
      <c r="AB70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25.075601900261972</v>
      </c>
      <c r="AC704" s="9" t="s">
        <v>1141</v>
      </c>
      <c r="AD704" s="41"/>
    </row>
    <row r="705" spans="1:30" ht="30" x14ac:dyDescent="0.25">
      <c r="A705" s="6">
        <v>44855</v>
      </c>
      <c r="B705" s="38" t="s">
        <v>403</v>
      </c>
      <c r="C705" s="38" t="s">
        <v>168</v>
      </c>
      <c r="D705" s="1" t="s">
        <v>750</v>
      </c>
      <c r="E705" s="1"/>
      <c r="F705" s="3">
        <v>8624</v>
      </c>
      <c r="G705" s="5"/>
      <c r="H705" s="2">
        <v>8.68</v>
      </c>
      <c r="I705" s="2"/>
      <c r="J705" s="2">
        <v>0.9</v>
      </c>
      <c r="K705" s="2"/>
      <c r="L705" s="2"/>
      <c r="M705" s="26">
        <f>Таблица2[[#This Row],[Сумма ЮА]]*Таблица2[[#This Row],[Курс ЮА]]</f>
        <v>74856.319999999992</v>
      </c>
      <c r="N705" s="24">
        <f>Таблица2[[#This Row],[Сумма ЮА]]*Таблица2[[#This Row],[Курс ЮА]]/Таблица2[[#This Row],[% за перевод]]</f>
        <v>83173.688888888879</v>
      </c>
      <c r="O70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1203.6422983848274</v>
      </c>
      <c r="P70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8317.3688888888864</v>
      </c>
      <c r="Q705" s="30">
        <v>83173.69</v>
      </c>
      <c r="R705" s="12">
        <f>Таблица2[[#This Row],[Сумма в руб]]-Таблица2[[#This Row],[Оплата от клиента]]</f>
        <v>-1.1111111234640703E-3</v>
      </c>
      <c r="S705" s="32">
        <v>44855</v>
      </c>
      <c r="T705" s="32" t="s">
        <v>720</v>
      </c>
      <c r="U705" s="24" t="s">
        <v>31</v>
      </c>
      <c r="V705" s="2">
        <v>7.2</v>
      </c>
      <c r="W705" s="28">
        <v>62.191499999999998</v>
      </c>
      <c r="X705" s="9">
        <v>1253.79</v>
      </c>
      <c r="Y705" s="16">
        <v>8624</v>
      </c>
      <c r="Z705" s="10">
        <v>44859</v>
      </c>
      <c r="AA705" s="26">
        <f>Таблица2[[#This Row],[Сумма перевода Долл/Евро]]*Таблица2[[#This Row],[Курс ДОЛЛ перевод]]+Таблица2[[#This Row],[Сумма за перевод руб]]</f>
        <v>86292.449673888885</v>
      </c>
      <c r="AB70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5.8645206070495988</v>
      </c>
      <c r="AC705" s="9"/>
      <c r="AD705" s="41"/>
    </row>
    <row r="706" spans="1:30" ht="45" x14ac:dyDescent="0.25">
      <c r="A706" s="6">
        <v>44855</v>
      </c>
      <c r="B706" s="38" t="s">
        <v>952</v>
      </c>
      <c r="C706" s="38" t="s">
        <v>953</v>
      </c>
      <c r="D706" s="1" t="s">
        <v>954</v>
      </c>
      <c r="E706" s="1"/>
      <c r="F706" s="3">
        <v>15240</v>
      </c>
      <c r="G706" s="5"/>
      <c r="H706" s="2">
        <v>8.67</v>
      </c>
      <c r="I706" s="2"/>
      <c r="J706" s="2">
        <v>0.94</v>
      </c>
      <c r="K706" s="2"/>
      <c r="L706" s="2"/>
      <c r="M706" s="26">
        <f>Таблица2[[#This Row],[Сумма ЮА]]*Таблица2[[#This Row],[Курс ЮА]]</f>
        <v>132130.79999999999</v>
      </c>
      <c r="N706" s="24">
        <f>Таблица2[[#This Row],[Сумма ЮА]]*Таблица2[[#This Row],[Курс ЮА]]/Таблица2[[#This Row],[% за перевод]]</f>
        <v>140564.68085106384</v>
      </c>
      <c r="O70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2134.622747738651</v>
      </c>
      <c r="P70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8433.8808510638482</v>
      </c>
      <c r="Q706" s="30">
        <v>132531.91</v>
      </c>
      <c r="R706" s="12">
        <f>Таблица2[[#This Row],[Сумма в руб]]-Таблица2[[#This Row],[Оплата от клиента]]</f>
        <v>8032.7708510638331</v>
      </c>
      <c r="S706" s="32">
        <v>44855</v>
      </c>
      <c r="T706" s="32" t="s">
        <v>730</v>
      </c>
      <c r="U706" s="24" t="s">
        <v>375</v>
      </c>
      <c r="V706" s="2"/>
      <c r="W706" s="28">
        <v>61.898899999999998</v>
      </c>
      <c r="X706" s="9">
        <v>2083.33</v>
      </c>
      <c r="Y706" s="16"/>
      <c r="Z706" s="2"/>
      <c r="AA706" s="26">
        <f>Таблица2[[#This Row],[Сумма перевода Долл/Евро]]*Таблица2[[#This Row],[Курс ДОЛЛ перевод]]+Таблица2[[#This Row],[Сумма за перевод руб]]</f>
        <v>137389.71618806385</v>
      </c>
      <c r="AB70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51.292747738651087</v>
      </c>
      <c r="AC706" s="9"/>
      <c r="AD706" s="41"/>
    </row>
    <row r="707" spans="1:30" ht="60" x14ac:dyDescent="0.25">
      <c r="A707" s="6">
        <v>44858</v>
      </c>
      <c r="B707" s="38" t="s">
        <v>726</v>
      </c>
      <c r="C707" s="38" t="s">
        <v>203</v>
      </c>
      <c r="D707" s="1" t="s">
        <v>955</v>
      </c>
      <c r="E707" s="1"/>
      <c r="F707" s="3">
        <v>34740</v>
      </c>
      <c r="G707" s="5"/>
      <c r="H707" s="2">
        <v>8.56</v>
      </c>
      <c r="I707" s="2"/>
      <c r="J707" s="2">
        <v>0.97</v>
      </c>
      <c r="K707" s="2"/>
      <c r="L707" s="2"/>
      <c r="M707" s="26">
        <f>Таблица2[[#This Row],[Сумма ЮА]]*Таблица2[[#This Row],[Курс ЮА]]</f>
        <v>297374.40000000002</v>
      </c>
      <c r="N707" s="24">
        <f>Таблица2[[#This Row],[Сумма ЮА]]*Таблица2[[#This Row],[Курс ЮА]]/Таблица2[[#This Row],[% за перевод]]</f>
        <v>306571.54639175261</v>
      </c>
      <c r="O70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0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9197.1463917525834</v>
      </c>
      <c r="Q707" s="30">
        <v>306571.55</v>
      </c>
      <c r="R707" s="12">
        <f>Таблица2[[#This Row],[Сумма в руб]]-Таблица2[[#This Row],[Оплата от клиента]]</f>
        <v>-3.6082473816350102E-3</v>
      </c>
      <c r="S707" s="32">
        <v>44858</v>
      </c>
      <c r="T707" s="32" t="s">
        <v>107</v>
      </c>
      <c r="U707" s="24" t="s">
        <v>31</v>
      </c>
      <c r="V707" s="2">
        <v>8.4367000000000001</v>
      </c>
      <c r="W707" s="28"/>
      <c r="X707" s="9"/>
      <c r="Y707" s="16">
        <v>34740</v>
      </c>
      <c r="Z707" s="10">
        <v>44858</v>
      </c>
      <c r="AA707" s="26">
        <f>Таблица2[[#This Row],[Сумма перевода Долл/Евро]]*Таблица2[[#This Row],[Курс ДОЛЛ перевод]]+Таблица2[[#This Row],[Сумма за перевод руб]]</f>
        <v>9197.1463917525834</v>
      </c>
      <c r="AB70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07" s="9" t="s">
        <v>1155</v>
      </c>
      <c r="AD707" s="41"/>
    </row>
    <row r="708" spans="1:30" ht="30" x14ac:dyDescent="0.25">
      <c r="A708" s="6">
        <v>44859</v>
      </c>
      <c r="B708" s="38" t="s">
        <v>32</v>
      </c>
      <c r="C708" s="38" t="s">
        <v>33</v>
      </c>
      <c r="D708" s="1" t="s">
        <v>729</v>
      </c>
      <c r="E708" s="1"/>
      <c r="F708" s="3">
        <v>89889.95</v>
      </c>
      <c r="G708" s="5"/>
      <c r="H708" s="2">
        <v>8.5500000000000007</v>
      </c>
      <c r="I708" s="2"/>
      <c r="J708" s="2">
        <v>0.97</v>
      </c>
      <c r="K708" s="2"/>
      <c r="L708" s="2"/>
      <c r="M708" s="26">
        <f>Таблица2[[#This Row],[Сумма ЮА]]*Таблица2[[#This Row],[Курс ЮА]]</f>
        <v>768559.07250000001</v>
      </c>
      <c r="N708" s="24">
        <f>Таблица2[[#This Row],[Сумма ЮА]]*Таблица2[[#This Row],[Курс ЮА]]/Таблица2[[#This Row],[% за перевод]]</f>
        <v>792328.94072164956</v>
      </c>
      <c r="O70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0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23769.868221649551</v>
      </c>
      <c r="Q708" s="30">
        <v>792328.94</v>
      </c>
      <c r="R708" s="12">
        <f>Таблица2[[#This Row],[Сумма в руб]]-Таблица2[[#This Row],[Оплата от клиента]]</f>
        <v>7.2164961602538824E-4</v>
      </c>
      <c r="S708" s="32">
        <v>44859</v>
      </c>
      <c r="T708" s="32" t="s">
        <v>107</v>
      </c>
      <c r="U708" s="24" t="s">
        <v>31</v>
      </c>
      <c r="V708" s="2">
        <v>8.4368999999999996</v>
      </c>
      <c r="W708" s="28"/>
      <c r="X708" s="9"/>
      <c r="Y708" s="16">
        <v>89889.95</v>
      </c>
      <c r="Z708" s="10">
        <v>44859</v>
      </c>
      <c r="AA708" s="26">
        <f>Таблица2[[#This Row],[Сумма перевода Долл/Евро]]*Таблица2[[#This Row],[Курс ДОЛЛ перевод]]+Таблица2[[#This Row],[Сумма за перевод руб]]</f>
        <v>23769.868221649551</v>
      </c>
      <c r="AB70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08" s="9"/>
      <c r="AD708" s="41"/>
    </row>
    <row r="709" spans="1:30" ht="30" x14ac:dyDescent="0.25">
      <c r="A709" s="6">
        <v>44860</v>
      </c>
      <c r="B709" s="38" t="s">
        <v>120</v>
      </c>
      <c r="C709" s="38" t="s">
        <v>121</v>
      </c>
      <c r="D709" s="1" t="s">
        <v>183</v>
      </c>
      <c r="E709" s="1"/>
      <c r="F709" s="3">
        <v>28500</v>
      </c>
      <c r="G709" s="5"/>
      <c r="H709" s="2">
        <v>8.7100000000000009</v>
      </c>
      <c r="I709" s="2"/>
      <c r="J709" s="2">
        <v>0.9</v>
      </c>
      <c r="K709" s="2"/>
      <c r="L709" s="2"/>
      <c r="M709" s="26">
        <f>Таблица2[[#This Row],[Сумма ЮА]]*Таблица2[[#This Row],[Курс ЮА]]</f>
        <v>248235.00000000003</v>
      </c>
      <c r="N709" s="24">
        <f>Таблица2[[#This Row],[Сумма ЮА]]*Таблица2[[#This Row],[Курс ЮА]]/Таблица2[[#This Row],[% за перевод]]</f>
        <v>275816.66666666669</v>
      </c>
      <c r="O70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4007.8434158415048</v>
      </c>
      <c r="P70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27581.666666666657</v>
      </c>
      <c r="Q709" s="30">
        <v>275816.67</v>
      </c>
      <c r="R709" s="12">
        <f>Таблица2[[#This Row],[Сумма в руб]]-Таблица2[[#This Row],[Оплата от клиента]]</f>
        <v>-3.3333332976326346E-3</v>
      </c>
      <c r="S709" s="32">
        <v>44875</v>
      </c>
      <c r="T709" s="32" t="s">
        <v>720</v>
      </c>
      <c r="U709" s="24" t="s">
        <v>31</v>
      </c>
      <c r="V709" s="2">
        <v>7.3</v>
      </c>
      <c r="W709" s="28">
        <v>61.9373</v>
      </c>
      <c r="X709" s="9">
        <v>4174.83</v>
      </c>
      <c r="Y709" s="16">
        <v>28500</v>
      </c>
      <c r="Z709" s="10">
        <v>44881</v>
      </c>
      <c r="AA709" s="26">
        <f>Таблица2[[#This Row],[Сумма перевода Долл/Евро]]*Таблица2[[#This Row],[Курс ДОЛЛ перевод]]+Таблица2[[#This Row],[Сумма за перевод руб]]</f>
        <v>286159.36482566665</v>
      </c>
      <c r="AB70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103.73382680040868</v>
      </c>
      <c r="AC709" s="9"/>
      <c r="AD709" s="41"/>
    </row>
    <row r="710" spans="1:30" ht="45" x14ac:dyDescent="0.25">
      <c r="A710" s="6">
        <v>44860</v>
      </c>
      <c r="B710" s="2" t="s">
        <v>165</v>
      </c>
      <c r="C710" s="2" t="s">
        <v>204</v>
      </c>
      <c r="D710" s="1" t="s">
        <v>782</v>
      </c>
      <c r="E710" s="1"/>
      <c r="F710" s="3"/>
      <c r="G710" s="5">
        <v>1005</v>
      </c>
      <c r="H710" s="2"/>
      <c r="I710" s="2">
        <v>62.39</v>
      </c>
      <c r="J710" s="2"/>
      <c r="K710" s="2">
        <v>80</v>
      </c>
      <c r="L710" s="2"/>
      <c r="M710" s="26">
        <f>Таблица2[[#This Row],[Сумма Долл]]*Таблица2[[#This Row],[Курс ДОЛЛ]]</f>
        <v>62701.95</v>
      </c>
      <c r="N71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67693.149999999994</v>
      </c>
      <c r="O71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1009.8932638831845</v>
      </c>
      <c r="P7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4967.0159999999996</v>
      </c>
      <c r="Q710" s="30">
        <v>67693.149999999994</v>
      </c>
      <c r="R710" s="12">
        <f>Таблица2[[#This Row],[Сумма в руб]]-Таблица2[[#This Row],[Оплата от клиента]]</f>
        <v>0</v>
      </c>
      <c r="S710" s="32">
        <v>44861</v>
      </c>
      <c r="T710" s="32" t="s">
        <v>164</v>
      </c>
      <c r="U710" s="24" t="s">
        <v>31</v>
      </c>
      <c r="V710" s="2"/>
      <c r="W710" s="28">
        <v>62.087699999999998</v>
      </c>
      <c r="X710" s="9">
        <v>1005</v>
      </c>
      <c r="Y710" s="16"/>
      <c r="Z710" s="10">
        <v>44861</v>
      </c>
      <c r="AA710" s="26">
        <f>Таблица2[[#This Row],[Сумма перевода Долл/Евро]]*Таблица2[[#This Row],[Курс ДОЛЛ перевод]]+Таблица2[[#This Row],[Сумма за перевод руб]]</f>
        <v>67365.154500000004</v>
      </c>
      <c r="AB71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4.8932638831845452</v>
      </c>
      <c r="AC710" s="9" t="s">
        <v>1092</v>
      </c>
      <c r="AD710" s="41"/>
    </row>
    <row r="711" spans="1:30" ht="45" x14ac:dyDescent="0.25">
      <c r="A711" s="6">
        <v>44860</v>
      </c>
      <c r="B711" s="2" t="s">
        <v>298</v>
      </c>
      <c r="C711" s="2" t="s">
        <v>56</v>
      </c>
      <c r="D711" s="1" t="s">
        <v>956</v>
      </c>
      <c r="E711" s="1"/>
      <c r="F711" s="3"/>
      <c r="G711" s="5">
        <v>160.5</v>
      </c>
      <c r="H711" s="2"/>
      <c r="I711" s="2">
        <v>62.39</v>
      </c>
      <c r="J711" s="2"/>
      <c r="K711" s="2">
        <v>80</v>
      </c>
      <c r="L711" s="2"/>
      <c r="M711" s="26">
        <f>Таблица2[[#This Row],[Сумма Долл]]*Таблица2[[#This Row],[Курс ДОЛЛ]]</f>
        <v>10013.594999999999</v>
      </c>
      <c r="N71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15004.795</v>
      </c>
      <c r="O71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164.06638616635371</v>
      </c>
      <c r="P71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4882.7039999999997</v>
      </c>
      <c r="Q711" s="30">
        <v>15004.8</v>
      </c>
      <c r="R711" s="12">
        <f>Таблица2[[#This Row],[Сумма в руб]]-Таблица2[[#This Row],[Оплата от клиента]]</f>
        <v>-4.9999999991996447E-3</v>
      </c>
      <c r="S711" s="32">
        <v>44861</v>
      </c>
      <c r="T711" s="32" t="s">
        <v>164</v>
      </c>
      <c r="U711" s="24" t="s">
        <v>31</v>
      </c>
      <c r="V711" s="2"/>
      <c r="W711" s="28">
        <v>61.033799999999999</v>
      </c>
      <c r="X711" s="9">
        <v>160.5</v>
      </c>
      <c r="Y711" s="16"/>
      <c r="Z711" s="10">
        <v>44861</v>
      </c>
      <c r="AA711" s="26">
        <f>Таблица2[[#This Row],[Сумма перевода Долл/Евро]]*Таблица2[[#This Row],[Курс ДОЛЛ перевод]]+Таблица2[[#This Row],[Сумма за перевод руб]]</f>
        <v>14678.6289</v>
      </c>
      <c r="AB71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3.5663861663537091</v>
      </c>
      <c r="AC711" s="9" t="s">
        <v>1092</v>
      </c>
      <c r="AD711" s="41"/>
    </row>
    <row r="712" spans="1:30" ht="45" x14ac:dyDescent="0.25">
      <c r="A712" s="6">
        <v>44861</v>
      </c>
      <c r="B712" s="38" t="s">
        <v>726</v>
      </c>
      <c r="C712" s="38" t="s">
        <v>203</v>
      </c>
      <c r="D712" s="1" t="s">
        <v>957</v>
      </c>
      <c r="E712" s="1"/>
      <c r="F712" s="3">
        <v>89000</v>
      </c>
      <c r="G712" s="5"/>
      <c r="H712" s="2">
        <v>8.69</v>
      </c>
      <c r="I712" s="2"/>
      <c r="J712" s="2">
        <v>0.97</v>
      </c>
      <c r="K712" s="2"/>
      <c r="L712" s="2"/>
      <c r="M712" s="26">
        <f>Таблица2[[#This Row],[Сумма ЮА]]*Таблица2[[#This Row],[Курс ЮА]]</f>
        <v>773410</v>
      </c>
      <c r="N712" s="24">
        <f>Таблица2[[#This Row],[Сумма ЮА]]*Таблица2[[#This Row],[Курс ЮА]]/Таблица2[[#This Row],[% за перевод]]</f>
        <v>797329.89690721652</v>
      </c>
      <c r="O71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23919.89690721652</v>
      </c>
      <c r="Q712" s="30">
        <v>797329.9</v>
      </c>
      <c r="R712" s="12">
        <f>Таблица2[[#This Row],[Сумма в руб]]-Таблица2[[#This Row],[Оплата от клиента]]</f>
        <v>-3.0927835032343864E-3</v>
      </c>
      <c r="S712" s="32">
        <v>44862</v>
      </c>
      <c r="T712" s="32" t="s">
        <v>107</v>
      </c>
      <c r="U712" s="24" t="s">
        <v>31</v>
      </c>
      <c r="V712" s="2">
        <v>8.5521999999999991</v>
      </c>
      <c r="W712" s="28"/>
      <c r="X712" s="9"/>
      <c r="Y712" s="16">
        <v>89000</v>
      </c>
      <c r="Z712" s="10">
        <v>44862</v>
      </c>
      <c r="AA712" s="26">
        <f>Таблица2[[#This Row],[Сумма перевода Долл/Евро]]*Таблица2[[#This Row],[Курс ДОЛЛ перевод]]+Таблица2[[#This Row],[Сумма за перевод руб]]</f>
        <v>23919.89690721652</v>
      </c>
      <c r="AB71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12" s="9" t="s">
        <v>1092</v>
      </c>
      <c r="AD712" s="41"/>
    </row>
    <row r="713" spans="1:30" ht="75" x14ac:dyDescent="0.25">
      <c r="A713" s="6">
        <v>44861</v>
      </c>
      <c r="B713" s="38" t="s">
        <v>958</v>
      </c>
      <c r="C713" s="38" t="s">
        <v>959</v>
      </c>
      <c r="D713" s="1" t="s">
        <v>960</v>
      </c>
      <c r="E713" s="1"/>
      <c r="F713" s="3">
        <v>11199.59</v>
      </c>
      <c r="G713" s="5"/>
      <c r="H713" s="2">
        <v>8.69</v>
      </c>
      <c r="I713" s="2"/>
      <c r="J713" s="2"/>
      <c r="K713" s="2"/>
      <c r="L713" s="2">
        <v>5200</v>
      </c>
      <c r="M713" s="26">
        <f>Таблица2[[#This Row],[Сумма ЮА]]*Таблица2[[#This Row],[Курс ЮА]]</f>
        <v>97324.437099999996</v>
      </c>
      <c r="N713" s="24">
        <f>Таблица2[[#This Row],[Сумма ЮА]]*Таблица2[[#This Row],[Курс ЮА]]+Таблица2[[#This Row],[Руб за перевод]]</f>
        <v>102524.4371</v>
      </c>
      <c r="O71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1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5200</v>
      </c>
      <c r="Q713" s="30">
        <v>102524.44</v>
      </c>
      <c r="R713" s="12">
        <f>Таблица2[[#This Row],[Сумма в руб]]-Таблица2[[#This Row],[Оплата от клиента]]</f>
        <v>-2.9000000067753717E-3</v>
      </c>
      <c r="S713" s="32">
        <v>44862</v>
      </c>
      <c r="T713" s="32" t="s">
        <v>107</v>
      </c>
      <c r="U713" s="24" t="s">
        <v>31</v>
      </c>
      <c r="V713" s="2">
        <v>8.5126000000000008</v>
      </c>
      <c r="W713" s="28"/>
      <c r="X713" s="9"/>
      <c r="Y713" s="16">
        <v>11199.59</v>
      </c>
      <c r="Z713" s="10">
        <v>44862</v>
      </c>
      <c r="AA713" s="26">
        <f>Таблица2[[#This Row],[Сумма перевода Долл/Евро]]*Таблица2[[#This Row],[Курс ДОЛЛ перевод]]+Таблица2[[#This Row],[Сумма за перевод руб]]</f>
        <v>5200</v>
      </c>
      <c r="AB71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13" s="9" t="s">
        <v>1095</v>
      </c>
      <c r="AD713" s="41"/>
    </row>
    <row r="714" spans="1:30" x14ac:dyDescent="0.25">
      <c r="A714" s="6">
        <v>44861</v>
      </c>
      <c r="B714" s="2" t="s">
        <v>298</v>
      </c>
      <c r="C714" s="2" t="s">
        <v>56</v>
      </c>
      <c r="D714" s="1"/>
      <c r="E714" s="1"/>
      <c r="F714" s="3"/>
      <c r="G714" s="5">
        <v>3610.58</v>
      </c>
      <c r="H714" s="2"/>
      <c r="I714" s="2">
        <v>62.51</v>
      </c>
      <c r="J714" s="2">
        <v>0.97</v>
      </c>
      <c r="K714" s="2"/>
      <c r="L714" s="2"/>
      <c r="M714" s="26">
        <f>Таблица2[[#This Row],[Сумма Долл]]*Таблица2[[#This Row],[Курс ДОЛЛ]]</f>
        <v>225697.35579999999</v>
      </c>
      <c r="N71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232677.68639175256</v>
      </c>
      <c r="O71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3617.020159073827</v>
      </c>
      <c r="P71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6980.3305917525722</v>
      </c>
      <c r="Q714" s="30">
        <v>232677.69</v>
      </c>
      <c r="R714" s="12">
        <f>Таблица2[[#This Row],[Сумма в руб]]-Таблица2[[#This Row],[Оплата от клиента]]</f>
        <v>-3.6082474398426712E-3</v>
      </c>
      <c r="S714" s="32">
        <v>44862</v>
      </c>
      <c r="T714" s="32" t="s">
        <v>164</v>
      </c>
      <c r="U714" s="24" t="s">
        <v>31</v>
      </c>
      <c r="V714" s="2"/>
      <c r="W714" s="28">
        <v>62.398699999999998</v>
      </c>
      <c r="X714" s="9">
        <v>3610.58</v>
      </c>
      <c r="Y714" s="16"/>
      <c r="Z714" s="10">
        <v>44862</v>
      </c>
      <c r="AA714" s="26">
        <f>Таблица2[[#This Row],[Сумма перевода Долл/Евро]]*Таблица2[[#This Row],[Курс ДОЛЛ перевод]]+Таблица2[[#This Row],[Сумма за перевод руб]]</f>
        <v>232275.82883775258</v>
      </c>
      <c r="AB71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6.4401590738270897</v>
      </c>
      <c r="AC714" s="9"/>
      <c r="AD714" s="41"/>
    </row>
    <row r="715" spans="1:30" ht="30" x14ac:dyDescent="0.25">
      <c r="A715" s="6">
        <v>44861</v>
      </c>
      <c r="B715" s="38" t="s">
        <v>298</v>
      </c>
      <c r="C715" s="38" t="s">
        <v>56</v>
      </c>
      <c r="D715" s="1"/>
      <c r="E715" s="1"/>
      <c r="F715" s="3">
        <v>872585</v>
      </c>
      <c r="G715" s="5"/>
      <c r="H715" s="2">
        <v>8.65</v>
      </c>
      <c r="I715" s="2"/>
      <c r="J715" s="2">
        <v>0.97</v>
      </c>
      <c r="K715" s="2"/>
      <c r="L715" s="2"/>
      <c r="M715" s="26">
        <f>Таблица2[[#This Row],[Сумма ЮА]]*Таблица2[[#This Row],[Курс ЮА]]</f>
        <v>7547860.25</v>
      </c>
      <c r="N715" s="24">
        <f>Таблица2[[#This Row],[Сумма ЮА]]*Таблица2[[#This Row],[Курс ЮА]]/Таблица2[[#This Row],[% за перевод]]</f>
        <v>7781299.2268041242</v>
      </c>
      <c r="O71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1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233438.97680412419</v>
      </c>
      <c r="Q715" s="30">
        <f>3895147.47-313919.78</f>
        <v>3581227.6900000004</v>
      </c>
      <c r="R715" s="12">
        <f>Таблица2[[#This Row],[Сумма в руб]]-Таблица2[[#This Row],[Оплата от клиента]]</f>
        <v>4200071.5368041238</v>
      </c>
      <c r="S715" s="32">
        <v>44862</v>
      </c>
      <c r="T715" s="32" t="s">
        <v>107</v>
      </c>
      <c r="U715" s="24" t="s">
        <v>31</v>
      </c>
      <c r="V715" s="2">
        <v>8.5157000000000007</v>
      </c>
      <c r="W715" s="28"/>
      <c r="X715" s="9"/>
      <c r="Y715" s="16">
        <v>436292.5</v>
      </c>
      <c r="Z715" s="10">
        <v>44862</v>
      </c>
      <c r="AA715" s="26">
        <f>Таблица2[[#This Row],[Сумма перевода Долл/Евро]]*Таблица2[[#This Row],[Курс ДОЛЛ перевод]]+Таблица2[[#This Row],[Сумма за перевод руб]]</f>
        <v>233438.97680412419</v>
      </c>
      <c r="AB71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15" s="68" t="s">
        <v>1146</v>
      </c>
      <c r="AD715" s="41" t="s">
        <v>961</v>
      </c>
    </row>
    <row r="716" spans="1:30" ht="30" x14ac:dyDescent="0.25">
      <c r="A716" s="6">
        <v>44862</v>
      </c>
      <c r="B716" s="38" t="s">
        <v>804</v>
      </c>
      <c r="C716" s="38" t="s">
        <v>805</v>
      </c>
      <c r="D716" s="1" t="s">
        <v>806</v>
      </c>
      <c r="E716" s="1"/>
      <c r="F716" s="3">
        <v>16667</v>
      </c>
      <c r="G716" s="5"/>
      <c r="H716" s="2">
        <v>8.65</v>
      </c>
      <c r="I716" s="2"/>
      <c r="J716" s="2">
        <v>0.97</v>
      </c>
      <c r="K716" s="2"/>
      <c r="L716" s="2"/>
      <c r="M716" s="26">
        <f>Таблица2[[#This Row],[Сумма ЮА]]*Таблица2[[#This Row],[Курс ЮА]]</f>
        <v>144169.55000000002</v>
      </c>
      <c r="N716" s="24">
        <f>Таблица2[[#This Row],[Сумма ЮА]]*Таблица2[[#This Row],[Курс ЮА]]/Таблица2[[#This Row],[% за перевод]]</f>
        <v>148628.40206185568</v>
      </c>
      <c r="O71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1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4458.8520618556649</v>
      </c>
      <c r="Q716" s="30"/>
      <c r="R716" s="12">
        <f>Таблица2[[#This Row],[Сумма в руб]]-Таблица2[[#This Row],[Оплата от клиента]]</f>
        <v>148628.40206185568</v>
      </c>
      <c r="S716" s="32"/>
      <c r="T716" s="32" t="s">
        <v>107</v>
      </c>
      <c r="U716" s="24"/>
      <c r="V716" s="2"/>
      <c r="W716" s="28"/>
      <c r="X716" s="9"/>
      <c r="Y716" s="16"/>
      <c r="Z716" s="2"/>
      <c r="AA716" s="26">
        <f>Таблица2[[#This Row],[Сумма перевода Долл/Евро]]*Таблица2[[#This Row],[Курс ДОЛЛ перевод]]+Таблица2[[#This Row],[Сумма за перевод руб]]</f>
        <v>4458.8520618556649</v>
      </c>
      <c r="AB71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16" s="9"/>
      <c r="AD716" s="41"/>
    </row>
    <row r="717" spans="1:30" ht="30" x14ac:dyDescent="0.25">
      <c r="A717" s="6">
        <v>44862</v>
      </c>
      <c r="B717" s="38" t="s">
        <v>804</v>
      </c>
      <c r="C717" s="38" t="s">
        <v>805</v>
      </c>
      <c r="D717" s="1" t="s">
        <v>806</v>
      </c>
      <c r="E717" s="1"/>
      <c r="F717" s="3">
        <v>56562</v>
      </c>
      <c r="G717" s="5"/>
      <c r="H717" s="2">
        <v>8.67</v>
      </c>
      <c r="I717" s="2"/>
      <c r="J717" s="2">
        <v>0.97</v>
      </c>
      <c r="K717" s="2"/>
      <c r="L717" s="2"/>
      <c r="M717" s="26">
        <f>Таблица2[[#This Row],[Сумма ЮА]]*Таблица2[[#This Row],[Курс ЮА]]</f>
        <v>490392.54</v>
      </c>
      <c r="N717" s="24">
        <f>Таблица2[[#This Row],[Сумма ЮА]]*Таблица2[[#This Row],[Курс ЮА]]/Таблица2[[#This Row],[% за перевод]]</f>
        <v>505559.31958762888</v>
      </c>
      <c r="O71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1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15166.779587628902</v>
      </c>
      <c r="Q717" s="30">
        <v>505559.32</v>
      </c>
      <c r="R717" s="12">
        <f>Таблица2[[#This Row],[Сумма в руб]]-Таблица2[[#This Row],[Оплата от клиента]]</f>
        <v>-4.123711260035634E-4</v>
      </c>
      <c r="S717" s="32">
        <v>44862</v>
      </c>
      <c r="T717" s="32" t="s">
        <v>107</v>
      </c>
      <c r="U717" s="24" t="s">
        <v>31</v>
      </c>
      <c r="V717" s="2">
        <v>8.5381</v>
      </c>
      <c r="W717" s="28"/>
      <c r="X717" s="9"/>
      <c r="Y717" s="16">
        <v>56562</v>
      </c>
      <c r="Z717" s="10">
        <v>44865</v>
      </c>
      <c r="AA717" s="26">
        <f>Таблица2[[#This Row],[Сумма перевода Долл/Евро]]*Таблица2[[#This Row],[Курс ДОЛЛ перевод]]+Таблица2[[#This Row],[Сумма за перевод руб]]</f>
        <v>15166.779587628902</v>
      </c>
      <c r="AB71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17" s="9"/>
      <c r="AD717" s="41"/>
    </row>
    <row r="718" spans="1:30" x14ac:dyDescent="0.25">
      <c r="A718" s="6">
        <v>44862</v>
      </c>
      <c r="B718" s="2" t="s">
        <v>919</v>
      </c>
      <c r="C718" s="2" t="s">
        <v>680</v>
      </c>
      <c r="D718" s="1" t="s">
        <v>789</v>
      </c>
      <c r="E718" s="1"/>
      <c r="F718" s="3"/>
      <c r="G718" s="5">
        <v>11700</v>
      </c>
      <c r="H718" s="2"/>
      <c r="I718" s="2">
        <v>62.51</v>
      </c>
      <c r="J718" s="2">
        <v>0.97</v>
      </c>
      <c r="K718" s="2"/>
      <c r="L718" s="2"/>
      <c r="M718" s="26">
        <f>Таблица2[[#This Row],[Сумма Долл]]*Таблица2[[#This Row],[Курс ДОЛЛ]]</f>
        <v>731367</v>
      </c>
      <c r="N71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753986.59793814435</v>
      </c>
      <c r="O71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11733.731427572144</v>
      </c>
      <c r="P71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22619.597938144347</v>
      </c>
      <c r="Q718" s="30">
        <v>753986.6</v>
      </c>
      <c r="R718" s="12">
        <f>Таблица2[[#This Row],[Сумма в руб]]-Таблица2[[#This Row],[Оплата от клиента]]</f>
        <v>-2.061855630017817E-3</v>
      </c>
      <c r="S718" s="32">
        <v>44835</v>
      </c>
      <c r="T718" s="32" t="s">
        <v>164</v>
      </c>
      <c r="U718" s="24" t="s">
        <v>31</v>
      </c>
      <c r="V718" s="2"/>
      <c r="W718" s="28">
        <v>62.330300000000001</v>
      </c>
      <c r="X718" s="9">
        <v>11700</v>
      </c>
      <c r="Y718" s="16"/>
      <c r="Z718" s="10">
        <v>44867</v>
      </c>
      <c r="AA718" s="26">
        <f>Таблица2[[#This Row],[Сумма перевода Долл/Евро]]*Таблица2[[#This Row],[Курс ДОЛЛ перевод]]+Таблица2[[#This Row],[Сумма за перевод руб]]</f>
        <v>751884.10793814436</v>
      </c>
      <c r="AB71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33.73142757214373</v>
      </c>
      <c r="AC718" s="9" t="s">
        <v>1091</v>
      </c>
      <c r="AD718" s="41"/>
    </row>
    <row r="719" spans="1:30" x14ac:dyDescent="0.25">
      <c r="A719" s="6">
        <v>44865</v>
      </c>
      <c r="B719" s="38" t="s">
        <v>658</v>
      </c>
      <c r="C719" s="38" t="s">
        <v>659</v>
      </c>
      <c r="D719" s="1"/>
      <c r="E719" s="1"/>
      <c r="F719" s="3">
        <v>27200</v>
      </c>
      <c r="G719" s="5"/>
      <c r="H719" s="2">
        <v>8.66</v>
      </c>
      <c r="I719" s="2"/>
      <c r="J719" s="2">
        <v>0.97</v>
      </c>
      <c r="K719" s="2"/>
      <c r="L719" s="2"/>
      <c r="M719" s="26">
        <f>Таблица2[[#This Row],[Сумма ЮА]]*Таблица2[[#This Row],[Курс ЮА]]</f>
        <v>235552</v>
      </c>
      <c r="N719" s="24">
        <f>Таблица2[[#This Row],[Сумма ЮА]]*Таблица2[[#This Row],[Курс ЮА]]/Таблица2[[#This Row],[% за перевод]]</f>
        <v>242837.11340206186</v>
      </c>
      <c r="O71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7285.1134020618629</v>
      </c>
      <c r="Q719" s="30">
        <v>242837.11</v>
      </c>
      <c r="R719" s="12">
        <f>Таблица2[[#This Row],[Сумма в руб]]-Таблица2[[#This Row],[Оплата от клиента]]</f>
        <v>3.4020618768408895E-3</v>
      </c>
      <c r="S719" s="32">
        <v>44865</v>
      </c>
      <c r="T719" s="32" t="s">
        <v>107</v>
      </c>
      <c r="U719" s="24" t="s">
        <v>31</v>
      </c>
      <c r="V719" s="2">
        <v>8.5370000000000008</v>
      </c>
      <c r="W719" s="28"/>
      <c r="X719" s="9"/>
      <c r="Y719" s="16">
        <v>27200</v>
      </c>
      <c r="Z719" s="10">
        <v>44866</v>
      </c>
      <c r="AA719" s="26">
        <f>Таблица2[[#This Row],[Сумма перевода Долл/Евро]]*Таблица2[[#This Row],[Курс ДОЛЛ перевод]]+Таблица2[[#This Row],[Сумма за перевод руб]]</f>
        <v>7285.1134020618629</v>
      </c>
      <c r="AB71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19" s="9"/>
      <c r="AD719" s="41"/>
    </row>
    <row r="720" spans="1:30" ht="30" x14ac:dyDescent="0.25">
      <c r="A720" s="6">
        <v>44865</v>
      </c>
      <c r="B720" s="38" t="s">
        <v>32</v>
      </c>
      <c r="C720" s="38" t="s">
        <v>33</v>
      </c>
      <c r="D720" s="1" t="s">
        <v>729</v>
      </c>
      <c r="E720" s="1"/>
      <c r="F720" s="3">
        <v>30540</v>
      </c>
      <c r="G720" s="5"/>
      <c r="H720" s="2">
        <v>8.66</v>
      </c>
      <c r="I720" s="2"/>
      <c r="J720" s="2">
        <v>0.97</v>
      </c>
      <c r="K720" s="2"/>
      <c r="L720" s="2"/>
      <c r="M720" s="26">
        <f>Таблица2[[#This Row],[Сумма ЮА]]*Таблица2[[#This Row],[Курс ЮА]]</f>
        <v>264476.40000000002</v>
      </c>
      <c r="N720" s="24">
        <f>Таблица2[[#This Row],[Сумма ЮА]]*Таблица2[[#This Row],[Курс ЮА]]/Таблица2[[#This Row],[% за перевод]]</f>
        <v>272656.08247422683</v>
      </c>
      <c r="O72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8179.6824742268072</v>
      </c>
      <c r="Q720" s="30">
        <v>272656.08</v>
      </c>
      <c r="R720" s="12">
        <f>Таблица2[[#This Row],[Сумма в руб]]-Таблица2[[#This Row],[Оплата от клиента]]</f>
        <v>2.4742268142290413E-3</v>
      </c>
      <c r="S720" s="32">
        <v>44865</v>
      </c>
      <c r="T720" s="32" t="s">
        <v>107</v>
      </c>
      <c r="U720" s="24" t="s">
        <v>31</v>
      </c>
      <c r="V720" s="2">
        <v>8.4974000000000007</v>
      </c>
      <c r="W720" s="28"/>
      <c r="X720" s="9"/>
      <c r="Y720" s="16">
        <v>30540</v>
      </c>
      <c r="Z720" s="10">
        <v>44865</v>
      </c>
      <c r="AA720" s="26">
        <f>Таблица2[[#This Row],[Сумма перевода Долл/Евро]]*Таблица2[[#This Row],[Курс ДОЛЛ перевод]]+Таблица2[[#This Row],[Сумма за перевод руб]]</f>
        <v>8179.6824742268072</v>
      </c>
      <c r="AB72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20" s="9"/>
      <c r="AD720" s="41"/>
    </row>
    <row r="721" spans="1:30" x14ac:dyDescent="0.25">
      <c r="A721" s="6">
        <v>44865</v>
      </c>
      <c r="B721" s="38" t="s">
        <v>32</v>
      </c>
      <c r="C721" s="38" t="s">
        <v>33</v>
      </c>
      <c r="D721" s="1" t="s">
        <v>757</v>
      </c>
      <c r="E721" s="1"/>
      <c r="F721" s="3">
        <v>282040.5</v>
      </c>
      <c r="G721" s="5"/>
      <c r="H721" s="2">
        <v>8.59</v>
      </c>
      <c r="I721" s="2"/>
      <c r="J721" s="2">
        <v>0.97</v>
      </c>
      <c r="K721" s="2"/>
      <c r="L721" s="2"/>
      <c r="M721" s="26">
        <f>Таблица2[[#This Row],[Сумма ЮА]]*Таблица2[[#This Row],[Курс ЮА]]</f>
        <v>2422727.895</v>
      </c>
      <c r="N721" s="24">
        <f>Таблица2[[#This Row],[Сумма ЮА]]*Таблица2[[#This Row],[Курс ЮА]]/Таблица2[[#This Row],[% за перевод]]</f>
        <v>2497657.6237113401</v>
      </c>
      <c r="O72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74929.728711340111</v>
      </c>
      <c r="Q721" s="30">
        <v>2497657.62</v>
      </c>
      <c r="R721" s="12">
        <f>Таблица2[[#This Row],[Сумма в руб]]-Таблица2[[#This Row],[Оплата от клиента]]</f>
        <v>3.7113400176167488E-3</v>
      </c>
      <c r="S721" s="32">
        <v>44867</v>
      </c>
      <c r="T721" s="32" t="s">
        <v>107</v>
      </c>
      <c r="U721" s="24" t="s">
        <v>31</v>
      </c>
      <c r="V721" s="2">
        <v>8.5663</v>
      </c>
      <c r="W721" s="28"/>
      <c r="X721" s="9"/>
      <c r="Y721" s="16">
        <v>282040.5</v>
      </c>
      <c r="Z721" s="10">
        <v>44867</v>
      </c>
      <c r="AA721" s="26">
        <f>Таблица2[[#This Row],[Сумма перевода Долл/Евро]]*Таблица2[[#This Row],[Курс ДОЛЛ перевод]]+Таблица2[[#This Row],[Сумма за перевод руб]]</f>
        <v>74929.728711340111</v>
      </c>
      <c r="AB72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21" s="9"/>
      <c r="AD721" s="41"/>
    </row>
    <row r="722" spans="1:30" ht="30" x14ac:dyDescent="0.25">
      <c r="A722" s="6">
        <v>44866</v>
      </c>
      <c r="B722" s="28" t="s">
        <v>783</v>
      </c>
      <c r="C722" s="40" t="s">
        <v>832</v>
      </c>
      <c r="D722" s="1" t="s">
        <v>853</v>
      </c>
      <c r="E722" s="1"/>
      <c r="F722" s="3"/>
      <c r="G722" s="5">
        <v>18496</v>
      </c>
      <c r="H722" s="2"/>
      <c r="I722" s="2">
        <v>62.17</v>
      </c>
      <c r="J722" s="2">
        <v>0.97</v>
      </c>
      <c r="K722" s="2"/>
      <c r="L722" s="2"/>
      <c r="M722" s="26">
        <f>Таблица2[[#This Row],[Сумма Долл]]*Таблица2[[#This Row],[Курс ДОЛЛ]]</f>
        <v>1149896.32</v>
      </c>
      <c r="N72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1185460.1237113404</v>
      </c>
      <c r="O72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18607.489299728953</v>
      </c>
      <c r="P7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35563.803711340297</v>
      </c>
      <c r="Q722" s="30">
        <v>1185460.1200000001</v>
      </c>
      <c r="R722" s="12">
        <f>Таблица2[[#This Row],[Сумма в руб]]-Таблица2[[#This Row],[Оплата от клиента]]</f>
        <v>3.7113402504473925E-3</v>
      </c>
      <c r="S722" s="32">
        <v>44835</v>
      </c>
      <c r="T722" s="42" t="s">
        <v>277</v>
      </c>
      <c r="U722" s="24" t="s">
        <v>31</v>
      </c>
      <c r="V722" s="2"/>
      <c r="W722" s="28">
        <v>61.797499999999999</v>
      </c>
      <c r="X722" s="9">
        <v>18496</v>
      </c>
      <c r="Y722" s="16"/>
      <c r="Z722" s="10">
        <v>44867</v>
      </c>
      <c r="AA722" s="26">
        <f>Таблица2[[#This Row],[Сумма перевода Долл/Евро]]*Таблица2[[#This Row],[Курс ДОЛЛ перевод]]+Таблица2[[#This Row],[Сумма за перевод руб]]</f>
        <v>1178570.3637113404</v>
      </c>
      <c r="AB72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111.48929972895348</v>
      </c>
      <c r="AC722" s="9"/>
      <c r="AD722" s="41"/>
    </row>
    <row r="723" spans="1:30" ht="30" x14ac:dyDescent="0.25">
      <c r="A723" s="6">
        <v>44866</v>
      </c>
      <c r="B723" s="38" t="s">
        <v>72</v>
      </c>
      <c r="C723" s="38" t="s">
        <v>73</v>
      </c>
      <c r="D723" s="1" t="s">
        <v>305</v>
      </c>
      <c r="E723" s="1"/>
      <c r="F723" s="3">
        <v>150000</v>
      </c>
      <c r="G723" s="5"/>
      <c r="H723" s="2">
        <v>8.6300000000000008</v>
      </c>
      <c r="I723" s="2"/>
      <c r="J723" s="2">
        <v>0.9</v>
      </c>
      <c r="K723" s="2"/>
      <c r="L723" s="2"/>
      <c r="M723" s="26">
        <f>Таблица2[[#This Row],[Сумма ЮА]]*Таблица2[[#This Row],[Курс ЮА]]</f>
        <v>1294500.0000000002</v>
      </c>
      <c r="N723" s="24">
        <f>Таблица2[[#This Row],[Сумма ЮА]]*Таблица2[[#This Row],[Курс ЮА]]/Таблица2[[#This Row],[% за перевод]]</f>
        <v>1438333.3333333335</v>
      </c>
      <c r="O72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20791.874063401967</v>
      </c>
      <c r="P7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143833.33333333326</v>
      </c>
      <c r="Q723" s="30">
        <v>1438333.33</v>
      </c>
      <c r="R723" s="12">
        <f>Таблица2[[#This Row],[Сумма в руб]]-Таблица2[[#This Row],[Оплата от клиента]]</f>
        <v>3.3333334140479565E-3</v>
      </c>
      <c r="S723" s="32">
        <v>44866</v>
      </c>
      <c r="T723" s="32" t="s">
        <v>720</v>
      </c>
      <c r="U723" s="24" t="s">
        <v>31</v>
      </c>
      <c r="V723" s="2">
        <v>7.24</v>
      </c>
      <c r="W723" s="28">
        <v>62.259900000000002</v>
      </c>
      <c r="X723" s="9">
        <v>21658.2</v>
      </c>
      <c r="Y723" s="16">
        <v>150000</v>
      </c>
      <c r="Z723" s="10">
        <v>44876</v>
      </c>
      <c r="AA723" s="26">
        <f>Таблица2[[#This Row],[Сумма перевода Долл/Евро]]*Таблица2[[#This Row],[Курс ДОЛЛ перевод]]+Таблица2[[#This Row],[Сумма за перевод руб]]</f>
        <v>1492270.6995133334</v>
      </c>
      <c r="AB72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73.642019203070959</v>
      </c>
      <c r="AC723" s="9" t="s">
        <v>1137</v>
      </c>
      <c r="AD723" s="41"/>
    </row>
    <row r="724" spans="1:30" ht="30" x14ac:dyDescent="0.25">
      <c r="A724" s="6">
        <v>44866</v>
      </c>
      <c r="B724" s="38" t="s">
        <v>72</v>
      </c>
      <c r="C724" s="38" t="s">
        <v>73</v>
      </c>
      <c r="D724" s="1" t="s">
        <v>750</v>
      </c>
      <c r="E724" s="1"/>
      <c r="F724" s="3">
        <v>130000</v>
      </c>
      <c r="G724" s="5"/>
      <c r="H724" s="2">
        <v>8.6300000000000008</v>
      </c>
      <c r="I724" s="2"/>
      <c r="J724" s="2">
        <v>0.9</v>
      </c>
      <c r="K724" s="2"/>
      <c r="L724" s="2"/>
      <c r="M724" s="26">
        <f>Таблица2[[#This Row],[Сумма ЮА]]*Таблица2[[#This Row],[Курс ЮА]]</f>
        <v>1121900</v>
      </c>
      <c r="N724" s="24">
        <f>Таблица2[[#This Row],[Сумма ЮА]]*Таблица2[[#This Row],[Курс ЮА]]/Таблица2[[#This Row],[% за перевод]]</f>
        <v>1246555.5555555555</v>
      </c>
      <c r="O72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18019.624188281701</v>
      </c>
      <c r="P72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124655.5555555555</v>
      </c>
      <c r="Q724" s="30">
        <v>1246555.56</v>
      </c>
      <c r="R724" s="12">
        <f>Таблица2[[#This Row],[Сумма в руб]]-Таблица2[[#This Row],[Оплата от клиента]]</f>
        <v>-4.444444552063942E-3</v>
      </c>
      <c r="S724" s="32">
        <v>44866</v>
      </c>
      <c r="T724" s="32" t="s">
        <v>720</v>
      </c>
      <c r="U724" s="24" t="s">
        <v>31</v>
      </c>
      <c r="V724" s="2">
        <v>7.24</v>
      </c>
      <c r="W724" s="28">
        <v>62.259900000000002</v>
      </c>
      <c r="X724" s="9">
        <v>18770.439999999999</v>
      </c>
      <c r="Y724" s="16">
        <v>130000</v>
      </c>
      <c r="Z724" s="10">
        <v>44876</v>
      </c>
      <c r="AA724" s="26">
        <f>Таблица2[[#This Row],[Сумма перевода Долл/Евро]]*Таблица2[[#This Row],[Курс ДОЛЛ перевод]]+Таблица2[[#This Row],[Сумма за перевод руб]]</f>
        <v>1293301.2729115554</v>
      </c>
      <c r="AB72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63.823083309325739</v>
      </c>
      <c r="AC724" s="9" t="s">
        <v>1137</v>
      </c>
      <c r="AD724" s="41"/>
    </row>
    <row r="725" spans="1:30" x14ac:dyDescent="0.25">
      <c r="A725" s="6">
        <v>44866</v>
      </c>
      <c r="B725" s="38" t="s">
        <v>895</v>
      </c>
      <c r="C725" s="38" t="s">
        <v>896</v>
      </c>
      <c r="D725" s="1" t="s">
        <v>962</v>
      </c>
      <c r="E725" s="1"/>
      <c r="F725" s="3">
        <v>81027</v>
      </c>
      <c r="G725" s="5"/>
      <c r="H725" s="2">
        <v>8.6300000000000008</v>
      </c>
      <c r="I725" s="2"/>
      <c r="J725" s="2">
        <v>0.995</v>
      </c>
      <c r="K725" s="2"/>
      <c r="L725" s="2"/>
      <c r="M725" s="26">
        <f>Таблица2[[#This Row],[Сумма ЮА]]*Таблица2[[#This Row],[Курс ЮА]]</f>
        <v>699263.01</v>
      </c>
      <c r="N725" s="24">
        <f>Таблица2[[#This Row],[Сумма ЮА]]*Таблица2[[#This Row],[Курс ЮА]]/Таблица2[[#This Row],[% за перевод]]</f>
        <v>702776.89447236178</v>
      </c>
      <c r="O72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2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3513.8844723617658</v>
      </c>
      <c r="Q725" s="30">
        <v>702776.89</v>
      </c>
      <c r="R725" s="12">
        <f>Таблица2[[#This Row],[Сумма в руб]]-Таблица2[[#This Row],[Оплата от клиента]]</f>
        <v>4.4723617611452937E-3</v>
      </c>
      <c r="S725" s="32">
        <v>44872</v>
      </c>
      <c r="T725" s="32" t="s">
        <v>107</v>
      </c>
      <c r="U725" s="24" t="s">
        <v>31</v>
      </c>
      <c r="V725" s="2">
        <v>8.5823</v>
      </c>
      <c r="W725" s="28"/>
      <c r="X725" s="9"/>
      <c r="Y725" s="16">
        <v>81027</v>
      </c>
      <c r="Z725" s="10">
        <v>44872</v>
      </c>
      <c r="AA725" s="26">
        <f>Таблица2[[#This Row],[Сумма перевода Долл/Евро]]*Таблица2[[#This Row],[Курс ДОЛЛ перевод]]+Таблица2[[#This Row],[Сумма за перевод руб]]</f>
        <v>3513.8844723617658</v>
      </c>
      <c r="AB72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25" s="9"/>
      <c r="AD725" s="41"/>
    </row>
    <row r="726" spans="1:30" ht="60" x14ac:dyDescent="0.25">
      <c r="A726" s="6">
        <v>44866</v>
      </c>
      <c r="B726" s="55" t="s">
        <v>35</v>
      </c>
      <c r="C726" s="55" t="s">
        <v>36</v>
      </c>
      <c r="D726" s="1" t="s">
        <v>963</v>
      </c>
      <c r="E726" s="1"/>
      <c r="F726" s="3"/>
      <c r="G726" s="5">
        <v>2697</v>
      </c>
      <c r="H726" s="2"/>
      <c r="I726" s="2">
        <v>62.45</v>
      </c>
      <c r="J726" s="2"/>
      <c r="K726" s="2">
        <v>80</v>
      </c>
      <c r="L726" s="2"/>
      <c r="M726" s="26">
        <f>Таблица2[[#This Row],[Сумма Долл]]*Таблица2[[#This Row],[Курс ДОЛЛ]]</f>
        <v>168427.65</v>
      </c>
      <c r="N72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173423.65</v>
      </c>
      <c r="O72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2701.2822569004506</v>
      </c>
      <c r="P7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4988.08</v>
      </c>
      <c r="Q726" s="30">
        <v>173423.65</v>
      </c>
      <c r="R726" s="12">
        <f>Таблица2[[#This Row],[Сумма в руб]]-Таблица2[[#This Row],[Оплата от клиента]]</f>
        <v>0</v>
      </c>
      <c r="S726" s="32">
        <v>44867</v>
      </c>
      <c r="T726" s="32" t="s">
        <v>164</v>
      </c>
      <c r="U726" s="24" t="s">
        <v>31</v>
      </c>
      <c r="V726" s="2"/>
      <c r="W726" s="28">
        <v>62.350999999999999</v>
      </c>
      <c r="X726" s="9">
        <v>2697</v>
      </c>
      <c r="Y726" s="16"/>
      <c r="Z726" s="10">
        <v>44867</v>
      </c>
      <c r="AA726" s="26">
        <f>Таблица2[[#This Row],[Сумма перевода Долл/Евро]]*Таблица2[[#This Row],[Курс ДОЛЛ перевод]]+Таблица2[[#This Row],[Сумма за перевод руб]]</f>
        <v>173148.72699999998</v>
      </c>
      <c r="AB72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4.2822569004506477</v>
      </c>
      <c r="AC726" s="9"/>
      <c r="AD726" s="41"/>
    </row>
    <row r="727" spans="1:30" ht="60" x14ac:dyDescent="0.25">
      <c r="A727" s="6">
        <v>44866</v>
      </c>
      <c r="B727" s="55" t="s">
        <v>35</v>
      </c>
      <c r="C727" s="55" t="s">
        <v>36</v>
      </c>
      <c r="D727" s="1" t="s">
        <v>964</v>
      </c>
      <c r="E727" s="1"/>
      <c r="F727" s="3"/>
      <c r="G727" s="5">
        <v>2697</v>
      </c>
      <c r="H727" s="2"/>
      <c r="I727" s="2">
        <v>62.45</v>
      </c>
      <c r="J727" s="2"/>
      <c r="K727" s="2">
        <v>80</v>
      </c>
      <c r="L727" s="2"/>
      <c r="M727" s="26">
        <f>Таблица2[[#This Row],[Сумма Долл]]*Таблица2[[#This Row],[Курс ДОЛЛ]]</f>
        <v>168427.65</v>
      </c>
      <c r="N72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173423.65</v>
      </c>
      <c r="O72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2701.2822569004506</v>
      </c>
      <c r="P7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4988.08</v>
      </c>
      <c r="Q727" s="30">
        <v>173423.65</v>
      </c>
      <c r="R727" s="12">
        <f>Таблица2[[#This Row],[Сумма в руб]]-Таблица2[[#This Row],[Оплата от клиента]]</f>
        <v>0</v>
      </c>
      <c r="S727" s="32">
        <v>44867</v>
      </c>
      <c r="T727" s="32" t="s">
        <v>164</v>
      </c>
      <c r="U727" s="24" t="s">
        <v>31</v>
      </c>
      <c r="V727" s="2"/>
      <c r="W727" s="28">
        <v>62.350999999999999</v>
      </c>
      <c r="X727" s="9">
        <v>2697</v>
      </c>
      <c r="Y727" s="16"/>
      <c r="Z727" s="10">
        <v>44867</v>
      </c>
      <c r="AA727" s="26">
        <f>Таблица2[[#This Row],[Сумма перевода Долл/Евро]]*Таблица2[[#This Row],[Курс ДОЛЛ перевод]]+Таблица2[[#This Row],[Сумма за перевод руб]]</f>
        <v>173148.72699999998</v>
      </c>
      <c r="AB72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4.2822569004506477</v>
      </c>
      <c r="AC727" s="9"/>
      <c r="AD727" s="41"/>
    </row>
    <row r="728" spans="1:30" ht="45" x14ac:dyDescent="0.25">
      <c r="A728" s="6">
        <v>44866</v>
      </c>
      <c r="B728" s="55" t="s">
        <v>35</v>
      </c>
      <c r="C728" s="55" t="s">
        <v>36</v>
      </c>
      <c r="D728" s="1" t="s">
        <v>965</v>
      </c>
      <c r="E728" s="1"/>
      <c r="F728" s="3"/>
      <c r="G728" s="5">
        <v>1340</v>
      </c>
      <c r="H728" s="2"/>
      <c r="I728" s="2">
        <v>62.45</v>
      </c>
      <c r="J728" s="2"/>
      <c r="K728" s="2">
        <v>80</v>
      </c>
      <c r="L728" s="2"/>
      <c r="M728" s="26">
        <f>Таблица2[[#This Row],[Сумма Долл]]*Таблица2[[#This Row],[Курс ДОЛЛ]]</f>
        <v>83683</v>
      </c>
      <c r="N72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88679</v>
      </c>
      <c r="O72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1342.1276322753445</v>
      </c>
      <c r="P7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4988.08</v>
      </c>
      <c r="Q728" s="30">
        <v>88679</v>
      </c>
      <c r="R728" s="12">
        <f>Таблица2[[#This Row],[Сумма в руб]]-Таблица2[[#This Row],[Оплата от клиента]]</f>
        <v>0</v>
      </c>
      <c r="S728" s="32">
        <v>44867</v>
      </c>
      <c r="T728" s="32" t="s">
        <v>164</v>
      </c>
      <c r="U728" s="24" t="s">
        <v>31</v>
      </c>
      <c r="V728" s="2"/>
      <c r="W728" s="28">
        <v>62.350999999999999</v>
      </c>
      <c r="X728" s="9">
        <v>1340</v>
      </c>
      <c r="Y728" s="16"/>
      <c r="Z728" s="10">
        <v>44867</v>
      </c>
      <c r="AA728" s="26">
        <f>Таблица2[[#This Row],[Сумма перевода Долл/Евро]]*Таблица2[[#This Row],[Курс ДОЛЛ перевод]]+Таблица2[[#This Row],[Сумма за перевод руб]]</f>
        <v>88538.42</v>
      </c>
      <c r="AB72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2.1276322753444674</v>
      </c>
      <c r="AC728" s="9"/>
      <c r="AD728" s="41"/>
    </row>
    <row r="729" spans="1:30" ht="45" x14ac:dyDescent="0.25">
      <c r="A729" s="6">
        <v>44866</v>
      </c>
      <c r="B729" s="55" t="s">
        <v>35</v>
      </c>
      <c r="C729" s="55" t="s">
        <v>36</v>
      </c>
      <c r="D729" s="1" t="s">
        <v>966</v>
      </c>
      <c r="E729" s="1"/>
      <c r="F729" s="3"/>
      <c r="G729" s="5">
        <v>1325.6</v>
      </c>
      <c r="H729" s="2"/>
      <c r="I729" s="2">
        <v>62.45</v>
      </c>
      <c r="J729" s="2"/>
      <c r="K729" s="2">
        <v>80</v>
      </c>
      <c r="L729" s="2"/>
      <c r="M729" s="26">
        <f>Таблица2[[#This Row],[Сумма Долл]]*Таблица2[[#This Row],[Курс ДОЛЛ]]</f>
        <v>82783.72</v>
      </c>
      <c r="N72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87779.72</v>
      </c>
      <c r="O72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1327.7047681673109</v>
      </c>
      <c r="P72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4988.08</v>
      </c>
      <c r="Q729" s="30">
        <v>87779.72</v>
      </c>
      <c r="R729" s="12">
        <f>Таблица2[[#This Row],[Сумма в руб]]-Таблица2[[#This Row],[Оплата от клиента]]</f>
        <v>0</v>
      </c>
      <c r="S729" s="32">
        <v>44867</v>
      </c>
      <c r="T729" s="32" t="s">
        <v>164</v>
      </c>
      <c r="U729" s="24" t="s">
        <v>31</v>
      </c>
      <c r="V729" s="2"/>
      <c r="W729" s="28">
        <v>62.350999999999999</v>
      </c>
      <c r="X729" s="9">
        <v>1325.6</v>
      </c>
      <c r="Y729" s="16"/>
      <c r="Z729" s="10">
        <v>44867</v>
      </c>
      <c r="AA729" s="26">
        <f>Таблица2[[#This Row],[Сумма перевода Долл/Евро]]*Таблица2[[#This Row],[Курс ДОЛЛ перевод]]+Таблица2[[#This Row],[Сумма за перевод руб]]</f>
        <v>87640.565600000002</v>
      </c>
      <c r="AB72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2.1047681673110219</v>
      </c>
      <c r="AC729" s="9"/>
      <c r="AD729" s="41"/>
    </row>
    <row r="730" spans="1:30" x14ac:dyDescent="0.25">
      <c r="A730" s="6">
        <v>44867</v>
      </c>
      <c r="B730" s="38" t="s">
        <v>967</v>
      </c>
      <c r="C730" s="38" t="s">
        <v>968</v>
      </c>
      <c r="D730" s="1"/>
      <c r="E730" s="1"/>
      <c r="F730" s="3">
        <v>38334.239999999998</v>
      </c>
      <c r="G730" s="5"/>
      <c r="H730" s="2">
        <v>8.66</v>
      </c>
      <c r="I730" s="2"/>
      <c r="J730" s="2">
        <v>0.98</v>
      </c>
      <c r="K730" s="2"/>
      <c r="L730" s="2"/>
      <c r="M730" s="26">
        <f>Таблица2[[#This Row],[Сумма ЮА]]*Таблица2[[#This Row],[Курс ЮА]]</f>
        <v>331974.5184</v>
      </c>
      <c r="N730" s="24">
        <f>Таблица2[[#This Row],[Сумма ЮА]]*Таблица2[[#This Row],[Курс ЮА]]/Таблица2[[#This Row],[% за перевод]]</f>
        <v>338749.5085714286</v>
      </c>
      <c r="O73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3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6774.9901714285952</v>
      </c>
      <c r="Q730" s="30">
        <v>338749.51</v>
      </c>
      <c r="R730" s="12">
        <f>Таблица2[[#This Row],[Сумма в руб]]-Таблица2[[#This Row],[Оплата от клиента]]</f>
        <v>-1.4285714132711291E-3</v>
      </c>
      <c r="S730" s="32">
        <v>44867</v>
      </c>
      <c r="T730" s="32" t="s">
        <v>107</v>
      </c>
      <c r="U730" s="24" t="s">
        <v>31</v>
      </c>
      <c r="V730" s="2">
        <v>8.5729000000000006</v>
      </c>
      <c r="W730" s="28"/>
      <c r="X730" s="9"/>
      <c r="Y730" s="16">
        <v>38334.239999999998</v>
      </c>
      <c r="Z730" s="10">
        <v>44867</v>
      </c>
      <c r="AA730" s="26">
        <f>Таблица2[[#This Row],[Сумма перевода Долл/Евро]]*Таблица2[[#This Row],[Курс ДОЛЛ перевод]]+Таблица2[[#This Row],[Сумма за перевод руб]]</f>
        <v>6774.9901714285952</v>
      </c>
      <c r="AB73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30" s="9"/>
      <c r="AD730" s="41"/>
    </row>
    <row r="731" spans="1:30" ht="60" x14ac:dyDescent="0.25">
      <c r="A731" s="6">
        <v>44867</v>
      </c>
      <c r="B731" s="38" t="s">
        <v>919</v>
      </c>
      <c r="C731" s="38" t="s">
        <v>680</v>
      </c>
      <c r="D731" s="1" t="s">
        <v>969</v>
      </c>
      <c r="E731" s="1"/>
      <c r="F731" s="3">
        <v>18675</v>
      </c>
      <c r="G731" s="5"/>
      <c r="H731" s="2">
        <v>8.66</v>
      </c>
      <c r="I731" s="2"/>
      <c r="J731" s="2">
        <v>0.97</v>
      </c>
      <c r="K731" s="2"/>
      <c r="L731" s="2"/>
      <c r="M731" s="26">
        <f>Таблица2[[#This Row],[Сумма ЮА]]*Таблица2[[#This Row],[Курс ЮА]]</f>
        <v>161725.5</v>
      </c>
      <c r="N731" s="24">
        <f>Таблица2[[#This Row],[Сумма ЮА]]*Таблица2[[#This Row],[Курс ЮА]]/Таблица2[[#This Row],[% за перевод]]</f>
        <v>166727.31958762888</v>
      </c>
      <c r="O73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3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5001.819587628881</v>
      </c>
      <c r="Q731" s="30">
        <v>166727.32</v>
      </c>
      <c r="R731" s="12">
        <f>Таблица2[[#This Row],[Сумма в руб]]-Таблица2[[#This Row],[Оплата от клиента]]</f>
        <v>-4.123711260035634E-4</v>
      </c>
      <c r="S731" s="32">
        <v>44867</v>
      </c>
      <c r="T731" s="32" t="s">
        <v>107</v>
      </c>
      <c r="U731" s="24" t="s">
        <v>31</v>
      </c>
      <c r="V731" s="2">
        <v>8.5388999999999999</v>
      </c>
      <c r="W731" s="28"/>
      <c r="X731" s="9"/>
      <c r="Y731" s="16">
        <v>18675</v>
      </c>
      <c r="Z731" s="10">
        <v>44867</v>
      </c>
      <c r="AA731" s="26">
        <f>Таблица2[[#This Row],[Сумма перевода Долл/Евро]]*Таблица2[[#This Row],[Курс ДОЛЛ перевод]]+Таблица2[[#This Row],[Сумма за перевод руб]]</f>
        <v>5001.819587628881</v>
      </c>
      <c r="AB73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31" s="9"/>
      <c r="AD731" s="41"/>
    </row>
    <row r="732" spans="1:30" x14ac:dyDescent="0.25">
      <c r="A732" s="6">
        <v>44867</v>
      </c>
      <c r="B732" s="38" t="s">
        <v>178</v>
      </c>
      <c r="C732" s="38" t="s">
        <v>179</v>
      </c>
      <c r="D732" s="1" t="s">
        <v>809</v>
      </c>
      <c r="E732" s="1"/>
      <c r="F732" s="3">
        <v>41328</v>
      </c>
      <c r="G732" s="5"/>
      <c r="H732" s="2">
        <v>8.5388999999999999</v>
      </c>
      <c r="I732" s="2"/>
      <c r="J732" s="2">
        <v>0.99</v>
      </c>
      <c r="K732" s="2"/>
      <c r="L732" s="2"/>
      <c r="M732" s="26">
        <f>Таблица2[[#This Row],[Сумма ЮА]]*Таблица2[[#This Row],[Курс ЮА]]</f>
        <v>352895.65919999999</v>
      </c>
      <c r="N732" s="24">
        <f>Таблица2[[#This Row],[Сумма ЮА]]*Таблица2[[#This Row],[Курс ЮА]]/Таблица2[[#This Row],[% за перевод]]</f>
        <v>356460.26181818184</v>
      </c>
      <c r="O73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3564.6026181818452</v>
      </c>
      <c r="Q732" s="30">
        <v>356460.26</v>
      </c>
      <c r="R732" s="12">
        <f>Таблица2[[#This Row],[Сумма в руб]]-Таблица2[[#This Row],[Оплата от клиента]]</f>
        <v>1.818181830458343E-3</v>
      </c>
      <c r="S732" s="32">
        <v>44867</v>
      </c>
      <c r="T732" s="32" t="s">
        <v>107</v>
      </c>
      <c r="U732" s="24" t="s">
        <v>31</v>
      </c>
      <c r="V732" s="2">
        <v>8.5388999999999999</v>
      </c>
      <c r="W732" s="28"/>
      <c r="X732" s="9"/>
      <c r="Y732" s="16">
        <v>41328</v>
      </c>
      <c r="Z732" s="10">
        <v>44867</v>
      </c>
      <c r="AA732" s="26">
        <f>Таблица2[[#This Row],[Сумма перевода Долл/Евро]]*Таблица2[[#This Row],[Курс ДОЛЛ перевод]]+Таблица2[[#This Row],[Сумма за перевод руб]]</f>
        <v>3564.6026181818452</v>
      </c>
      <c r="AB73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32" s="9"/>
      <c r="AD732" s="41"/>
    </row>
    <row r="733" spans="1:30" x14ac:dyDescent="0.25">
      <c r="A733" s="6">
        <v>44867</v>
      </c>
      <c r="B733" s="38" t="s">
        <v>178</v>
      </c>
      <c r="C733" s="38" t="s">
        <v>179</v>
      </c>
      <c r="D733" s="1" t="s">
        <v>809</v>
      </c>
      <c r="E733" s="1"/>
      <c r="F733" s="3">
        <v>141587.71</v>
      </c>
      <c r="G733" s="5"/>
      <c r="H733" s="2">
        <v>8.5388999999999999</v>
      </c>
      <c r="I733" s="2"/>
      <c r="J733" s="2">
        <v>0.99</v>
      </c>
      <c r="K733" s="2"/>
      <c r="L733" s="2"/>
      <c r="M733" s="26">
        <f>Таблица2[[#This Row],[Сумма ЮА]]*Таблица2[[#This Row],[Курс ЮА]]</f>
        <v>1209003.2969189999</v>
      </c>
      <c r="N733" s="24">
        <f>Таблица2[[#This Row],[Сумма ЮА]]*Таблица2[[#This Row],[Курс ЮА]]/Таблица2[[#This Row],[% за перевод]]</f>
        <v>1221215.4514333331</v>
      </c>
      <c r="O73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12212.154514333233</v>
      </c>
      <c r="Q733" s="30">
        <v>1221215.45</v>
      </c>
      <c r="R733" s="12">
        <f>Таблица2[[#This Row],[Сумма в руб]]-Таблица2[[#This Row],[Оплата от клиента]]</f>
        <v>1.4333331491798162E-3</v>
      </c>
      <c r="S733" s="32">
        <v>44867</v>
      </c>
      <c r="T733" s="32" t="s">
        <v>107</v>
      </c>
      <c r="U733" s="24" t="s">
        <v>31</v>
      </c>
      <c r="V733" s="2">
        <v>8.5388999999999999</v>
      </c>
      <c r="W733" s="28"/>
      <c r="X733" s="9"/>
      <c r="Y733" s="16">
        <v>141587.71</v>
      </c>
      <c r="Z733" s="10">
        <v>44867</v>
      </c>
      <c r="AA733" s="26">
        <f>Таблица2[[#This Row],[Сумма перевода Долл/Евро]]*Таблица2[[#This Row],[Курс ДОЛЛ перевод]]+Таблица2[[#This Row],[Сумма за перевод руб]]</f>
        <v>12212.154514333233</v>
      </c>
      <c r="AB73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33" s="9"/>
      <c r="AD733" s="41"/>
    </row>
    <row r="734" spans="1:30" x14ac:dyDescent="0.25">
      <c r="A734" s="6">
        <v>44867</v>
      </c>
      <c r="B734" s="38" t="s">
        <v>178</v>
      </c>
      <c r="C734" s="38" t="s">
        <v>179</v>
      </c>
      <c r="D734" s="1" t="s">
        <v>809</v>
      </c>
      <c r="E734" s="1"/>
      <c r="F734" s="3">
        <v>114936</v>
      </c>
      <c r="G734" s="5"/>
      <c r="H734" s="2">
        <v>8.5388999999999999</v>
      </c>
      <c r="I734" s="2"/>
      <c r="J734" s="2">
        <v>0.99</v>
      </c>
      <c r="K734" s="2"/>
      <c r="L734" s="2"/>
      <c r="M734" s="26">
        <f>Таблица2[[#This Row],[Сумма ЮА]]*Таблица2[[#This Row],[Курс ЮА]]</f>
        <v>981427.01040000003</v>
      </c>
      <c r="N734" s="24">
        <f>Таблица2[[#This Row],[Сумма ЮА]]*Таблица2[[#This Row],[Курс ЮА]]/Таблица2[[#This Row],[% за перевод]]</f>
        <v>991340.41454545455</v>
      </c>
      <c r="O73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9913.4041454545222</v>
      </c>
      <c r="Q734" s="30">
        <v>991340.41</v>
      </c>
      <c r="R734" s="12">
        <f>Таблица2[[#This Row],[Сумма в руб]]-Таблица2[[#This Row],[Оплата от клиента]]</f>
        <v>4.5454545179381967E-3</v>
      </c>
      <c r="S734" s="32">
        <v>44867</v>
      </c>
      <c r="T734" s="32" t="s">
        <v>107</v>
      </c>
      <c r="U734" s="24" t="s">
        <v>31</v>
      </c>
      <c r="V734" s="2">
        <v>8.5388999999999999</v>
      </c>
      <c r="W734" s="28"/>
      <c r="X734" s="9"/>
      <c r="Y734" s="16">
        <v>114936</v>
      </c>
      <c r="Z734" s="10">
        <v>44867</v>
      </c>
      <c r="AA734" s="26">
        <f>Таблица2[[#This Row],[Сумма перевода Долл/Евро]]*Таблица2[[#This Row],[Курс ДОЛЛ перевод]]+Таблица2[[#This Row],[Сумма за перевод руб]]</f>
        <v>9913.4041454545222</v>
      </c>
      <c r="AB73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34" s="9" t="s">
        <v>1092</v>
      </c>
      <c r="AD734" s="41"/>
    </row>
    <row r="735" spans="1:30" x14ac:dyDescent="0.25">
      <c r="A735" s="6">
        <v>44868</v>
      </c>
      <c r="B735" s="2" t="s">
        <v>811</v>
      </c>
      <c r="C735" s="2" t="s">
        <v>187</v>
      </c>
      <c r="D735" s="1"/>
      <c r="E735" s="1"/>
      <c r="F735" s="3"/>
      <c r="G735" s="5">
        <v>4006.24</v>
      </c>
      <c r="H735" s="2"/>
      <c r="I735" s="2">
        <v>62.813899999999997</v>
      </c>
      <c r="J735" s="2">
        <v>0.98</v>
      </c>
      <c r="K735" s="2"/>
      <c r="L735" s="2"/>
      <c r="M735" s="26">
        <f>Таблица2[[#This Row],[Сумма Долл]]*Таблица2[[#This Row],[Курс ДОЛЛ]]</f>
        <v>251647.55873599998</v>
      </c>
      <c r="N73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256783.22319999998</v>
      </c>
      <c r="O73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4006.24</v>
      </c>
      <c r="P73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5135.6644640000013</v>
      </c>
      <c r="Q735" s="30">
        <v>256783.51</v>
      </c>
      <c r="R735" s="12">
        <f>Таблица2[[#This Row],[Сумма в руб]]-Таблица2[[#This Row],[Оплата от клиента]]</f>
        <v>-0.28680000003078021</v>
      </c>
      <c r="S735" s="32">
        <v>44868</v>
      </c>
      <c r="T735" s="32" t="s">
        <v>164</v>
      </c>
      <c r="U735" s="24" t="s">
        <v>31</v>
      </c>
      <c r="V735" s="2"/>
      <c r="W735" s="28">
        <v>62.813899999999997</v>
      </c>
      <c r="X735" s="9">
        <v>4006.24</v>
      </c>
      <c r="Y735" s="16"/>
      <c r="Z735" s="10">
        <v>44868</v>
      </c>
      <c r="AA735" s="26">
        <f>Таблица2[[#This Row],[Сумма перевода Долл/Евро]]*Таблица2[[#This Row],[Курс ДОЛЛ перевод]]+Таблица2[[#This Row],[Сумма за перевод руб]]</f>
        <v>256783.22319999998</v>
      </c>
      <c r="AB73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735" s="9"/>
      <c r="AD735" s="41"/>
    </row>
    <row r="736" spans="1:30" ht="45" x14ac:dyDescent="0.25">
      <c r="A736" s="6">
        <v>44872</v>
      </c>
      <c r="B736" s="2" t="s">
        <v>298</v>
      </c>
      <c r="C736" s="2" t="s">
        <v>56</v>
      </c>
      <c r="D736" s="1" t="s">
        <v>956</v>
      </c>
      <c r="E736" s="1"/>
      <c r="F736" s="3"/>
      <c r="G736" s="5">
        <v>139.5</v>
      </c>
      <c r="H736" s="2"/>
      <c r="I736" s="2">
        <v>61.98</v>
      </c>
      <c r="J736" s="2"/>
      <c r="K736" s="2">
        <v>80</v>
      </c>
      <c r="L736" s="2"/>
      <c r="M736" s="26">
        <f>Таблица2[[#This Row],[Сумма Долл]]*Таблица2[[#This Row],[Курс ДОЛЛ]]</f>
        <v>8646.2099999999991</v>
      </c>
      <c r="N73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13604.609999999999</v>
      </c>
      <c r="O73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139.25689583527947</v>
      </c>
      <c r="P7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4967.0560000000005</v>
      </c>
      <c r="Q736" s="30">
        <v>13604.61</v>
      </c>
      <c r="R736" s="12">
        <f>Таблица2[[#This Row],[Сумма в руб]]-Таблица2[[#This Row],[Оплата от клиента]]</f>
        <v>0</v>
      </c>
      <c r="S736" s="32">
        <v>44874</v>
      </c>
      <c r="T736" s="32" t="s">
        <v>164</v>
      </c>
      <c r="U736" s="24" t="s">
        <v>31</v>
      </c>
      <c r="V736" s="2"/>
      <c r="W736" s="28">
        <v>62.088200000000001</v>
      </c>
      <c r="X736" s="9">
        <v>139.5</v>
      </c>
      <c r="Y736" s="16"/>
      <c r="Z736" s="10">
        <v>44874</v>
      </c>
      <c r="AA736" s="26">
        <f>Таблица2[[#This Row],[Сумма перевода Долл/Евро]]*Таблица2[[#This Row],[Курс ДОЛЛ перевод]]+Таблица2[[#This Row],[Сумма за перевод руб]]</f>
        <v>13628.359900000001</v>
      </c>
      <c r="AB73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-0.24310416472053475</v>
      </c>
      <c r="AC736" s="9" t="s">
        <v>1092</v>
      </c>
      <c r="AD736" s="41"/>
    </row>
    <row r="737" spans="1:30" ht="60" x14ac:dyDescent="0.25">
      <c r="A737" s="6">
        <v>44872</v>
      </c>
      <c r="B737" s="38" t="s">
        <v>919</v>
      </c>
      <c r="C737" s="38" t="s">
        <v>680</v>
      </c>
      <c r="D737" s="1" t="s">
        <v>970</v>
      </c>
      <c r="E737" s="1"/>
      <c r="F737" s="3">
        <v>10500</v>
      </c>
      <c r="G737" s="5"/>
      <c r="H737" s="2">
        <v>8.64</v>
      </c>
      <c r="I737" s="2">
        <v>61.98</v>
      </c>
      <c r="J737" s="2"/>
      <c r="K737" s="2">
        <v>80</v>
      </c>
      <c r="L737" s="2"/>
      <c r="M737" s="26">
        <f>Таблица2[[#This Row],[Сумма ЮА]]*Таблица2[[#This Row],[Курс ЮА]]</f>
        <v>90720</v>
      </c>
      <c r="N737" s="24">
        <f>Таблица2[[#This Row],[Сумма ЮА]]*Таблица2[[#This Row],[Курс ЮА]]+Таблица2[[#This Row],[Долл за перевод]]*Таблица2[[#This Row],[Курс ДОЛЛ]]</f>
        <v>95678.399999999994</v>
      </c>
      <c r="O73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1463.697967086157</v>
      </c>
      <c r="P7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4958.3999999999996</v>
      </c>
      <c r="Q737" s="30">
        <v>95678.399999999994</v>
      </c>
      <c r="R737" s="12">
        <f>Таблица2[[#This Row],[Сумма в руб]]-Таблица2[[#This Row],[Оплата от клиента]]</f>
        <v>0</v>
      </c>
      <c r="S737" s="32">
        <v>44872</v>
      </c>
      <c r="T737" s="32" t="s">
        <v>107</v>
      </c>
      <c r="U737" s="24" t="s">
        <v>31</v>
      </c>
      <c r="V737" s="2">
        <v>8.5060000000000002</v>
      </c>
      <c r="W737" s="28"/>
      <c r="X737" s="9"/>
      <c r="Y737" s="16">
        <v>10500</v>
      </c>
      <c r="Z737" s="10">
        <v>44873</v>
      </c>
      <c r="AA737" s="26">
        <f>Таблица2[[#This Row],[Сумма перевода Долл/Евро]]*Таблица2[[#This Row],[Курс ДОЛЛ перевод]]+Таблица2[[#This Row],[Сумма за перевод руб]]</f>
        <v>4958.3999999999996</v>
      </c>
      <c r="AB73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229.27520668173656</v>
      </c>
      <c r="AC737" s="9"/>
      <c r="AD737" s="41"/>
    </row>
    <row r="738" spans="1:30" x14ac:dyDescent="0.25">
      <c r="A738" s="6">
        <v>44874</v>
      </c>
      <c r="B738" s="38" t="s">
        <v>974</v>
      </c>
      <c r="C738" s="38" t="s">
        <v>975</v>
      </c>
      <c r="D738" s="1" t="s">
        <v>973</v>
      </c>
      <c r="E738" s="1"/>
      <c r="F738" s="3">
        <v>19484.900000000001</v>
      </c>
      <c r="G738" s="5"/>
      <c r="H738" s="2">
        <v>8.59</v>
      </c>
      <c r="I738" s="2"/>
      <c r="J738" s="2">
        <v>0.9</v>
      </c>
      <c r="K738" s="2"/>
      <c r="L738" s="2"/>
      <c r="M738" s="26">
        <f>Таблица2[[#This Row],[Сумма ЮА]]*Таблица2[[#This Row],[Курс ЮА]]</f>
        <v>167375.291</v>
      </c>
      <c r="N738" s="24">
        <f>Таблица2[[#This Row],[Сумма ЮА]]*Таблица2[[#This Row],[Курс ЮА]]/Таблица2[[#This Row],[% за перевод]]</f>
        <v>185972.54555555555</v>
      </c>
      <c r="O73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2702.3343122803221</v>
      </c>
      <c r="P73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18597.254555555555</v>
      </c>
      <c r="Q738" s="30">
        <v>185972.55</v>
      </c>
      <c r="R738" s="12">
        <f>Таблица2[[#This Row],[Сумма в руб]]-Таблица2[[#This Row],[Оплата от клиента]]</f>
        <v>-4.4444444356486201E-3</v>
      </c>
      <c r="S738" s="32">
        <v>44874</v>
      </c>
      <c r="T738" s="32" t="s">
        <v>720</v>
      </c>
      <c r="U738" s="24" t="s">
        <v>31</v>
      </c>
      <c r="V738" s="2">
        <v>7.3</v>
      </c>
      <c r="W738" s="28">
        <v>61.9373</v>
      </c>
      <c r="X738" s="9">
        <v>2814.93</v>
      </c>
      <c r="Y738" s="16">
        <v>19484.900000000001</v>
      </c>
      <c r="Z738" s="10">
        <v>44876</v>
      </c>
      <c r="AA738" s="26">
        <f>Таблица2[[#This Row],[Сумма перевода Долл/Евро]]*Таблица2[[#This Row],[Курс ДОЛЛ перевод]]+Таблица2[[#This Row],[Сумма за перевод руб]]</f>
        <v>192946.41844455554</v>
      </c>
      <c r="AB73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33.169928718677966</v>
      </c>
      <c r="AC738" s="9" t="s">
        <v>1092</v>
      </c>
      <c r="AD738" s="41"/>
    </row>
    <row r="739" spans="1:30" ht="30" x14ac:dyDescent="0.25">
      <c r="A739" s="6">
        <v>44874</v>
      </c>
      <c r="B739" s="38" t="s">
        <v>977</v>
      </c>
      <c r="C739" s="38" t="s">
        <v>978</v>
      </c>
      <c r="D739" s="1" t="s">
        <v>976</v>
      </c>
      <c r="E739" s="1"/>
      <c r="F739" s="3">
        <v>201519</v>
      </c>
      <c r="G739" s="5"/>
      <c r="H739" s="2">
        <v>8.59</v>
      </c>
      <c r="I739" s="2"/>
      <c r="J739" s="2">
        <v>0.995</v>
      </c>
      <c r="K739" s="2"/>
      <c r="L739" s="2"/>
      <c r="M739" s="26">
        <f>Таблица2[[#This Row],[Сумма ЮА]]*Таблица2[[#This Row],[Курс ЮА]]</f>
        <v>1731048.21</v>
      </c>
      <c r="N739" s="24">
        <f>Таблица2[[#This Row],[Сумма ЮА]]*Таблица2[[#This Row],[Курс ЮА]]/Таблица2[[#This Row],[% за перевод]]</f>
        <v>1739746.944723618</v>
      </c>
      <c r="O73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3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8698.7347236180212</v>
      </c>
      <c r="Q739" s="30"/>
      <c r="R739" s="12">
        <f>Таблица2[[#This Row],[Сумма в руб]]-Таблица2[[#This Row],[Оплата от клиента]]</f>
        <v>1739746.944723618</v>
      </c>
      <c r="S739" s="32"/>
      <c r="T739" s="32" t="s">
        <v>107</v>
      </c>
      <c r="U739" s="24"/>
      <c r="V739" s="2"/>
      <c r="W739" s="28"/>
      <c r="X739" s="9"/>
      <c r="Y739" s="16"/>
      <c r="Z739" s="2"/>
      <c r="AA739" s="26">
        <f>Таблица2[[#This Row],[Сумма перевода Долл/Евро]]*Таблица2[[#This Row],[Курс ДОЛЛ перевод]]+Таблица2[[#This Row],[Сумма за перевод руб]]</f>
        <v>8698.7347236180212</v>
      </c>
      <c r="AB73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39" s="9"/>
      <c r="AD739" s="41"/>
    </row>
    <row r="740" spans="1:30" ht="45" x14ac:dyDescent="0.25">
      <c r="A740" s="6">
        <v>44876</v>
      </c>
      <c r="B740" s="38" t="s">
        <v>726</v>
      </c>
      <c r="C740" s="38" t="s">
        <v>203</v>
      </c>
      <c r="D740" s="1" t="s">
        <v>979</v>
      </c>
      <c r="E740" s="1"/>
      <c r="F740" s="3">
        <v>4136</v>
      </c>
      <c r="G740" s="5"/>
      <c r="H740" s="2">
        <v>8.67</v>
      </c>
      <c r="I740" s="2"/>
      <c r="J740" s="2">
        <v>0.9</v>
      </c>
      <c r="K740" s="2"/>
      <c r="L740" s="2"/>
      <c r="M740" s="26">
        <f>Таблица2[[#This Row],[Сумма ЮА]]*Таблица2[[#This Row],[Курс ЮА]]</f>
        <v>35859.120000000003</v>
      </c>
      <c r="N740" s="24">
        <f>Таблица2[[#This Row],[Сумма ЮА]]*Таблица2[[#This Row],[Курс ЮА]]/Таблица2[[#This Row],[% за перевод]]</f>
        <v>39843.466666666667</v>
      </c>
      <c r="O74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584.65892971855476</v>
      </c>
      <c r="P7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3984.3466666666645</v>
      </c>
      <c r="Q740" s="30">
        <v>39843.47</v>
      </c>
      <c r="R740" s="12">
        <f>Таблица2[[#This Row],[Сумма в руб]]-Таблица2[[#This Row],[Оплата от клиента]]</f>
        <v>-3.3333333340124227E-3</v>
      </c>
      <c r="S740" s="32">
        <v>44876</v>
      </c>
      <c r="T740" s="32" t="s">
        <v>720</v>
      </c>
      <c r="U740" s="24" t="s">
        <v>31</v>
      </c>
      <c r="V740" s="2">
        <v>7.3</v>
      </c>
      <c r="W740" s="28">
        <v>61.333399999999997</v>
      </c>
      <c r="X740" s="9">
        <v>609.02</v>
      </c>
      <c r="Y740" s="16">
        <v>4136</v>
      </c>
      <c r="Z740" s="10">
        <v>44876</v>
      </c>
      <c r="AA740" s="26">
        <f>Таблица2[[#This Row],[Сумма перевода Долл/Евро]]*Таблица2[[#This Row],[Курс ДОЛЛ перевод]]+Таблица2[[#This Row],[Сумма за перевод руб]]</f>
        <v>41337.61393466666</v>
      </c>
      <c r="AB74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18.083587252801294</v>
      </c>
      <c r="AC740" s="9" t="s">
        <v>1092</v>
      </c>
      <c r="AD740" s="41"/>
    </row>
    <row r="741" spans="1:30" ht="60" x14ac:dyDescent="0.25">
      <c r="A741" s="6">
        <v>44876</v>
      </c>
      <c r="B741" s="38" t="s">
        <v>919</v>
      </c>
      <c r="C741" s="38" t="s">
        <v>680</v>
      </c>
      <c r="D741" s="1" t="s">
        <v>980</v>
      </c>
      <c r="E741" s="1"/>
      <c r="F741" s="3">
        <v>13200</v>
      </c>
      <c r="G741" s="5"/>
      <c r="H741" s="2">
        <v>8.67</v>
      </c>
      <c r="I741" s="2">
        <v>61.22</v>
      </c>
      <c r="J741" s="2"/>
      <c r="K741" s="2">
        <v>80</v>
      </c>
      <c r="L741" s="2"/>
      <c r="M741" s="26">
        <f>Таблица2[[#This Row],[Сумма ЮА]]*Таблица2[[#This Row],[Курс ЮА]]</f>
        <v>114444</v>
      </c>
      <c r="N741" s="24">
        <f>Таблица2[[#This Row],[Сумма ЮА]]*Таблица2[[#This Row],[Курс ЮА]]+Таблица2[[#This Row],[Долл за перевод]]*Таблица2[[#This Row],[Курс ДОЛЛ]]</f>
        <v>119341.6</v>
      </c>
      <c r="O74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1869.3890885331591</v>
      </c>
      <c r="P7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4897.6000000000004</v>
      </c>
      <c r="Q741" s="30">
        <v>119341.6</v>
      </c>
      <c r="R741" s="12">
        <f>Таблица2[[#This Row],[Сумма в руб]]-Таблица2[[#This Row],[Оплата от клиента]]</f>
        <v>0</v>
      </c>
      <c r="S741" s="32">
        <v>44876</v>
      </c>
      <c r="T741" s="32" t="s">
        <v>107</v>
      </c>
      <c r="U741" s="24" t="s">
        <v>31</v>
      </c>
      <c r="V741" s="2">
        <v>8.5866000000000007</v>
      </c>
      <c r="W741" s="28"/>
      <c r="X741" s="9"/>
      <c r="Y741" s="16">
        <v>13200</v>
      </c>
      <c r="Z741" s="10">
        <v>44876</v>
      </c>
      <c r="AA741" s="26">
        <f>Таблица2[[#This Row],[Сумма перевода Долл/Евро]]*Таблица2[[#This Row],[Курс ДОЛЛ перевод]]+Таблица2[[#This Row],[Сумма за перевод руб]]</f>
        <v>4897.6000000000004</v>
      </c>
      <c r="AB74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332.11007239172955</v>
      </c>
      <c r="AC741" s="9"/>
      <c r="AD741" s="41"/>
    </row>
    <row r="742" spans="1:30" x14ac:dyDescent="0.25">
      <c r="A742" s="6">
        <v>44879</v>
      </c>
      <c r="B742" s="38" t="s">
        <v>32</v>
      </c>
      <c r="C742" s="38" t="s">
        <v>33</v>
      </c>
      <c r="D742" s="1"/>
      <c r="E742" s="1"/>
      <c r="F742" s="3">
        <v>234288</v>
      </c>
      <c r="G742" s="5"/>
      <c r="H742" s="2">
        <v>8.7100000000000009</v>
      </c>
      <c r="I742" s="2"/>
      <c r="J742" s="2">
        <v>0.93</v>
      </c>
      <c r="K742" s="2"/>
      <c r="L742" s="2"/>
      <c r="M742" s="26">
        <f>Таблица2[[#This Row],[Сумма ЮА]]*Таблица2[[#This Row],[Курс ЮА]]</f>
        <v>2040648.4800000002</v>
      </c>
      <c r="N742" s="24">
        <f>Таблица2[[#This Row],[Сумма ЮА]]*Таблица2[[#This Row],[Курс ЮА]]/Таблица2[[#This Row],[% за перевод]]</f>
        <v>2194245.6774193551</v>
      </c>
      <c r="O74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4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153597.19741935492</v>
      </c>
      <c r="Q742" s="30">
        <v>2194245.6800000002</v>
      </c>
      <c r="R742" s="12">
        <f>Таблица2[[#This Row],[Сумма в руб]]-Таблица2[[#This Row],[Оплата от клиента]]</f>
        <v>-2.580645028501749E-3</v>
      </c>
      <c r="S742" s="32">
        <v>44879</v>
      </c>
      <c r="T742" s="32" t="s">
        <v>107</v>
      </c>
      <c r="U742" s="24" t="s">
        <v>31</v>
      </c>
      <c r="V742" s="2">
        <v>8.4872999999999994</v>
      </c>
      <c r="W742" s="28"/>
      <c r="X742" s="9"/>
      <c r="Y742" s="16">
        <v>234288</v>
      </c>
      <c r="Z742" s="10">
        <v>44880</v>
      </c>
      <c r="AA742" s="26">
        <f>Таблица2[[#This Row],[Сумма перевода Долл/Евро]]*Таблица2[[#This Row],[Курс ДОЛЛ перевод]]+Таблица2[[#This Row],[Сумма за перевод руб]]</f>
        <v>153597.19741935492</v>
      </c>
      <c r="AB74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42" s="9"/>
      <c r="AD742" s="41"/>
    </row>
    <row r="743" spans="1:30" x14ac:dyDescent="0.25">
      <c r="A743" s="6">
        <v>44879</v>
      </c>
      <c r="B743" s="2" t="s">
        <v>298</v>
      </c>
      <c r="C743" s="2" t="s">
        <v>56</v>
      </c>
      <c r="D743" s="1"/>
      <c r="E743" s="3"/>
      <c r="F743" s="3"/>
      <c r="G743" s="5">
        <v>13196.47</v>
      </c>
      <c r="H743" s="2"/>
      <c r="I743" s="2">
        <v>61.37</v>
      </c>
      <c r="J743" s="2">
        <v>0.97</v>
      </c>
      <c r="K743" s="2"/>
      <c r="L743" s="2"/>
      <c r="M743" s="26">
        <f>Таблица2[[#This Row],[Сумма Долл]]*Таблица2[[#This Row],[Курс ДОЛЛ]]</f>
        <v>809867.36389999988</v>
      </c>
      <c r="N74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834914.80814432981</v>
      </c>
      <c r="O74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13230.792015461322</v>
      </c>
      <c r="P74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25047.444244329934</v>
      </c>
      <c r="Q743" s="30">
        <v>834914.81</v>
      </c>
      <c r="R743" s="12">
        <f>Таблица2[[#This Row],[Сумма в руб]]-Таблица2[[#This Row],[Оплата от клиента]]</f>
        <v>-1.8556702416390181E-3</v>
      </c>
      <c r="S743" s="32">
        <v>44880</v>
      </c>
      <c r="T743" s="32" t="s">
        <v>164</v>
      </c>
      <c r="U743" s="24" t="s">
        <v>31</v>
      </c>
      <c r="V743" s="2"/>
      <c r="W743" s="28">
        <v>61.210799999999999</v>
      </c>
      <c r="X743" s="9">
        <v>13196.47</v>
      </c>
      <c r="Y743" s="16"/>
      <c r="Z743" s="10">
        <v>44880</v>
      </c>
      <c r="AA743" s="26">
        <f>Таблица2[[#This Row],[Сумма перевода Долл/Евро]]*Таблица2[[#This Row],[Курс ДОЛЛ перевод]]+Таблица2[[#This Row],[Сумма за перевод руб]]</f>
        <v>832813.93012032984</v>
      </c>
      <c r="AB74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34.322015461322735</v>
      </c>
      <c r="AC743" s="9" t="s">
        <v>1092</v>
      </c>
      <c r="AD743" s="41"/>
    </row>
    <row r="744" spans="1:30" x14ac:dyDescent="0.25">
      <c r="A744" s="6">
        <v>44880</v>
      </c>
      <c r="B744" s="2" t="s">
        <v>981</v>
      </c>
      <c r="C744" s="2" t="s">
        <v>982</v>
      </c>
      <c r="D744" s="1" t="s">
        <v>983</v>
      </c>
      <c r="E744" s="1"/>
      <c r="F744" s="3"/>
      <c r="G744" s="5">
        <v>6992</v>
      </c>
      <c r="H744" s="2"/>
      <c r="I744" s="2">
        <v>61.21</v>
      </c>
      <c r="J744" s="2"/>
      <c r="K744" s="2"/>
      <c r="L744" s="2"/>
      <c r="M744" s="26">
        <f>Таблица2[[#This Row],[Сумма Долл]]*Таблица2[[#This Row],[Курс ДОЛЛ]]</f>
        <v>427980.32</v>
      </c>
      <c r="N74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427980.32</v>
      </c>
      <c r="O74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6991.9086174335253</v>
      </c>
      <c r="P74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744" s="30">
        <v>427980.32</v>
      </c>
      <c r="R744" s="12">
        <f>Таблица2[[#This Row],[Сумма в руб]]-Таблица2[[#This Row],[Оплата от клиента]]</f>
        <v>0</v>
      </c>
      <c r="S744" s="32">
        <v>44882</v>
      </c>
      <c r="T744" s="32" t="s">
        <v>164</v>
      </c>
      <c r="U744" s="24" t="s">
        <v>31</v>
      </c>
      <c r="V744" s="2"/>
      <c r="W744" s="28">
        <v>61.210799999999999</v>
      </c>
      <c r="X744" s="9">
        <v>6500</v>
      </c>
      <c r="Y744" s="16"/>
      <c r="Z744" s="10">
        <v>44882</v>
      </c>
      <c r="AA744" s="26">
        <f>Таблица2[[#This Row],[Сумма перевода Долл/Евро]]*Таблица2[[#This Row],[Курс ДОЛЛ перевод]]+Таблица2[[#This Row],[Сумма за перевод руб]]</f>
        <v>397870.2</v>
      </c>
      <c r="AB74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491.90861743352525</v>
      </c>
      <c r="AC744" s="9" t="s">
        <v>1160</v>
      </c>
      <c r="AD744" s="41"/>
    </row>
    <row r="745" spans="1:30" ht="90" x14ac:dyDescent="0.25">
      <c r="A745" s="6">
        <v>44880</v>
      </c>
      <c r="B745" s="38" t="s">
        <v>762</v>
      </c>
      <c r="C745" s="38" t="s">
        <v>816</v>
      </c>
      <c r="D745" s="1" t="s">
        <v>984</v>
      </c>
      <c r="E745" s="1"/>
      <c r="F745" s="3">
        <v>34558</v>
      </c>
      <c r="G745" s="5"/>
      <c r="H745" s="2">
        <v>8.75</v>
      </c>
      <c r="I745" s="2"/>
      <c r="J745" s="2">
        <v>0.99</v>
      </c>
      <c r="K745" s="2"/>
      <c r="L745" s="2"/>
      <c r="M745" s="26">
        <f>Таблица2[[#This Row],[Сумма ЮА]]*Таблица2[[#This Row],[Курс ЮА]]</f>
        <v>302382.5</v>
      </c>
      <c r="N745" s="24">
        <f>Таблица2[[#This Row],[Сумма ЮА]]*Таблица2[[#This Row],[Курс ЮА]]/Таблица2[[#This Row],[% за перевод]]</f>
        <v>305436.86868686869</v>
      </c>
      <c r="O74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4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3054.3686868686927</v>
      </c>
      <c r="Q745" s="30">
        <v>305436.87</v>
      </c>
      <c r="R745" s="12">
        <f>Таблица2[[#This Row],[Сумма в руб]]-Таблица2[[#This Row],[Оплата от клиента]]</f>
        <v>-1.3131313025951385E-3</v>
      </c>
      <c r="S745" s="32">
        <v>44880</v>
      </c>
      <c r="T745" s="32" t="s">
        <v>107</v>
      </c>
      <c r="U745" s="24" t="s">
        <v>31</v>
      </c>
      <c r="V745" s="2">
        <v>8.6807999999999996</v>
      </c>
      <c r="W745" s="28"/>
      <c r="X745" s="9"/>
      <c r="Y745" s="16">
        <v>34558</v>
      </c>
      <c r="Z745" s="10">
        <v>44881</v>
      </c>
      <c r="AA745" s="26">
        <f>Таблица2[[#This Row],[Сумма перевода Долл/Евро]]*Таблица2[[#This Row],[Курс ДОЛЛ перевод]]+Таблица2[[#This Row],[Сумма за перевод руб]]</f>
        <v>3054.3686868686927</v>
      </c>
      <c r="AB74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45" s="9"/>
      <c r="AD745" s="41"/>
    </row>
    <row r="746" spans="1:30" ht="45" x14ac:dyDescent="0.25">
      <c r="A746" s="6">
        <v>44881</v>
      </c>
      <c r="B746" s="38" t="s">
        <v>919</v>
      </c>
      <c r="C746" s="38" t="s">
        <v>680</v>
      </c>
      <c r="D746" s="1" t="s">
        <v>985</v>
      </c>
      <c r="E746" s="1"/>
      <c r="F746" s="3">
        <v>10200</v>
      </c>
      <c r="G746" s="5"/>
      <c r="H746" s="2">
        <v>8.74</v>
      </c>
      <c r="I746" s="2">
        <v>61.72</v>
      </c>
      <c r="J746" s="2"/>
      <c r="K746" s="2">
        <v>80</v>
      </c>
      <c r="L746" s="2"/>
      <c r="M746" s="26">
        <f>Таблица2[[#This Row],[Сумма ЮА]]*Таблица2[[#This Row],[Курс ЮА]]</f>
        <v>89148</v>
      </c>
      <c r="N746" s="24">
        <f>Таблица2[[#This Row],[Сумма ЮА]]*Таблица2[[#This Row],[Курс ЮА]]+Таблица2[[#This Row],[Долл за перевод]]*Таблица2[[#This Row],[Курс ДОЛЛ]]</f>
        <v>94085.6</v>
      </c>
      <c r="O74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1444.3940375891123</v>
      </c>
      <c r="P74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4937.6000000000004</v>
      </c>
      <c r="Q746" s="30">
        <v>94085.6</v>
      </c>
      <c r="R746" s="12">
        <f>Таблица2[[#This Row],[Сумма в руб]]-Таблица2[[#This Row],[Оплата от клиента]]</f>
        <v>0</v>
      </c>
      <c r="S746" s="32">
        <v>44881</v>
      </c>
      <c r="T746" s="32" t="s">
        <v>107</v>
      </c>
      <c r="U746" s="24" t="s">
        <v>31</v>
      </c>
      <c r="V746" s="2">
        <v>8.6091999999999995</v>
      </c>
      <c r="W746" s="28"/>
      <c r="X746" s="9"/>
      <c r="Y746" s="16">
        <v>10200</v>
      </c>
      <c r="Z746" s="10">
        <v>44882</v>
      </c>
      <c r="AA746" s="26">
        <f>Таблица2[[#This Row],[Сумма перевода Долл/Евро]]*Таблица2[[#This Row],[Курс ДОЛЛ перевод]]+Таблица2[[#This Row],[Сумма за перевод руб]]</f>
        <v>4937.6000000000004</v>
      </c>
      <c r="AB74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259.61496403988576</v>
      </c>
      <c r="AC746" s="9" t="s">
        <v>1089</v>
      </c>
      <c r="AD746" s="41"/>
    </row>
    <row r="747" spans="1:30" x14ac:dyDescent="0.25">
      <c r="A747" s="6">
        <v>44881</v>
      </c>
      <c r="B747" s="38" t="s">
        <v>139</v>
      </c>
      <c r="C747" s="38" t="s">
        <v>140</v>
      </c>
      <c r="D747" s="1" t="s">
        <v>986</v>
      </c>
      <c r="E747" s="1"/>
      <c r="F747" s="3">
        <v>7375</v>
      </c>
      <c r="G747" s="5"/>
      <c r="H747" s="2">
        <v>8.74</v>
      </c>
      <c r="I747" s="2"/>
      <c r="J747" s="2">
        <v>0.93</v>
      </c>
      <c r="K747" s="2"/>
      <c r="L747" s="2"/>
      <c r="M747" s="26">
        <f>Таблица2[[#This Row],[Сумма ЮА]]*Таблица2[[#This Row],[Курс ЮА]]</f>
        <v>64457.5</v>
      </c>
      <c r="N747" s="24">
        <f>Таблица2[[#This Row],[Сумма ЮА]]*Таблица2[[#This Row],[Курс ЮА]]/Таблица2[[#This Row],[% за перевод]]</f>
        <v>69309.139784946237</v>
      </c>
      <c r="O74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1053.04129336653</v>
      </c>
      <c r="P74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4851.6397849462373</v>
      </c>
      <c r="Q747" s="30">
        <v>71619.44</v>
      </c>
      <c r="R747" s="12">
        <f>Таблица2[[#This Row],[Сумма в руб]]-Таблица2[[#This Row],[Оплата от клиента]]</f>
        <v>-2310.300215053765</v>
      </c>
      <c r="S747" s="32">
        <v>44881</v>
      </c>
      <c r="T747" s="32" t="s">
        <v>720</v>
      </c>
      <c r="U747" s="24" t="s">
        <v>31</v>
      </c>
      <c r="V747" s="2">
        <v>7.25</v>
      </c>
      <c r="W747" s="28">
        <v>61.210799999999999</v>
      </c>
      <c r="X747" s="9">
        <v>1133.48</v>
      </c>
      <c r="Y747" s="16">
        <v>7375</v>
      </c>
      <c r="Z747" s="10">
        <v>44887</v>
      </c>
      <c r="AA747" s="26">
        <f>Таблица2[[#This Row],[Сумма перевода Долл/Евро]]*Таблица2[[#This Row],[Курс ДОЛЛ перевод]]+Таблица2[[#This Row],[Сумма за перевод руб]]</f>
        <v>74232.857368946236</v>
      </c>
      <c r="AB74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35.799914056185116</v>
      </c>
      <c r="AC747" s="9"/>
      <c r="AD747" s="41"/>
    </row>
    <row r="748" spans="1:30" ht="30" x14ac:dyDescent="0.25">
      <c r="A748" s="6">
        <v>44881</v>
      </c>
      <c r="B748" s="38" t="s">
        <v>32</v>
      </c>
      <c r="C748" s="38" t="s">
        <v>33</v>
      </c>
      <c r="D748" s="1" t="s">
        <v>987</v>
      </c>
      <c r="E748" s="1"/>
      <c r="F748" s="3"/>
      <c r="G748" s="5"/>
      <c r="H748" s="2"/>
      <c r="I748" s="2"/>
      <c r="J748" s="2"/>
      <c r="K748" s="2"/>
      <c r="L748" s="2"/>
      <c r="M748" s="26">
        <f>Таблица2[[#This Row],[Сумма Долл]]*Таблица2[[#This Row],[Курс ДОЛЛ]]</f>
        <v>0</v>
      </c>
      <c r="N748" s="24">
        <v>105000</v>
      </c>
      <c r="O74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74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748" s="30">
        <v>105000</v>
      </c>
      <c r="R748" s="12">
        <f>Таблица2[[#This Row],[Сумма в руб]]-Таблица2[[#This Row],[Оплата от клиента]]</f>
        <v>0</v>
      </c>
      <c r="S748" s="32">
        <v>44881</v>
      </c>
      <c r="T748" s="32" t="s">
        <v>992</v>
      </c>
      <c r="U748" s="24" t="s">
        <v>31</v>
      </c>
      <c r="V748" s="2">
        <v>7.25</v>
      </c>
      <c r="W748" s="28">
        <v>61.210799999999999</v>
      </c>
      <c r="X748" s="9">
        <v>1560</v>
      </c>
      <c r="Y748" s="16">
        <v>10000</v>
      </c>
      <c r="Z748" s="10">
        <v>44887</v>
      </c>
      <c r="AA748" s="26">
        <f>Таблица2[[#This Row],[Сумма перевода Долл/Евро]]*Таблица2[[#This Row],[Курс ДОЛЛ перевод]]+Таблица2[[#This Row],[Сумма за перевод руб]]</f>
        <v>95488.847999999998</v>
      </c>
      <c r="AB74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-1379.3103448275863</v>
      </c>
      <c r="AC748" s="9"/>
      <c r="AD748" s="41"/>
    </row>
    <row r="749" spans="1:30" ht="30" x14ac:dyDescent="0.25">
      <c r="A749" s="6">
        <v>44881</v>
      </c>
      <c r="B749" s="38" t="s">
        <v>988</v>
      </c>
      <c r="C749" s="38" t="s">
        <v>989</v>
      </c>
      <c r="D749" s="1" t="s">
        <v>990</v>
      </c>
      <c r="E749" s="1"/>
      <c r="F749" s="3">
        <v>84196</v>
      </c>
      <c r="G749" s="5"/>
      <c r="H749" s="2">
        <v>8.73</v>
      </c>
      <c r="I749" s="2"/>
      <c r="J749" s="2">
        <v>0.93</v>
      </c>
      <c r="K749" s="2"/>
      <c r="L749" s="2"/>
      <c r="M749" s="26">
        <f>Таблица2[[#This Row],[Сумма ЮА]]*Таблица2[[#This Row],[Курс ЮА]]</f>
        <v>735031.08000000007</v>
      </c>
      <c r="N749" s="24">
        <f>Таблица2[[#This Row],[Сумма ЮА]]*Таблица2[[#This Row],[Курс ЮА]]/Таблица2[[#This Row],[% за перевод]]</f>
        <v>790356</v>
      </c>
      <c r="O74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12023.238710901591</v>
      </c>
      <c r="P74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55324.919999999925</v>
      </c>
      <c r="Q749" s="30">
        <f>750031.71+40324.29</f>
        <v>790356</v>
      </c>
      <c r="R749" s="12">
        <f>Таблица2[[#This Row],[Сумма в руб]]-Таблица2[[#This Row],[Оплата от клиента]]</f>
        <v>0</v>
      </c>
      <c r="S749" s="32">
        <v>44882</v>
      </c>
      <c r="T749" s="32" t="s">
        <v>720</v>
      </c>
      <c r="U749" s="24" t="s">
        <v>31</v>
      </c>
      <c r="V749" s="2">
        <v>7.25</v>
      </c>
      <c r="W749" s="28">
        <v>61.1342</v>
      </c>
      <c r="X749" s="9">
        <v>11885.21</v>
      </c>
      <c r="Y749" s="16">
        <v>84196</v>
      </c>
      <c r="Z749" s="10">
        <v>44890</v>
      </c>
      <c r="AA749" s="26">
        <f>Таблица2[[#This Row],[Сумма перевода Долл/Евро]]*Таблица2[[#This Row],[Курс ДОЛЛ перевод]]+Таблица2[[#This Row],[Сумма за перевод руб]]</f>
        <v>781917.72518199985</v>
      </c>
      <c r="AB74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409.99733159124662</v>
      </c>
      <c r="AC749" s="41" t="s">
        <v>1192</v>
      </c>
      <c r="AD749" s="41"/>
    </row>
    <row r="750" spans="1:30" x14ac:dyDescent="0.25">
      <c r="A750" s="6">
        <v>44881</v>
      </c>
      <c r="B750" s="38" t="s">
        <v>988</v>
      </c>
      <c r="C750" s="38" t="s">
        <v>989</v>
      </c>
      <c r="D750" s="1" t="s">
        <v>991</v>
      </c>
      <c r="E750" s="1"/>
      <c r="F750" s="3">
        <v>40905</v>
      </c>
      <c r="G750" s="5"/>
      <c r="H750" s="2">
        <v>8.73</v>
      </c>
      <c r="I750" s="2"/>
      <c r="J750" s="2">
        <v>0.93</v>
      </c>
      <c r="K750" s="2"/>
      <c r="L750" s="2"/>
      <c r="M750" s="26">
        <f>Таблица2[[#This Row],[Сумма ЮА]]*Таблица2[[#This Row],[Курс ЮА]]</f>
        <v>357100.65</v>
      </c>
      <c r="N750" s="24">
        <f>Таблица2[[#This Row],[Сумма ЮА]]*Таблица2[[#This Row],[Курс ЮА]]/Таблица2[[#This Row],[% за перевод]]</f>
        <v>383979.19354838709</v>
      </c>
      <c r="O75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5833.9484208669064</v>
      </c>
      <c r="P75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26878.543548387068</v>
      </c>
      <c r="Q750" s="30">
        <v>383979.19</v>
      </c>
      <c r="R750" s="12">
        <f>Таблица2[[#This Row],[Сумма в руб]]-Таблица2[[#This Row],[Оплата от клиента]]</f>
        <v>3.5483870888128877E-3</v>
      </c>
      <c r="S750" s="32">
        <v>44882</v>
      </c>
      <c r="T750" s="32" t="s">
        <v>720</v>
      </c>
      <c r="U750" s="24" t="s">
        <v>31</v>
      </c>
      <c r="V750" s="2">
        <v>7.25</v>
      </c>
      <c r="W750" s="28">
        <v>61.210799999999999</v>
      </c>
      <c r="X750" s="9">
        <v>6077.03</v>
      </c>
      <c r="Y750" s="16">
        <f>17000+23905</f>
        <v>40905</v>
      </c>
      <c r="Z750" s="10">
        <v>44890</v>
      </c>
      <c r="AA750" s="26">
        <f>Таблица2[[#This Row],[Сумма перевода Долл/Евро]]*Таблица2[[#This Row],[Курс ДОЛЛ перевод]]+Таблица2[[#This Row],[Сумма за перевод руб]]</f>
        <v>398858.41147238703</v>
      </c>
      <c r="AB75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191.87945534966548</v>
      </c>
      <c r="AC750" s="70" t="s">
        <v>1191</v>
      </c>
      <c r="AD750" s="41"/>
    </row>
    <row r="751" spans="1:30" ht="75" x14ac:dyDescent="0.25">
      <c r="A751" s="6">
        <v>44881</v>
      </c>
      <c r="B751" s="38" t="s">
        <v>958</v>
      </c>
      <c r="C751" s="38" t="s">
        <v>959</v>
      </c>
      <c r="D751" s="1" t="s">
        <v>960</v>
      </c>
      <c r="E751" s="1"/>
      <c r="F751" s="3">
        <v>26632.39</v>
      </c>
      <c r="G751" s="5"/>
      <c r="H751" s="2">
        <v>8.73</v>
      </c>
      <c r="I751" s="2"/>
      <c r="J751" s="2">
        <v>0.97</v>
      </c>
      <c r="K751" s="2"/>
      <c r="L751" s="2"/>
      <c r="M751" s="26">
        <f>Таблица2[[#This Row],[Сумма ЮА]]*Таблица2[[#This Row],[Курс ЮА]]</f>
        <v>232500.7647</v>
      </c>
      <c r="N751" s="24">
        <f>Таблица2[[#This Row],[Сумма ЮА]]*Таблица2[[#This Row],[Курс ЮА]]/Таблица2[[#This Row],[% за перевод]]</f>
        <v>239691.51</v>
      </c>
      <c r="O75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5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7190.7453000000096</v>
      </c>
      <c r="Q751" s="30">
        <v>239691.51</v>
      </c>
      <c r="R751" s="12">
        <f>Таблица2[[#This Row],[Сумма в руб]]-Таблица2[[#This Row],[Оплата от клиента]]</f>
        <v>0</v>
      </c>
      <c r="S751" s="32">
        <v>44882</v>
      </c>
      <c r="T751" s="32" t="s">
        <v>107</v>
      </c>
      <c r="U751" s="24" t="s">
        <v>31</v>
      </c>
      <c r="V751" s="2">
        <v>8.5717999999999996</v>
      </c>
      <c r="W751" s="28"/>
      <c r="X751" s="9"/>
      <c r="Y751" s="16">
        <v>26632.39</v>
      </c>
      <c r="Z751" s="10">
        <v>44882</v>
      </c>
      <c r="AA751" s="26">
        <f>Таблица2[[#This Row],[Сумма перевода Долл/Евро]]*Таблица2[[#This Row],[Курс ДОЛЛ перевод]]+Таблица2[[#This Row],[Сумма за перевод руб]]</f>
        <v>7190.7453000000096</v>
      </c>
      <c r="AB75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51" s="9" t="s">
        <v>1096</v>
      </c>
      <c r="AD751" s="41"/>
    </row>
    <row r="752" spans="1:30" x14ac:dyDescent="0.25">
      <c r="A752" s="6">
        <v>44881</v>
      </c>
      <c r="B752" s="2" t="s">
        <v>142</v>
      </c>
      <c r="C752" s="2" t="s">
        <v>143</v>
      </c>
      <c r="D752" s="1" t="s">
        <v>789</v>
      </c>
      <c r="E752" s="1"/>
      <c r="F752" s="3"/>
      <c r="G752" s="5">
        <v>12500</v>
      </c>
      <c r="H752" s="2"/>
      <c r="I752" s="2">
        <v>61.12</v>
      </c>
      <c r="J752" s="2">
        <v>0.97</v>
      </c>
      <c r="K752" s="2"/>
      <c r="L752" s="2"/>
      <c r="M752" s="26">
        <f>Таблица2[[#This Row],[Сумма Долл]]*Таблица2[[#This Row],[Курс ДОЛЛ]]</f>
        <v>764000</v>
      </c>
      <c r="N75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787628.86597938149</v>
      </c>
      <c r="O75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12482.558728478207</v>
      </c>
      <c r="P75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23628.865979381488</v>
      </c>
      <c r="Q752" s="30">
        <v>787628.87</v>
      </c>
      <c r="R752" s="12">
        <f>Таблица2[[#This Row],[Сумма в руб]]-Таблица2[[#This Row],[Оплата от клиента]]</f>
        <v>-4.0206185076385736E-3</v>
      </c>
      <c r="S752" s="32">
        <v>44882</v>
      </c>
      <c r="T752" s="32" t="s">
        <v>164</v>
      </c>
      <c r="U752" s="24" t="s">
        <v>31</v>
      </c>
      <c r="V752" s="2"/>
      <c r="W752" s="28">
        <v>61.205399999999997</v>
      </c>
      <c r="X752" s="9">
        <v>12500</v>
      </c>
      <c r="Y752" s="16"/>
      <c r="Z752" s="10">
        <v>44882</v>
      </c>
      <c r="AA752" s="26">
        <f>Таблица2[[#This Row],[Сумма перевода Долл/Евро]]*Таблица2[[#This Row],[Курс ДОЛЛ перевод]]+Таблица2[[#This Row],[Сумма за перевод руб]]</f>
        <v>788696.36597938149</v>
      </c>
      <c r="AB75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-17.441271521793169</v>
      </c>
      <c r="AC752" s="9" t="s">
        <v>1090</v>
      </c>
      <c r="AD752" s="41"/>
    </row>
    <row r="753" spans="1:30" x14ac:dyDescent="0.25">
      <c r="A753" s="6">
        <v>44881</v>
      </c>
      <c r="B753" s="38" t="s">
        <v>655</v>
      </c>
      <c r="C753" s="38" t="s">
        <v>993</v>
      </c>
      <c r="D753" s="1"/>
      <c r="E753" s="1"/>
      <c r="F753" s="3">
        <v>25200</v>
      </c>
      <c r="G753" s="5"/>
      <c r="H753" s="2">
        <v>8.73</v>
      </c>
      <c r="I753" s="2"/>
      <c r="J753" s="2">
        <v>0.99</v>
      </c>
      <c r="K753" s="2"/>
      <c r="L753" s="2"/>
      <c r="M753" s="26">
        <f>Таблица2[[#This Row],[Сумма ЮА]]*Таблица2[[#This Row],[Курс ЮА]]</f>
        <v>219996</v>
      </c>
      <c r="N753" s="24">
        <f>Таблица2[[#This Row],[Сумма ЮА]]*Таблица2[[#This Row],[Курс ЮА]]/Таблица2[[#This Row],[% за перевод]]</f>
        <v>222218.18181818182</v>
      </c>
      <c r="O75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5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2222.1818181818235</v>
      </c>
      <c r="Q753" s="30">
        <v>222218.18</v>
      </c>
      <c r="R753" s="12">
        <f>Таблица2[[#This Row],[Сумма в руб]]-Таблица2[[#This Row],[Оплата от клиента]]</f>
        <v>1.818181830458343E-3</v>
      </c>
      <c r="S753" s="32">
        <v>44882</v>
      </c>
      <c r="T753" s="32" t="s">
        <v>107</v>
      </c>
      <c r="U753" s="24" t="s">
        <v>31</v>
      </c>
      <c r="V753" s="2">
        <v>8.5794999999999995</v>
      </c>
      <c r="W753" s="28"/>
      <c r="X753" s="9"/>
      <c r="Y753" s="16">
        <v>25200</v>
      </c>
      <c r="Z753" s="10">
        <v>44882</v>
      </c>
      <c r="AA753" s="26">
        <f>Таблица2[[#This Row],[Сумма перевода Долл/Евро]]*Таблица2[[#This Row],[Курс ДОЛЛ перевод]]+Таблица2[[#This Row],[Сумма за перевод руб]]</f>
        <v>2222.1818181818235</v>
      </c>
      <c r="AB75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53" s="9"/>
      <c r="AD753" s="41"/>
    </row>
    <row r="754" spans="1:30" x14ac:dyDescent="0.25">
      <c r="A754" s="6">
        <v>44882</v>
      </c>
      <c r="B754" s="2" t="s">
        <v>298</v>
      </c>
      <c r="C754" s="2" t="s">
        <v>56</v>
      </c>
      <c r="D754" s="1"/>
      <c r="E754" s="1"/>
      <c r="F754" s="3"/>
      <c r="G754" s="5">
        <v>258.19</v>
      </c>
      <c r="H754" s="2"/>
      <c r="I754" s="67">
        <v>61.27</v>
      </c>
      <c r="J754" s="2"/>
      <c r="K754" s="2">
        <v>80</v>
      </c>
      <c r="L754" s="2"/>
      <c r="M754" s="26">
        <f>Таблица2[[#This Row],[Сумма Долл]]*Таблица2[[#This Row],[Курс ДОЛЛ]]</f>
        <v>15819.301300000001</v>
      </c>
      <c r="N75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20720.901300000001</v>
      </c>
      <c r="O75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258.37217199004363</v>
      </c>
      <c r="P75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4898.1440000000002</v>
      </c>
      <c r="Q754" s="30">
        <v>20720.900000000001</v>
      </c>
      <c r="R754" s="12">
        <f>Таблица2[[#This Row],[Сумма в руб]]-Таблица2[[#This Row],[Оплата от клиента]]</f>
        <v>1.299999999901047E-3</v>
      </c>
      <c r="S754" s="32">
        <v>44882</v>
      </c>
      <c r="T754" s="32" t="s">
        <v>164</v>
      </c>
      <c r="U754" s="24" t="s">
        <v>31</v>
      </c>
      <c r="V754" s="2"/>
      <c r="W754" s="28">
        <v>61.226799999999997</v>
      </c>
      <c r="X754" s="9">
        <v>258.19</v>
      </c>
      <c r="Y754" s="16"/>
      <c r="Z754" s="10">
        <v>44882</v>
      </c>
      <c r="AA754" s="26">
        <f>Таблица2[[#This Row],[Сумма перевода Долл/Евро]]*Таблица2[[#This Row],[Курс ДОЛЛ перевод]]+Таблица2[[#This Row],[Сумма за перевод руб]]</f>
        <v>20706.291491999997</v>
      </c>
      <c r="AB75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0.18217199004362783</v>
      </c>
      <c r="AC754" s="9" t="s">
        <v>1092</v>
      </c>
      <c r="AD754" s="41"/>
    </row>
    <row r="755" spans="1:30" ht="36" customHeight="1" x14ac:dyDescent="0.25">
      <c r="A755" s="6">
        <v>44882</v>
      </c>
      <c r="B755" s="38" t="s">
        <v>773</v>
      </c>
      <c r="C755" s="38" t="s">
        <v>774</v>
      </c>
      <c r="D755" s="1"/>
      <c r="E755" s="1"/>
      <c r="F755" s="3">
        <v>24886.2</v>
      </c>
      <c r="G755" s="5"/>
      <c r="H755" s="2">
        <v>8.67</v>
      </c>
      <c r="I755" s="2"/>
      <c r="J755" s="2">
        <v>0.97</v>
      </c>
      <c r="K755" s="2"/>
      <c r="L755" s="2"/>
      <c r="M755" s="26">
        <f>Таблица2[[#This Row],[Сумма ЮА]]*Таблица2[[#This Row],[Курс ЮА]]</f>
        <v>215763.35399999999</v>
      </c>
      <c r="N755" s="24">
        <f>Таблица2[[#This Row],[Сумма ЮА]]*Таблица2[[#This Row],[Курс ЮА]]/Таблица2[[#This Row],[% за перевод]]</f>
        <v>222436.44742268042</v>
      </c>
      <c r="O75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5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6673.0934226804238</v>
      </c>
      <c r="Q755" s="30">
        <v>222436.45</v>
      </c>
      <c r="R755" s="12">
        <f>Таблица2[[#This Row],[Сумма в руб]]-Таблица2[[#This Row],[Оплата от клиента]]</f>
        <v>-2.5773195957299322E-3</v>
      </c>
      <c r="S755" s="32">
        <v>44882</v>
      </c>
      <c r="T755" s="32" t="s">
        <v>107</v>
      </c>
      <c r="U755" s="24" t="s">
        <v>31</v>
      </c>
      <c r="V755" s="2">
        <v>8.5612999999999992</v>
      </c>
      <c r="W755" s="28"/>
      <c r="X755" s="9"/>
      <c r="Y755" s="16">
        <v>24886.2</v>
      </c>
      <c r="Z755" s="10">
        <v>44882</v>
      </c>
      <c r="AA755" s="26">
        <f>Таблица2[[#This Row],[Сумма перевода Долл/Евро]]*Таблица2[[#This Row],[Курс ДОЛЛ перевод]]+Таблица2[[#This Row],[Сумма за перевод руб]]</f>
        <v>6673.0934226804238</v>
      </c>
      <c r="AB75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55" s="9" t="s">
        <v>1165</v>
      </c>
      <c r="AD755" s="69"/>
    </row>
    <row r="756" spans="1:30" x14ac:dyDescent="0.25">
      <c r="A756" s="6">
        <v>44880</v>
      </c>
      <c r="B756" s="38" t="s">
        <v>994</v>
      </c>
      <c r="C756" s="38" t="s">
        <v>995</v>
      </c>
      <c r="D756" s="1"/>
      <c r="E756" s="1"/>
      <c r="F756" s="3">
        <v>7560</v>
      </c>
      <c r="G756" s="5"/>
      <c r="H756" s="2"/>
      <c r="I756" s="2"/>
      <c r="J756" s="2"/>
      <c r="K756" s="2"/>
      <c r="L756" s="2"/>
      <c r="M756" s="26">
        <f>Таблица2[[#This Row],[Сумма Долл]]*Таблица2[[#This Row],[Курс ДОЛЛ]]</f>
        <v>0</v>
      </c>
      <c r="N756" s="24">
        <v>73603</v>
      </c>
      <c r="O75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5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756" s="30">
        <v>73603</v>
      </c>
      <c r="R756" s="12">
        <f>Таблица2[[#This Row],[Сумма в руб]]-Таблица2[[#This Row],[Оплата от клиента]]</f>
        <v>0</v>
      </c>
      <c r="S756" s="32">
        <v>44880</v>
      </c>
      <c r="T756" s="32" t="s">
        <v>107</v>
      </c>
      <c r="U756" s="24" t="s">
        <v>31</v>
      </c>
      <c r="V756" s="2">
        <v>8.5794999999999995</v>
      </c>
      <c r="W756" s="28"/>
      <c r="X756" s="9"/>
      <c r="Y756" s="16">
        <v>7560</v>
      </c>
      <c r="Z756" s="10">
        <v>44882</v>
      </c>
      <c r="AA756" s="26">
        <f>Таблица2[[#This Row],[Сумма перевода Долл/Евро]]*Таблица2[[#This Row],[Курс ДОЛЛ перевод]]+Таблица2[[#This Row],[Сумма за перевод руб]]</f>
        <v>0</v>
      </c>
      <c r="AB75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56" s="9"/>
      <c r="AD756" s="41"/>
    </row>
    <row r="757" spans="1:30" x14ac:dyDescent="0.25">
      <c r="A757" s="6">
        <v>44882</v>
      </c>
      <c r="B757" s="38" t="s">
        <v>722</v>
      </c>
      <c r="C757" s="38" t="s">
        <v>723</v>
      </c>
      <c r="D757" s="1"/>
      <c r="E757" s="1"/>
      <c r="F757" s="3">
        <v>42727</v>
      </c>
      <c r="G757" s="5"/>
      <c r="H757" s="2"/>
      <c r="I757" s="2"/>
      <c r="J757" s="2"/>
      <c r="K757" s="2"/>
      <c r="L757" s="2"/>
      <c r="M757" s="26">
        <f>Таблица2[[#This Row],[Сумма Долл]]*Таблица2[[#This Row],[Курс ДОЛЛ]]</f>
        <v>0</v>
      </c>
      <c r="N75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0</v>
      </c>
      <c r="O75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5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757" s="30"/>
      <c r="R757" s="12">
        <f>Таблица2[[#This Row],[Сумма в руб]]-Таблица2[[#This Row],[Оплата от клиента]]</f>
        <v>0</v>
      </c>
      <c r="S757" s="32">
        <v>44882</v>
      </c>
      <c r="T757" s="32" t="s">
        <v>107</v>
      </c>
      <c r="U757" s="24" t="s">
        <v>31</v>
      </c>
      <c r="V757" s="2">
        <v>8.4872999999999994</v>
      </c>
      <c r="W757" s="28"/>
      <c r="X757" s="9"/>
      <c r="Y757" s="16">
        <v>42727</v>
      </c>
      <c r="Z757" s="10">
        <v>44882</v>
      </c>
      <c r="AA757" s="26">
        <f>Таблица2[[#This Row],[Сумма перевода Долл/Евро]]*Таблица2[[#This Row],[Курс ДОЛЛ перевод]]+Таблица2[[#This Row],[Сумма за перевод руб]]</f>
        <v>0</v>
      </c>
      <c r="AB75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57" s="9"/>
      <c r="AD757" s="41"/>
    </row>
    <row r="758" spans="1:30" x14ac:dyDescent="0.25">
      <c r="A758" s="6">
        <v>44886</v>
      </c>
      <c r="B758" s="38" t="s">
        <v>178</v>
      </c>
      <c r="C758" s="38" t="s">
        <v>179</v>
      </c>
      <c r="D758" s="1" t="s">
        <v>809</v>
      </c>
      <c r="E758" s="1"/>
      <c r="F758" s="3">
        <v>100720</v>
      </c>
      <c r="G758" s="5"/>
      <c r="H758" s="2">
        <v>8.6067999999999998</v>
      </c>
      <c r="I758" s="2"/>
      <c r="J758" s="2">
        <v>0.99</v>
      </c>
      <c r="K758" s="2"/>
      <c r="L758" s="2"/>
      <c r="M758" s="26">
        <f>Таблица2[[#This Row],[Сумма ЮА]]*Таблица2[[#This Row],[Курс ЮА]]</f>
        <v>866876.89599999995</v>
      </c>
      <c r="N758" s="24">
        <f>Таблица2[[#This Row],[Сумма ЮА]]*Таблица2[[#This Row],[Курс ЮА]]/Таблица2[[#This Row],[% за перевод]]</f>
        <v>875633.22828282823</v>
      </c>
      <c r="O75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5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8756.3322828282835</v>
      </c>
      <c r="Q758" s="30">
        <f>850000+25633.23</f>
        <v>875633.23</v>
      </c>
      <c r="R758" s="12">
        <f>Таблица2[[#This Row],[Сумма в руб]]-Таблица2[[#This Row],[Оплата от клиента]]</f>
        <v>-1.7171717481687665E-3</v>
      </c>
      <c r="S758" s="32">
        <v>44886</v>
      </c>
      <c r="T758" s="32" t="s">
        <v>107</v>
      </c>
      <c r="U758" s="24" t="s">
        <v>31</v>
      </c>
      <c r="V758" s="2">
        <v>8.6067999999999998</v>
      </c>
      <c r="W758" s="28"/>
      <c r="X758" s="9"/>
      <c r="Y758" s="16">
        <v>100720</v>
      </c>
      <c r="Z758" s="10">
        <v>44886</v>
      </c>
      <c r="AA758" s="26">
        <f>Таблица2[[#This Row],[Сумма перевода Долл/Евро]]*Таблица2[[#This Row],[Курс ДОЛЛ перевод]]+Таблица2[[#This Row],[Сумма за перевод руб]]</f>
        <v>8756.3322828282835</v>
      </c>
      <c r="AB75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58" s="9"/>
      <c r="AD758" s="41"/>
    </row>
    <row r="759" spans="1:30" ht="30" x14ac:dyDescent="0.25">
      <c r="A759" s="6">
        <v>44886</v>
      </c>
      <c r="B759" s="38" t="s">
        <v>755</v>
      </c>
      <c r="C759" s="38" t="s">
        <v>354</v>
      </c>
      <c r="D759" s="1" t="s">
        <v>867</v>
      </c>
      <c r="E759" s="1"/>
      <c r="F759" s="3">
        <v>7935.12</v>
      </c>
      <c r="G759" s="5"/>
      <c r="H759" s="2">
        <v>8.7100000000000009</v>
      </c>
      <c r="I759" s="2"/>
      <c r="J759" s="2">
        <v>0.97</v>
      </c>
      <c r="K759" s="2"/>
      <c r="L759" s="2"/>
      <c r="M759" s="26">
        <f>Таблица2[[#This Row],[Сумма ЮА]]*Таблица2[[#This Row],[Курс ЮА]]</f>
        <v>69114.895199999999</v>
      </c>
      <c r="N759" s="24">
        <f>Таблица2[[#This Row],[Сумма ЮА]]*Таблица2[[#This Row],[Курс ЮА]]/Таблица2[[#This Row],[% за перевод]]</f>
        <v>71252.469278350516</v>
      </c>
      <c r="O75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5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2137.5740783505171</v>
      </c>
      <c r="Q759" s="30">
        <v>71252.47</v>
      </c>
      <c r="R759" s="12">
        <f>Таблица2[[#This Row],[Сумма в руб]]-Таблица2[[#This Row],[Оплата от клиента]]</f>
        <v>-7.2164948505815119E-4</v>
      </c>
      <c r="S759" s="32">
        <v>44887</v>
      </c>
      <c r="T759" s="32" t="s">
        <v>107</v>
      </c>
      <c r="U759" s="24" t="s">
        <v>31</v>
      </c>
      <c r="V759" s="2">
        <v>8.5860000000000003</v>
      </c>
      <c r="W759" s="28"/>
      <c r="X759" s="9"/>
      <c r="Y759" s="3">
        <v>7935.12</v>
      </c>
      <c r="Z759" s="10">
        <v>44887</v>
      </c>
      <c r="AA759" s="26">
        <f>Таблица2[[#This Row],[Сумма перевода Долл/Евро]]*Таблица2[[#This Row],[Курс ДОЛЛ перевод]]+Таблица2[[#This Row],[Сумма за перевод руб]]</f>
        <v>2137.5740783505171</v>
      </c>
      <c r="AB75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59" s="9" t="s">
        <v>1091</v>
      </c>
      <c r="AD759" s="41"/>
    </row>
    <row r="760" spans="1:30" ht="30" x14ac:dyDescent="0.25">
      <c r="A760" s="6">
        <v>44886</v>
      </c>
      <c r="B760" s="38" t="s">
        <v>755</v>
      </c>
      <c r="C760" s="38" t="s">
        <v>354</v>
      </c>
      <c r="D760" s="1" t="s">
        <v>867</v>
      </c>
      <c r="E760" s="1"/>
      <c r="F760" s="3">
        <v>36320.92</v>
      </c>
      <c r="G760" s="5"/>
      <c r="H760" s="2">
        <v>8.7100000000000009</v>
      </c>
      <c r="I760" s="2"/>
      <c r="J760" s="2">
        <v>0.97</v>
      </c>
      <c r="K760" s="2"/>
      <c r="L760" s="2"/>
      <c r="M760" s="26">
        <f>Таблица2[[#This Row],[Сумма ЮА]]*Таблица2[[#This Row],[Курс ЮА]]</f>
        <v>316355.2132</v>
      </c>
      <c r="N760" s="24">
        <f>Таблица2[[#This Row],[Сумма ЮА]]*Таблица2[[#This Row],[Курс ЮА]]/Таблица2[[#This Row],[% за перевод]]</f>
        <v>326139.39505154639</v>
      </c>
      <c r="O76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6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9784.1818515463965</v>
      </c>
      <c r="Q760" s="30">
        <v>326139.40000000002</v>
      </c>
      <c r="R760" s="12">
        <f>Таблица2[[#This Row],[Сумма в руб]]-Таблица2[[#This Row],[Оплата от клиента]]</f>
        <v>-4.9484536284580827E-3</v>
      </c>
      <c r="S760" s="32">
        <v>44887</v>
      </c>
      <c r="T760" s="32" t="s">
        <v>107</v>
      </c>
      <c r="U760" s="24" t="s">
        <v>31</v>
      </c>
      <c r="V760" s="2">
        <v>8.5860000000000003</v>
      </c>
      <c r="W760" s="28"/>
      <c r="X760" s="9"/>
      <c r="Y760" s="3">
        <v>36320.92</v>
      </c>
      <c r="Z760" s="10">
        <v>44887</v>
      </c>
      <c r="AA760" s="26">
        <f>Таблица2[[#This Row],[Сумма перевода Долл/Евро]]*Таблица2[[#This Row],[Курс ДОЛЛ перевод]]+Таблица2[[#This Row],[Сумма за перевод руб]]</f>
        <v>9784.1818515463965</v>
      </c>
      <c r="AB76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60" s="9" t="s">
        <v>1091</v>
      </c>
      <c r="AD760" s="41"/>
    </row>
    <row r="761" spans="1:30" ht="30" x14ac:dyDescent="0.25">
      <c r="A761" s="6">
        <v>44886</v>
      </c>
      <c r="B761" s="38" t="s">
        <v>755</v>
      </c>
      <c r="C761" s="38" t="s">
        <v>354</v>
      </c>
      <c r="D761" s="1" t="s">
        <v>867</v>
      </c>
      <c r="E761" s="1"/>
      <c r="F761" s="3">
        <v>6684.85</v>
      </c>
      <c r="G761" s="5"/>
      <c r="H761" s="2">
        <v>8.7100000000000009</v>
      </c>
      <c r="I761" s="2"/>
      <c r="J761" s="2">
        <v>0.97</v>
      </c>
      <c r="K761" s="2"/>
      <c r="L761" s="2"/>
      <c r="M761" s="26">
        <f>Таблица2[[#This Row],[Сумма ЮА]]*Таблица2[[#This Row],[Курс ЮА]]</f>
        <v>58225.043500000007</v>
      </c>
      <c r="N761" s="24">
        <f>Таблица2[[#This Row],[Сумма ЮА]]*Таблица2[[#This Row],[Курс ЮА]]/Таблица2[[#This Row],[% за перевод]]</f>
        <v>60025.818041237122</v>
      </c>
      <c r="O76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6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1800.774541237115</v>
      </c>
      <c r="Q761" s="30">
        <v>60025.82</v>
      </c>
      <c r="R761" s="12">
        <f>Таблица2[[#This Row],[Сумма в руб]]-Таблица2[[#This Row],[Оплата от клиента]]</f>
        <v>-1.9587628776207566E-3</v>
      </c>
      <c r="S761" s="32">
        <v>44887</v>
      </c>
      <c r="T761" s="32" t="s">
        <v>107</v>
      </c>
      <c r="U761" s="24" t="s">
        <v>31</v>
      </c>
      <c r="V761" s="2">
        <v>8.5860000000000003</v>
      </c>
      <c r="W761" s="28"/>
      <c r="X761" s="9"/>
      <c r="Y761" s="3">
        <v>6684.85</v>
      </c>
      <c r="Z761" s="10">
        <v>44887</v>
      </c>
      <c r="AA761" s="26">
        <f>Таблица2[[#This Row],[Сумма перевода Долл/Евро]]*Таблица2[[#This Row],[Курс ДОЛЛ перевод]]+Таблица2[[#This Row],[Сумма за перевод руб]]</f>
        <v>1800.774541237115</v>
      </c>
      <c r="AB76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61" s="9" t="s">
        <v>1091</v>
      </c>
      <c r="AD761" s="41"/>
    </row>
    <row r="762" spans="1:30" ht="30" x14ac:dyDescent="0.25">
      <c r="A762" s="6">
        <v>44886</v>
      </c>
      <c r="B762" s="38" t="s">
        <v>755</v>
      </c>
      <c r="C762" s="38" t="s">
        <v>354</v>
      </c>
      <c r="D762" s="1" t="s">
        <v>867</v>
      </c>
      <c r="E762" s="1"/>
      <c r="F762" s="3">
        <v>23434.76</v>
      </c>
      <c r="G762" s="5"/>
      <c r="H762" s="2">
        <v>8.7100000000000009</v>
      </c>
      <c r="I762" s="2"/>
      <c r="J762" s="2">
        <v>0.97</v>
      </c>
      <c r="K762" s="2"/>
      <c r="L762" s="2"/>
      <c r="M762" s="26">
        <f>Таблица2[[#This Row],[Сумма ЮА]]*Таблица2[[#This Row],[Курс ЮА]]</f>
        <v>204116.75960000002</v>
      </c>
      <c r="N762" s="24">
        <f>Таблица2[[#This Row],[Сумма ЮА]]*Таблица2[[#This Row],[Курс ЮА]]/Таблица2[[#This Row],[% за перевод]]</f>
        <v>210429.64907216496</v>
      </c>
      <c r="O76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6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6312.8894721649413</v>
      </c>
      <c r="Q762" s="30">
        <v>210429.65</v>
      </c>
      <c r="R762" s="12">
        <f>Таблица2[[#This Row],[Сумма в руб]]-Таблица2[[#This Row],[Оплата от клиента]]</f>
        <v>-9.2783503350801766E-4</v>
      </c>
      <c r="S762" s="32">
        <v>44887</v>
      </c>
      <c r="T762" s="32" t="s">
        <v>107</v>
      </c>
      <c r="U762" s="24" t="s">
        <v>31</v>
      </c>
      <c r="V762" s="2">
        <v>8.5860000000000003</v>
      </c>
      <c r="W762" s="28"/>
      <c r="X762" s="9"/>
      <c r="Y762" s="3">
        <v>23434.76</v>
      </c>
      <c r="Z762" s="10">
        <v>44887</v>
      </c>
      <c r="AA762" s="26">
        <f>Таблица2[[#This Row],[Сумма перевода Долл/Евро]]*Таблица2[[#This Row],[Курс ДОЛЛ перевод]]+Таблица2[[#This Row],[Сумма за перевод руб]]</f>
        <v>6312.8894721649413</v>
      </c>
      <c r="AB76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62" s="9" t="s">
        <v>1091</v>
      </c>
      <c r="AD762" s="41"/>
    </row>
    <row r="763" spans="1:30" ht="45" x14ac:dyDescent="0.25">
      <c r="A763" s="6">
        <v>44886</v>
      </c>
      <c r="B763" s="38" t="s">
        <v>89</v>
      </c>
      <c r="C763" s="38" t="s">
        <v>330</v>
      </c>
      <c r="D763" s="1" t="s">
        <v>1056</v>
      </c>
      <c r="E763" s="1"/>
      <c r="F763" s="3">
        <v>31989.3</v>
      </c>
      <c r="G763" s="5"/>
      <c r="H763" s="2">
        <v>8.7100000000000009</v>
      </c>
      <c r="I763" s="2"/>
      <c r="J763" s="2">
        <v>0.97</v>
      </c>
      <c r="K763" s="2"/>
      <c r="L763" s="2"/>
      <c r="M763" s="26">
        <f>Таблица2[[#This Row],[Сумма ЮА]]*Таблица2[[#This Row],[Курс ЮА]]</f>
        <v>278626.80300000001</v>
      </c>
      <c r="N763" s="24">
        <f>Таблица2[[#This Row],[Сумма ЮА]]*Таблица2[[#This Row],[Курс ЮА]]/Таблица2[[#This Row],[% за перевод]]</f>
        <v>287244.12680412375</v>
      </c>
      <c r="O76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6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8617.3238041237346</v>
      </c>
      <c r="Q763" s="30">
        <v>287244.13</v>
      </c>
      <c r="R763" s="12">
        <f>Таблица2[[#This Row],[Сумма в руб]]-Таблица2[[#This Row],[Оплата от клиента]]</f>
        <v>-3.1958762556314468E-3</v>
      </c>
      <c r="S763" s="32">
        <v>44888</v>
      </c>
      <c r="T763" s="32" t="s">
        <v>107</v>
      </c>
      <c r="U763" s="24" t="s">
        <v>31</v>
      </c>
      <c r="V763" s="2">
        <v>8.5582999999999991</v>
      </c>
      <c r="W763" s="28"/>
      <c r="X763" s="9"/>
      <c r="Y763" s="16">
        <v>31989.3</v>
      </c>
      <c r="Z763" s="10">
        <v>44888</v>
      </c>
      <c r="AA763" s="26">
        <f>Таблица2[[#This Row],[Сумма перевода Долл/Евро]]*Таблица2[[#This Row],[Курс ДОЛЛ перевод]]+Таблица2[[#This Row],[Сумма за перевод руб]]</f>
        <v>8617.3238041237346</v>
      </c>
      <c r="AB76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63" s="9" t="s">
        <v>1089</v>
      </c>
      <c r="AD763" s="41"/>
    </row>
    <row r="764" spans="1:30" ht="45" x14ac:dyDescent="0.25">
      <c r="A764" s="6">
        <v>44886</v>
      </c>
      <c r="B764" s="38" t="s">
        <v>32</v>
      </c>
      <c r="C764" s="38" t="s">
        <v>33</v>
      </c>
      <c r="D764" s="1" t="s">
        <v>997</v>
      </c>
      <c r="E764" s="1"/>
      <c r="F764" s="3">
        <v>23800</v>
      </c>
      <c r="G764" s="5"/>
      <c r="H764" s="2">
        <v>8.7100000000000009</v>
      </c>
      <c r="I764" s="2"/>
      <c r="J764" s="2">
        <v>0.97</v>
      </c>
      <c r="K764" s="2"/>
      <c r="L764" s="2"/>
      <c r="M764" s="26">
        <f>Таблица2[[#This Row],[Сумма ЮА]]*Таблица2[[#This Row],[Курс ЮА]]</f>
        <v>207298.00000000003</v>
      </c>
      <c r="N764" s="24">
        <f>Таблица2[[#This Row],[Сумма ЮА]]*Таблица2[[#This Row],[Курс ЮА]]/Таблица2[[#This Row],[% за перевод]]</f>
        <v>213709.27835051549</v>
      </c>
      <c r="O76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6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6411.2783505154657</v>
      </c>
      <c r="Q764" s="30">
        <v>213709.28</v>
      </c>
      <c r="R764" s="12">
        <f>Таблица2[[#This Row],[Сумма в руб]]-Таблица2[[#This Row],[Оплата от клиента]]</f>
        <v>-1.6494845040142536E-3</v>
      </c>
      <c r="S764" s="32">
        <v>44887</v>
      </c>
      <c r="T764" s="32" t="s">
        <v>107</v>
      </c>
      <c r="U764" s="24" t="s">
        <v>31</v>
      </c>
      <c r="V764" s="2">
        <v>8.5997000000000003</v>
      </c>
      <c r="W764" s="28"/>
      <c r="X764" s="9"/>
      <c r="Y764" s="16">
        <v>23800</v>
      </c>
      <c r="Z764" s="10">
        <v>44887</v>
      </c>
      <c r="AA764" s="26">
        <f>Таблица2[[#This Row],[Сумма перевода Долл/Евро]]*Таблица2[[#This Row],[Курс ДОЛЛ перевод]]+Таблица2[[#This Row],[Сумма за перевод руб]]</f>
        <v>6411.2783505154657</v>
      </c>
      <c r="AB76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64" s="9" t="s">
        <v>1091</v>
      </c>
      <c r="AD764" s="41"/>
    </row>
    <row r="765" spans="1:30" ht="30" x14ac:dyDescent="0.25">
      <c r="A765" s="6">
        <v>44887</v>
      </c>
      <c r="B765" s="38" t="s">
        <v>209</v>
      </c>
      <c r="C765" s="38" t="s">
        <v>210</v>
      </c>
      <c r="D765" s="1" t="s">
        <v>998</v>
      </c>
      <c r="E765" s="1"/>
      <c r="F765" s="3">
        <v>20250</v>
      </c>
      <c r="G765" s="5"/>
      <c r="H765" s="2">
        <v>8.69</v>
      </c>
      <c r="I765" s="2"/>
      <c r="J765" s="2">
        <v>0.97</v>
      </c>
      <c r="K765" s="2"/>
      <c r="L765" s="2"/>
      <c r="M765" s="26">
        <f>Таблица2[[#This Row],[Сумма ЮА]]*Таблица2[[#This Row],[Курс ЮА]]</f>
        <v>175972.5</v>
      </c>
      <c r="N765" s="24">
        <f>Таблица2[[#This Row],[Сумма ЮА]]*Таблица2[[#This Row],[Курс ЮА]]/Таблица2[[#This Row],[% за перевод]]</f>
        <v>181414.94845360826</v>
      </c>
      <c r="O76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6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5442.44845360826</v>
      </c>
      <c r="Q765" s="30">
        <v>181414.95</v>
      </c>
      <c r="R765" s="12">
        <f>Таблица2[[#This Row],[Сумма в руб]]-Таблица2[[#This Row],[Оплата от клиента]]</f>
        <v>-1.5463917516171932E-3</v>
      </c>
      <c r="S765" s="32">
        <v>44887</v>
      </c>
      <c r="T765" s="32" t="s">
        <v>107</v>
      </c>
      <c r="U765" s="24" t="s">
        <v>31</v>
      </c>
      <c r="V765" s="2">
        <v>8.5997000000000003</v>
      </c>
      <c r="W765" s="28"/>
      <c r="X765" s="9"/>
      <c r="Y765" s="3">
        <v>20250</v>
      </c>
      <c r="Z765" s="10">
        <v>44887</v>
      </c>
      <c r="AA765" s="26">
        <f>Таблица2[[#This Row],[Сумма перевода Долл/Евро]]*Таблица2[[#This Row],[Курс ДОЛЛ перевод]]+Таблица2[[#This Row],[Сумма за перевод руб]]</f>
        <v>5442.44845360826</v>
      </c>
      <c r="AB76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65" s="9" t="s">
        <v>1144</v>
      </c>
      <c r="AD765" s="41"/>
    </row>
    <row r="766" spans="1:30" ht="30" x14ac:dyDescent="0.25">
      <c r="A766" s="6">
        <v>44887</v>
      </c>
      <c r="B766" s="38" t="s">
        <v>209</v>
      </c>
      <c r="C766" s="38" t="s">
        <v>210</v>
      </c>
      <c r="D766" s="1" t="s">
        <v>999</v>
      </c>
      <c r="E766" s="1"/>
      <c r="F766" s="3">
        <v>35280</v>
      </c>
      <c r="G766" s="5"/>
      <c r="H766" s="2">
        <v>8.69</v>
      </c>
      <c r="I766" s="2"/>
      <c r="J766" s="2">
        <v>0.97</v>
      </c>
      <c r="K766" s="2"/>
      <c r="L766" s="2"/>
      <c r="M766" s="26">
        <f>Таблица2[[#This Row],[Сумма ЮА]]*Таблица2[[#This Row],[Курс ЮА]]</f>
        <v>306583.19999999995</v>
      </c>
      <c r="N766" s="24">
        <f>Таблица2[[#This Row],[Сумма ЮА]]*Таблица2[[#This Row],[Курс ЮА]]/Таблица2[[#This Row],[% за перевод]]</f>
        <v>316065.15463917522</v>
      </c>
      <c r="O76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6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9481.9546391752665</v>
      </c>
      <c r="Q766" s="30">
        <v>316065.15000000002</v>
      </c>
      <c r="R766" s="12">
        <f>Таблица2[[#This Row],[Сумма в руб]]-Таблица2[[#This Row],[Оплата от клиента]]</f>
        <v>4.6391751966439188E-3</v>
      </c>
      <c r="S766" s="32">
        <v>44887</v>
      </c>
      <c r="T766" s="32" t="s">
        <v>107</v>
      </c>
      <c r="U766" s="24" t="s">
        <v>31</v>
      </c>
      <c r="V766" s="2">
        <v>8.5997000000000003</v>
      </c>
      <c r="W766" s="28"/>
      <c r="X766" s="9"/>
      <c r="Y766" s="3">
        <v>35280</v>
      </c>
      <c r="Z766" s="10">
        <v>44887</v>
      </c>
      <c r="AA766" s="26">
        <f>Таблица2[[#This Row],[Сумма перевода Долл/Евро]]*Таблица2[[#This Row],[Курс ДОЛЛ перевод]]+Таблица2[[#This Row],[Сумма за перевод руб]]</f>
        <v>9481.9546391752665</v>
      </c>
      <c r="AB76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66" s="9"/>
      <c r="AD766" s="41"/>
    </row>
    <row r="767" spans="1:30" ht="30" x14ac:dyDescent="0.25">
      <c r="A767" s="6">
        <v>44887</v>
      </c>
      <c r="B767" s="38" t="s">
        <v>209</v>
      </c>
      <c r="C767" s="38" t="s">
        <v>210</v>
      </c>
      <c r="D767" s="1" t="s">
        <v>1000</v>
      </c>
      <c r="E767" s="1"/>
      <c r="F767" s="3">
        <v>103600</v>
      </c>
      <c r="G767" s="5"/>
      <c r="H767" s="2">
        <v>8.69</v>
      </c>
      <c r="I767" s="2"/>
      <c r="J767" s="2">
        <v>0.97</v>
      </c>
      <c r="K767" s="2"/>
      <c r="L767" s="2"/>
      <c r="M767" s="26">
        <f>Таблица2[[#This Row],[Сумма ЮА]]*Таблица2[[#This Row],[Курс ЮА]]</f>
        <v>900284</v>
      </c>
      <c r="N767" s="24">
        <f>Таблица2[[#This Row],[Сумма ЮА]]*Таблица2[[#This Row],[Курс ЮА]]/Таблица2[[#This Row],[% за перевод]]</f>
        <v>928127.83505154646</v>
      </c>
      <c r="O76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6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27843.835051546455</v>
      </c>
      <c r="Q767" s="30">
        <v>928127.84</v>
      </c>
      <c r="R767" s="12">
        <f>Таблица2[[#This Row],[Сумма в руб]]-Таблица2[[#This Row],[Оплата от клиента]]</f>
        <v>-4.9484535120427608E-3</v>
      </c>
      <c r="S767" s="32">
        <v>44887</v>
      </c>
      <c r="T767" s="32" t="s">
        <v>107</v>
      </c>
      <c r="U767" s="24" t="s">
        <v>31</v>
      </c>
      <c r="V767" s="2">
        <v>8.5997000000000003</v>
      </c>
      <c r="W767" s="28"/>
      <c r="X767" s="9"/>
      <c r="Y767" s="3">
        <v>103600</v>
      </c>
      <c r="Z767" s="10">
        <v>44887</v>
      </c>
      <c r="AA767" s="26">
        <f>Таблица2[[#This Row],[Сумма перевода Долл/Евро]]*Таблица2[[#This Row],[Курс ДОЛЛ перевод]]+Таблица2[[#This Row],[Сумма за перевод руб]]</f>
        <v>27843.835051546455</v>
      </c>
      <c r="AB76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67" s="9" t="s">
        <v>1145</v>
      </c>
      <c r="AD767" s="41"/>
    </row>
    <row r="768" spans="1:30" ht="30" x14ac:dyDescent="0.25">
      <c r="A768" s="6">
        <v>44887</v>
      </c>
      <c r="B768" s="59" t="s">
        <v>783</v>
      </c>
      <c r="C768" s="59" t="s">
        <v>784</v>
      </c>
      <c r="D768" s="1" t="s">
        <v>853</v>
      </c>
      <c r="E768" s="1"/>
      <c r="F768" s="3"/>
      <c r="G768" s="5">
        <v>10000</v>
      </c>
      <c r="H768" s="2"/>
      <c r="I768" s="2">
        <v>63.26</v>
      </c>
      <c r="J768" s="2">
        <v>0.99</v>
      </c>
      <c r="K768" s="2"/>
      <c r="L768" s="2"/>
      <c r="M768" s="26">
        <f>Таблица2[[#This Row],[Сумма Долл]]*Таблица2[[#This Row],[Курс ДОЛЛ]]</f>
        <v>632600</v>
      </c>
      <c r="N76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638989.89898989897</v>
      </c>
      <c r="O76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10015.737659236929</v>
      </c>
      <c r="P76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6389.8989898989676</v>
      </c>
      <c r="Q768" s="30">
        <v>638989.9</v>
      </c>
      <c r="R768" s="12">
        <f>Таблица2[[#This Row],[Сумма в руб]]-Таблица2[[#This Row],[Оплата от клиента]]</f>
        <v>-1.010101055726409E-3</v>
      </c>
      <c r="S768" s="32">
        <v>44887</v>
      </c>
      <c r="T768" s="6" t="s">
        <v>277</v>
      </c>
      <c r="U768" s="24" t="s">
        <v>31</v>
      </c>
      <c r="V768" s="2"/>
      <c r="W768" s="28">
        <v>63.160600000000002</v>
      </c>
      <c r="X768" s="9">
        <v>10000</v>
      </c>
      <c r="Y768" s="16"/>
      <c r="Z768" s="10">
        <v>44887</v>
      </c>
      <c r="AA768" s="26">
        <f>Таблица2[[#This Row],[Сумма перевода Долл/Евро]]*Таблица2[[#This Row],[Курс ДОЛЛ перевод]]+Таблица2[[#This Row],[Сумма за перевод руб]]</f>
        <v>637995.89898989897</v>
      </c>
      <c r="AB76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15.737659236929176</v>
      </c>
      <c r="AC768" s="9"/>
      <c r="AD768" s="41"/>
    </row>
    <row r="769" spans="1:30" x14ac:dyDescent="0.25">
      <c r="A769" s="6">
        <v>44887</v>
      </c>
      <c r="B769" s="2" t="s">
        <v>142</v>
      </c>
      <c r="C769" s="2" t="s">
        <v>143</v>
      </c>
      <c r="D769" s="1" t="s">
        <v>854</v>
      </c>
      <c r="E769" s="1"/>
      <c r="F769" s="3"/>
      <c r="G769" s="5">
        <v>5000</v>
      </c>
      <c r="H769" s="2"/>
      <c r="I769" s="2">
        <v>61.67</v>
      </c>
      <c r="J769" s="2">
        <v>0.97</v>
      </c>
      <c r="K769" s="2"/>
      <c r="L769" s="2"/>
      <c r="M769" s="26">
        <f>Таблица2[[#This Row],[Сумма Долл]]*Таблица2[[#This Row],[Курс ДОЛЛ]]</f>
        <v>308350</v>
      </c>
      <c r="N76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317886.59793814435</v>
      </c>
      <c r="O76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5016.8965365760796</v>
      </c>
      <c r="P76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9536.5979381443467</v>
      </c>
      <c r="Q769" s="30">
        <v>317886.59999999998</v>
      </c>
      <c r="R769" s="12">
        <f>Таблица2[[#This Row],[Сумма в руб]]-Таблица2[[#This Row],[Оплата от клиента]]</f>
        <v>-2.061855630017817E-3</v>
      </c>
      <c r="S769" s="32">
        <v>44887</v>
      </c>
      <c r="T769" s="32" t="s">
        <v>164</v>
      </c>
      <c r="U769" s="24" t="s">
        <v>31</v>
      </c>
      <c r="V769" s="2"/>
      <c r="W769" s="28">
        <v>61.462299999999999</v>
      </c>
      <c r="X769" s="9">
        <v>5000</v>
      </c>
      <c r="Y769" s="16"/>
      <c r="Z769" s="10">
        <v>44887</v>
      </c>
      <c r="AA769" s="26">
        <f>Таблица2[[#This Row],[Сумма перевода Долл/Евро]]*Таблица2[[#This Row],[Курс ДОЛЛ перевод]]+Таблица2[[#This Row],[Сумма за перевод руб]]</f>
        <v>316848.09793814435</v>
      </c>
      <c r="AB76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16.896536576079598</v>
      </c>
      <c r="AC769" s="9" t="s">
        <v>1157</v>
      </c>
      <c r="AD769" s="41"/>
    </row>
    <row r="770" spans="1:30" ht="45" x14ac:dyDescent="0.25">
      <c r="A770" s="6">
        <v>44887</v>
      </c>
      <c r="B770" s="38" t="s">
        <v>726</v>
      </c>
      <c r="C770" s="38" t="s">
        <v>203</v>
      </c>
      <c r="D770" s="1" t="s">
        <v>1001</v>
      </c>
      <c r="E770" s="1"/>
      <c r="F770" s="3">
        <v>2380</v>
      </c>
      <c r="G770" s="5"/>
      <c r="H770" s="2">
        <v>8.69</v>
      </c>
      <c r="I770" s="2"/>
      <c r="J770" s="2">
        <v>0.9</v>
      </c>
      <c r="K770" s="2"/>
      <c r="L770" s="2"/>
      <c r="M770" s="26">
        <f>Таблица2[[#This Row],[Сумма ЮА]]*Таблица2[[#This Row],[Курс ЮА]]</f>
        <v>20682.199999999997</v>
      </c>
      <c r="N770" s="24">
        <f>Таблица2[[#This Row],[Сумма ЮА]]*Таблица2[[#This Row],[Курс ЮА]]/Таблица2[[#This Row],[% за перевод]]</f>
        <v>22980.222222222219</v>
      </c>
      <c r="O77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337.54237191319487</v>
      </c>
      <c r="P77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2298.0222222222219</v>
      </c>
      <c r="Q770" s="30">
        <v>22980.22</v>
      </c>
      <c r="R770" s="12">
        <f>Таблица2[[#This Row],[Сумма в руб]]-Таблица2[[#This Row],[Оплата от клиента]]</f>
        <v>2.2222222178243101E-3</v>
      </c>
      <c r="S770" s="32">
        <v>44888</v>
      </c>
      <c r="T770" s="32" t="s">
        <v>720</v>
      </c>
      <c r="U770" s="24" t="s">
        <v>31</v>
      </c>
      <c r="V770" s="2">
        <v>7.3</v>
      </c>
      <c r="W770" s="28">
        <v>61.2729</v>
      </c>
      <c r="X770" s="9">
        <v>351.6</v>
      </c>
      <c r="Y770" s="16">
        <v>2380</v>
      </c>
      <c r="Z770" s="10">
        <v>44897</v>
      </c>
      <c r="AA770" s="26">
        <f>Таблица2[[#This Row],[Сумма перевода Долл/Евро]]*Таблица2[[#This Row],[Курс ДОЛЛ перевод]]+Таблица2[[#This Row],[Сумма за перевод руб]]</f>
        <v>23841.573862222223</v>
      </c>
      <c r="AB77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11.514974652920898</v>
      </c>
      <c r="AC770" s="9" t="s">
        <v>1092</v>
      </c>
      <c r="AD770" s="41"/>
    </row>
    <row r="771" spans="1:30" x14ac:dyDescent="0.25">
      <c r="A771" s="6">
        <v>44887</v>
      </c>
      <c r="B771" s="38" t="s">
        <v>178</v>
      </c>
      <c r="C771" s="38" t="s">
        <v>179</v>
      </c>
      <c r="D771" s="1" t="s">
        <v>1002</v>
      </c>
      <c r="E771" s="1"/>
      <c r="F771" s="3">
        <v>114936</v>
      </c>
      <c r="G771" s="5"/>
      <c r="H771" s="2">
        <v>8.5976999999999997</v>
      </c>
      <c r="I771" s="2"/>
      <c r="J771" s="2">
        <v>0.99</v>
      </c>
      <c r="K771" s="2"/>
      <c r="L771" s="2"/>
      <c r="M771" s="26">
        <f>Таблица2[[#This Row],[Сумма ЮА]]*Таблица2[[#This Row],[Курс ЮА]]</f>
        <v>988185.24719999998</v>
      </c>
      <c r="N771" s="24">
        <f>Таблица2[[#This Row],[Сумма ЮА]]*Таблица2[[#This Row],[Курс ЮА]]/Таблица2[[#This Row],[% за перевод]]</f>
        <v>998166.91636363638</v>
      </c>
      <c r="O77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7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9981.6691636363976</v>
      </c>
      <c r="Q771" s="30">
        <f>990000+8166.92</f>
        <v>998166.92</v>
      </c>
      <c r="R771" s="12">
        <f>Таблица2[[#This Row],[Сумма в руб]]-Таблица2[[#This Row],[Оплата от клиента]]</f>
        <v>-3.6363636609166861E-3</v>
      </c>
      <c r="S771" s="32">
        <v>44887</v>
      </c>
      <c r="T771" s="32" t="s">
        <v>107</v>
      </c>
      <c r="U771" s="24" t="s">
        <v>31</v>
      </c>
      <c r="V771" s="2">
        <v>8.5976999999999997</v>
      </c>
      <c r="W771" s="28"/>
      <c r="X771" s="9"/>
      <c r="Y771" s="16">
        <v>114936</v>
      </c>
      <c r="Z771" s="10">
        <v>44887</v>
      </c>
      <c r="AA771" s="26">
        <f>Таблица2[[#This Row],[Сумма перевода Долл/Евро]]*Таблица2[[#This Row],[Курс ДОЛЛ перевод]]+Таблица2[[#This Row],[Сумма за перевод руб]]</f>
        <v>9981.6691636363976</v>
      </c>
      <c r="AB77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71" s="9" t="s">
        <v>1092</v>
      </c>
      <c r="AD771" s="41"/>
    </row>
    <row r="772" spans="1:30" ht="30" x14ac:dyDescent="0.25">
      <c r="A772" s="6">
        <v>44888</v>
      </c>
      <c r="B772" s="38" t="s">
        <v>919</v>
      </c>
      <c r="C772" s="38" t="s">
        <v>680</v>
      </c>
      <c r="D772" s="1" t="s">
        <v>1004</v>
      </c>
      <c r="E772" s="1"/>
      <c r="F772" s="3">
        <v>34000</v>
      </c>
      <c r="G772" s="5"/>
      <c r="H772" s="2">
        <v>8.7100000000000009</v>
      </c>
      <c r="I772" s="2"/>
      <c r="J772" s="2">
        <v>0.97</v>
      </c>
      <c r="K772" s="2"/>
      <c r="L772" s="2"/>
      <c r="M772" s="26">
        <f>Таблица2[[#This Row],[Сумма ЮА]]*Таблица2[[#This Row],[Курс ЮА]]</f>
        <v>296140</v>
      </c>
      <c r="N772" s="24">
        <f>Таблица2[[#This Row],[Сумма ЮА]]*Таблица2[[#This Row],[Курс ЮА]]/Таблица2[[#This Row],[% за перевод]]</f>
        <v>305298.96907216497</v>
      </c>
      <c r="O77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7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9158.9690721649677</v>
      </c>
      <c r="Q772" s="30">
        <v>305298.96999999997</v>
      </c>
      <c r="R772" s="12">
        <f>Таблица2[[#This Row],[Сумма в руб]]-Таблица2[[#This Row],[Оплата от клиента]]</f>
        <v>-9.278350044041872E-4</v>
      </c>
      <c r="S772" s="32">
        <v>44888</v>
      </c>
      <c r="T772" s="32" t="s">
        <v>107</v>
      </c>
      <c r="U772" s="24" t="s">
        <v>31</v>
      </c>
      <c r="V772" s="2">
        <v>8.5623000000000005</v>
      </c>
      <c r="W772" s="28"/>
      <c r="X772" s="9"/>
      <c r="Y772" s="16">
        <v>34000</v>
      </c>
      <c r="Z772" s="10">
        <v>44888</v>
      </c>
      <c r="AA772" s="26">
        <f>Таблица2[[#This Row],[Сумма перевода Долл/Евро]]*Таблица2[[#This Row],[Курс ДОЛЛ перевод]]+Таблица2[[#This Row],[Сумма за перевод руб]]</f>
        <v>9158.9690721649677</v>
      </c>
      <c r="AB77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72" s="9" t="s">
        <v>1089</v>
      </c>
      <c r="AD772" s="41"/>
    </row>
    <row r="773" spans="1:30" x14ac:dyDescent="0.25">
      <c r="A773" s="6">
        <v>44888</v>
      </c>
      <c r="B773" s="2" t="s">
        <v>298</v>
      </c>
      <c r="C773" s="2" t="s">
        <v>56</v>
      </c>
      <c r="D773" s="1"/>
      <c r="E773" s="1"/>
      <c r="F773" s="3"/>
      <c r="G773" s="5">
        <v>776</v>
      </c>
      <c r="H773" s="2"/>
      <c r="I773" s="2">
        <v>62.43</v>
      </c>
      <c r="J773" s="2"/>
      <c r="K773" s="2">
        <v>80</v>
      </c>
      <c r="L773" s="2"/>
      <c r="M773" s="26">
        <f>Таблица2[[#This Row],[Сумма Долл]]*Таблица2[[#This Row],[Курс ДОЛЛ]]</f>
        <v>48445.68</v>
      </c>
      <c r="N77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53440.08</v>
      </c>
      <c r="O77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792.13970371823802</v>
      </c>
      <c r="P77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4892.6400000000003</v>
      </c>
      <c r="Q773" s="30">
        <v>53440.08</v>
      </c>
      <c r="R773" s="12">
        <f>Таблица2[[#This Row],[Сумма в руб]]-Таблица2[[#This Row],[Оплата от клиента]]</f>
        <v>0</v>
      </c>
      <c r="S773" s="32">
        <v>44889</v>
      </c>
      <c r="T773" s="32" t="s">
        <v>164</v>
      </c>
      <c r="U773" s="24" t="s">
        <v>31</v>
      </c>
      <c r="V773" s="2"/>
      <c r="W773" s="28">
        <v>61.158000000000001</v>
      </c>
      <c r="X773" s="9">
        <v>776</v>
      </c>
      <c r="Y773" s="16"/>
      <c r="Z773" s="10">
        <v>44889</v>
      </c>
      <c r="AA773" s="26">
        <f>Таблица2[[#This Row],[Сумма перевода Долл/Евро]]*Таблица2[[#This Row],[Курс ДОЛЛ перевод]]+Таблица2[[#This Row],[Сумма за перевод руб]]</f>
        <v>52351.248</v>
      </c>
      <c r="AB77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16.139703718238025</v>
      </c>
      <c r="AC773" s="9" t="s">
        <v>1091</v>
      </c>
      <c r="AD773" s="41"/>
    </row>
    <row r="774" spans="1:30" ht="30" x14ac:dyDescent="0.25">
      <c r="A774" s="6">
        <v>44889</v>
      </c>
      <c r="B774" s="38" t="s">
        <v>337</v>
      </c>
      <c r="C774" s="38" t="s">
        <v>338</v>
      </c>
      <c r="D774" s="1" t="s">
        <v>1006</v>
      </c>
      <c r="E774" s="1"/>
      <c r="F774" s="3"/>
      <c r="G774" s="5">
        <v>820</v>
      </c>
      <c r="H774" s="2"/>
      <c r="I774" s="2">
        <v>61.46</v>
      </c>
      <c r="J774" s="2">
        <v>0.9</v>
      </c>
      <c r="K774" s="2"/>
      <c r="L774" s="2"/>
      <c r="M774" s="26">
        <f>Таблица2[[#This Row],[Сумма Долл]]*Таблица2[[#This Row],[Курс ДОЛЛ]]</f>
        <v>50397.2</v>
      </c>
      <c r="N77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55996.888888888883</v>
      </c>
      <c r="O77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824.02088943608658</v>
      </c>
      <c r="P77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5599.6888888888861</v>
      </c>
      <c r="Q774" s="30">
        <v>55996.89</v>
      </c>
      <c r="R774" s="12">
        <f>Таблица2[[#This Row],[Сумма в руб]]-Таблица2[[#This Row],[Оплата от клиента]]</f>
        <v>-1.1111111161881126E-3</v>
      </c>
      <c r="S774" s="32">
        <v>44889</v>
      </c>
      <c r="T774" s="32" t="s">
        <v>720</v>
      </c>
      <c r="U774" s="24" t="s">
        <v>375</v>
      </c>
      <c r="V774" s="2"/>
      <c r="W774" s="28">
        <v>61.1601</v>
      </c>
      <c r="X774" s="9">
        <v>854.17</v>
      </c>
      <c r="Y774" s="16"/>
      <c r="Z774" s="2"/>
      <c r="AA774" s="26">
        <f>Таблица2[[#This Row],[Сумма перевода Долл/Евро]]*Таблица2[[#This Row],[Курс ДОЛЛ перевод]]+Таблица2[[#This Row],[Сумма за перевод руб]]</f>
        <v>57840.811505888887</v>
      </c>
      <c r="AB77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-30.149110563913382</v>
      </c>
      <c r="AC774" s="9"/>
      <c r="AD774" s="41"/>
    </row>
    <row r="775" spans="1:30" ht="30" x14ac:dyDescent="0.25">
      <c r="A775" s="6">
        <v>44889</v>
      </c>
      <c r="B775" s="38" t="s">
        <v>32</v>
      </c>
      <c r="C775" s="38" t="s">
        <v>33</v>
      </c>
      <c r="D775" s="1" t="s">
        <v>1007</v>
      </c>
      <c r="E775" s="1"/>
      <c r="F775" s="3">
        <v>214200.7</v>
      </c>
      <c r="G775" s="5"/>
      <c r="H775" s="2">
        <v>8.68</v>
      </c>
      <c r="I775" s="2"/>
      <c r="J775" s="2">
        <v>0.93</v>
      </c>
      <c r="K775" s="2"/>
      <c r="L775" s="2"/>
      <c r="M775" s="26">
        <f>Таблица2[[#This Row],[Сумма ЮА]]*Таблица2[[#This Row],[Курс ЮА]]</f>
        <v>1859262.0760000001</v>
      </c>
      <c r="N775" s="24">
        <f>Таблица2[[#This Row],[Сумма ЮА]]*Таблица2[[#This Row],[Курс ЮА]]/Таблица2[[#This Row],[% за перевод]]</f>
        <v>1999206.5333333334</v>
      </c>
      <c r="O77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30317.13673074383</v>
      </c>
      <c r="P77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139944.45733333332</v>
      </c>
      <c r="Q775" s="30">
        <v>1999206.53</v>
      </c>
      <c r="R775" s="12">
        <f>Таблица2[[#This Row],[Сумма в руб]]-Таблица2[[#This Row],[Оплата от клиента]]</f>
        <v>3.3333334140479565E-3</v>
      </c>
      <c r="S775" s="32">
        <v>44889</v>
      </c>
      <c r="T775" s="32" t="s">
        <v>720</v>
      </c>
      <c r="U775" s="24" t="s">
        <v>31</v>
      </c>
      <c r="V775" s="2">
        <v>7.28</v>
      </c>
      <c r="W775" s="28">
        <v>61.327100000000002</v>
      </c>
      <c r="X775" s="9">
        <v>31580.35</v>
      </c>
      <c r="Y775" s="16">
        <f>180000+34200.7</f>
        <v>214200.7</v>
      </c>
      <c r="Z775" s="10">
        <v>44897</v>
      </c>
      <c r="AA775" s="26">
        <f>Таблица2[[#This Row],[Сумма перевода Долл/Евро]]*Таблица2[[#This Row],[Курс ДОЛЛ перевод]]+Таблица2[[#This Row],[Сумма за перевод руб]]</f>
        <v>2076675.7398183332</v>
      </c>
      <c r="AB77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893.96365382075237</v>
      </c>
      <c r="AC775" s="9" t="s">
        <v>1076</v>
      </c>
      <c r="AD775" s="41"/>
    </row>
    <row r="776" spans="1:30" ht="105" x14ac:dyDescent="0.25">
      <c r="A776" s="6">
        <v>44894</v>
      </c>
      <c r="B776" s="38" t="s">
        <v>1008</v>
      </c>
      <c r="C776" s="38" t="s">
        <v>1009</v>
      </c>
      <c r="D776" s="1" t="s">
        <v>1010</v>
      </c>
      <c r="E776" s="1"/>
      <c r="F776" s="3">
        <v>43200</v>
      </c>
      <c r="G776" s="5"/>
      <c r="H776" s="2">
        <v>8.75</v>
      </c>
      <c r="I776" s="2"/>
      <c r="J776" s="2">
        <v>0.97</v>
      </c>
      <c r="K776" s="2"/>
      <c r="L776" s="2"/>
      <c r="M776" s="26">
        <f>Таблица2[[#This Row],[Сумма ЮА]]*Таблица2[[#This Row],[Курс ЮА]]</f>
        <v>378000</v>
      </c>
      <c r="N776" s="24">
        <f>Таблица2[[#This Row],[Сумма ЮА]]*Таблица2[[#This Row],[Курс ЮА]]/Таблица2[[#This Row],[% за перевод]]</f>
        <v>389690.72164948453</v>
      </c>
      <c r="O77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7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11690.721649484534</v>
      </c>
      <c r="Q776" s="30">
        <v>389690.72</v>
      </c>
      <c r="R776" s="12">
        <f>Таблица2[[#This Row],[Сумма в руб]]-Таблица2[[#This Row],[Оплата от клиента]]</f>
        <v>1.6494845622219145E-3</v>
      </c>
      <c r="S776" s="32">
        <v>44894</v>
      </c>
      <c r="T776" s="32" t="s">
        <v>107</v>
      </c>
      <c r="U776" s="24" t="s">
        <v>31</v>
      </c>
      <c r="V776" s="2">
        <v>8.6189999999999998</v>
      </c>
      <c r="W776" s="28"/>
      <c r="X776" s="9"/>
      <c r="Y776" s="16">
        <v>43200</v>
      </c>
      <c r="Z776" s="10">
        <v>44895</v>
      </c>
      <c r="AA776" s="26">
        <f>Таблица2[[#This Row],[Сумма перевода Долл/Евро]]*Таблица2[[#This Row],[Курс ДОЛЛ перевод]]+Таблица2[[#This Row],[Сумма за перевод руб]]</f>
        <v>11690.721649484534</v>
      </c>
      <c r="AB77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76" s="9"/>
      <c r="AD776" s="41"/>
    </row>
    <row r="777" spans="1:30" ht="30" x14ac:dyDescent="0.25">
      <c r="A777" s="6">
        <v>44894</v>
      </c>
      <c r="B777" s="2" t="s">
        <v>783</v>
      </c>
      <c r="C777" s="2" t="s">
        <v>784</v>
      </c>
      <c r="D777" s="1" t="s">
        <v>853</v>
      </c>
      <c r="E777" s="1"/>
      <c r="F777" s="3"/>
      <c r="G777" s="5">
        <v>2520</v>
      </c>
      <c r="H777" s="2"/>
      <c r="I777" s="2">
        <v>61.97</v>
      </c>
      <c r="J777" s="2"/>
      <c r="K777" s="2">
        <v>80</v>
      </c>
      <c r="L777" s="2"/>
      <c r="M777" s="26">
        <f>Таблица2[[#This Row],[Сумма Долл]]*Таблица2[[#This Row],[Курс ДОЛЛ]]</f>
        <v>156164.4</v>
      </c>
      <c r="N77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161122</v>
      </c>
      <c r="O77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2533.0515306395546</v>
      </c>
      <c r="P77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4932.0560000000005</v>
      </c>
      <c r="Q777" s="30">
        <v>161122</v>
      </c>
      <c r="R777" s="12">
        <f>Таблица2[[#This Row],[Сумма в руб]]-Таблица2[[#This Row],[Оплата от клиента]]</f>
        <v>0</v>
      </c>
      <c r="S777" s="32">
        <v>44894</v>
      </c>
      <c r="T777" s="32" t="s">
        <v>164</v>
      </c>
      <c r="U777" s="24" t="s">
        <v>31</v>
      </c>
      <c r="V777" s="2"/>
      <c r="W777" s="28">
        <v>61.650700000000001</v>
      </c>
      <c r="X777" s="9">
        <v>2520</v>
      </c>
      <c r="Y777" s="16"/>
      <c r="Z777" s="10">
        <v>44895</v>
      </c>
      <c r="AA777" s="26">
        <f>Таблица2[[#This Row],[Сумма перевода Долл/Евро]]*Таблица2[[#This Row],[Курс ДОЛЛ перевод]]+Таблица2[[#This Row],[Сумма за перевод руб]]</f>
        <v>160291.82</v>
      </c>
      <c r="AB77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13.051530639554585</v>
      </c>
      <c r="AC777" s="41" t="s">
        <v>1154</v>
      </c>
      <c r="AD777" s="41"/>
    </row>
    <row r="778" spans="1:30" ht="75" x14ac:dyDescent="0.25">
      <c r="A778" s="6">
        <v>44894</v>
      </c>
      <c r="B778" s="29" t="s">
        <v>1011</v>
      </c>
      <c r="C778" s="29" t="s">
        <v>1012</v>
      </c>
      <c r="D778" s="1" t="s">
        <v>1013</v>
      </c>
      <c r="E778" s="1"/>
      <c r="F778" s="3">
        <v>25560</v>
      </c>
      <c r="G778" s="5"/>
      <c r="H778" s="2">
        <v>8.75</v>
      </c>
      <c r="I778" s="2">
        <v>61.97</v>
      </c>
      <c r="J778" s="2"/>
      <c r="K778" s="2">
        <v>100</v>
      </c>
      <c r="L778" s="2"/>
      <c r="M778" s="26">
        <f>Таблица2[[#This Row],[Сумма ЮА]]*Таблица2[[#This Row],[Курс ЮА]]</f>
        <v>223650</v>
      </c>
      <c r="N778" s="24">
        <f>Таблица2[[#This Row],[Сумма ЮА]]*Таблица2[[#This Row],[Курс ЮА]]+Таблица2[[#This Row],[Долл за перевод]]*Таблица2[[#This Row],[Курс ДОЛЛ]]</f>
        <v>229847</v>
      </c>
      <c r="O77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3609.0043569469099</v>
      </c>
      <c r="P778" s="12">
        <f>Таблица2[[#This Row],[Долл за перевод]]*Таблица2[[#This Row],[Курс ДОЛЛ]]</f>
        <v>6197</v>
      </c>
      <c r="Q778" s="30">
        <v>229847</v>
      </c>
      <c r="R778" s="12">
        <f>Таблица2[[#This Row],[Сумма в руб]]-Таблица2[[#This Row],[Оплата от клиента]]</f>
        <v>0</v>
      </c>
      <c r="S778" s="32">
        <v>44895</v>
      </c>
      <c r="T778" s="32" t="s">
        <v>107</v>
      </c>
      <c r="U778" s="24" t="s">
        <v>947</v>
      </c>
      <c r="V778" s="2">
        <v>8.7516999999999996</v>
      </c>
      <c r="W778" s="28"/>
      <c r="X778" s="9"/>
      <c r="Y778" s="16">
        <v>25560</v>
      </c>
      <c r="Z778" s="10">
        <v>44896</v>
      </c>
      <c r="AA778" s="26">
        <f>Таблица2[[#This Row],[Сумма перевода Долл/Евро]]*Таблица2[[#This Row],[Курс ДОЛЛ перевод]]+Таблица2[[#This Row],[Сумма за перевод руб]]</f>
        <v>6197</v>
      </c>
      <c r="AB77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688.42892588780114</v>
      </c>
      <c r="AC778" s="9"/>
      <c r="AD778" s="41"/>
    </row>
    <row r="779" spans="1:30" ht="45" x14ac:dyDescent="0.25">
      <c r="A779" s="6">
        <v>44896</v>
      </c>
      <c r="B779" s="38" t="s">
        <v>773</v>
      </c>
      <c r="C779" s="38" t="s">
        <v>774</v>
      </c>
      <c r="D779" s="1" t="s">
        <v>1014</v>
      </c>
      <c r="E779" s="1"/>
      <c r="F779" s="3">
        <v>74205.8</v>
      </c>
      <c r="G779" s="5"/>
      <c r="H779" s="2">
        <v>8.7100000000000009</v>
      </c>
      <c r="I779" s="2"/>
      <c r="J779" s="2">
        <v>0.97</v>
      </c>
      <c r="K779" s="2"/>
      <c r="L779" s="2"/>
      <c r="M779" s="26">
        <f>Таблица2[[#This Row],[Сумма ЮА]]*Таблица2[[#This Row],[Курс ЮА]]</f>
        <v>646332.51800000004</v>
      </c>
      <c r="N779" s="24">
        <f>Таблица2[[#This Row],[Сумма ЮА]]*Таблица2[[#This Row],[Курс ЮА]]/Таблица2[[#This Row],[% за перевод]]</f>
        <v>666322.18350515468</v>
      </c>
      <c r="O77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7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19989.66550515464</v>
      </c>
      <c r="Q779" s="30">
        <v>666322.18000000005</v>
      </c>
      <c r="R779" s="12">
        <f>Таблица2[[#This Row],[Сумма в руб]]-Таблица2[[#This Row],[Оплата от клиента]]</f>
        <v>3.5051546292379498E-3</v>
      </c>
      <c r="S779" s="32">
        <v>44896</v>
      </c>
      <c r="T779" s="32" t="s">
        <v>107</v>
      </c>
      <c r="U779" s="24" t="s">
        <v>31</v>
      </c>
      <c r="V779" s="2">
        <v>8.8398000000000003</v>
      </c>
      <c r="W779" s="28"/>
      <c r="X779" s="9"/>
      <c r="Y779" s="16">
        <v>74205.8</v>
      </c>
      <c r="Z779" s="10">
        <v>44896</v>
      </c>
      <c r="AA779" s="26">
        <f>Таблица2[[#This Row],[Сумма перевода Долл/Евро]]*Таблица2[[#This Row],[Курс ДОЛЛ перевод]]+Таблица2[[#This Row],[Сумма за перевод руб]]</f>
        <v>19989.66550515464</v>
      </c>
      <c r="AB77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79" s="9" t="s">
        <v>1166</v>
      </c>
      <c r="AD779" s="49" t="s">
        <v>1167</v>
      </c>
    </row>
    <row r="780" spans="1:30" ht="45" x14ac:dyDescent="0.25">
      <c r="A780" s="6">
        <v>44896</v>
      </c>
      <c r="B780" s="2" t="s">
        <v>908</v>
      </c>
      <c r="C780" s="2" t="s">
        <v>461</v>
      </c>
      <c r="D780" s="1" t="s">
        <v>1015</v>
      </c>
      <c r="E780" s="1"/>
      <c r="F780" s="3"/>
      <c r="G780" s="5">
        <v>1006</v>
      </c>
      <c r="H780" s="2"/>
      <c r="I780" s="2">
        <v>61.97</v>
      </c>
      <c r="J780" s="2"/>
      <c r="K780" s="2">
        <v>80</v>
      </c>
      <c r="L780" s="2"/>
      <c r="M780" s="26">
        <f>Таблица2[[#This Row],[Сумма Долл]]*Таблица2[[#This Row],[Курс ДОЛЛ]]</f>
        <v>62341.82</v>
      </c>
      <c r="N78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67299.42</v>
      </c>
      <c r="O78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995.91390085242881</v>
      </c>
      <c r="P78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5007.808</v>
      </c>
      <c r="Q780" s="30">
        <v>67299.42</v>
      </c>
      <c r="R780" s="12">
        <f>Таблица2[[#This Row],[Сумма в руб]]-Таблица2[[#This Row],[Оплата от клиента]]</f>
        <v>0</v>
      </c>
      <c r="S780" s="32">
        <v>44896</v>
      </c>
      <c r="T780" s="32" t="s">
        <v>164</v>
      </c>
      <c r="U780" s="24" t="s">
        <v>31</v>
      </c>
      <c r="V780" s="2"/>
      <c r="W780" s="28">
        <v>62.5976</v>
      </c>
      <c r="X780" s="9">
        <v>1006</v>
      </c>
      <c r="Y780" s="16"/>
      <c r="Z780" s="10">
        <v>44897</v>
      </c>
      <c r="AA780" s="26">
        <f>Таблица2[[#This Row],[Сумма перевода Долл/Евро]]*Таблица2[[#This Row],[Курс ДОЛЛ перевод]]+Таблица2[[#This Row],[Сумма за перевод руб]]</f>
        <v>67980.993600000002</v>
      </c>
      <c r="AB78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-10.08609914757119</v>
      </c>
      <c r="AC780" s="9" t="s">
        <v>1079</v>
      </c>
      <c r="AD780" s="41"/>
    </row>
    <row r="781" spans="1:30" x14ac:dyDescent="0.25">
      <c r="A781" s="6">
        <v>44896</v>
      </c>
      <c r="B781" s="38" t="s">
        <v>298</v>
      </c>
      <c r="C781" s="38" t="s">
        <v>56</v>
      </c>
      <c r="D781" s="1"/>
      <c r="E781" s="1"/>
      <c r="F781" s="3">
        <v>5887.3</v>
      </c>
      <c r="G781" s="5"/>
      <c r="H781" s="2">
        <v>8.7100000000000009</v>
      </c>
      <c r="I781" s="2">
        <v>61.97</v>
      </c>
      <c r="J781" s="2"/>
      <c r="K781" s="2">
        <v>80</v>
      </c>
      <c r="L781" s="2"/>
      <c r="M781" s="26">
        <f>Таблица2[[#This Row],[Сумма ЮА]]*Таблица2[[#This Row],[Курс ЮА]]</f>
        <v>51278.383000000009</v>
      </c>
      <c r="N781" s="24">
        <f>Таблица2[[#This Row],[Сумма ЮА]]*Таблица2[[#This Row],[Курс ЮА]]+Таблица2[[#This Row],[Долл за перевод]]*Таблица2[[#This Row],[Курс ДОЛЛ]]</f>
        <v>56235.983000000007</v>
      </c>
      <c r="O78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827.47108278199141</v>
      </c>
      <c r="P781" s="12">
        <f>Таблица2[[#This Row],[Долл за перевод]]*Таблица2[[#This Row],[Курс ДОЛЛ]]</f>
        <v>4957.6000000000004</v>
      </c>
      <c r="Q781" s="30">
        <v>56235.98</v>
      </c>
      <c r="R781" s="12">
        <f>Таблица2[[#This Row],[Сумма в руб]]-Таблица2[[#This Row],[Оплата от клиента]]</f>
        <v>3.0000000042491592E-3</v>
      </c>
      <c r="S781" s="32">
        <v>44896</v>
      </c>
      <c r="T781" s="32" t="s">
        <v>107</v>
      </c>
      <c r="U781" s="24" t="s">
        <v>31</v>
      </c>
      <c r="V781" s="2">
        <v>8.9076000000000004</v>
      </c>
      <c r="W781" s="28"/>
      <c r="X781" s="9"/>
      <c r="Y781" s="16">
        <v>5887.3</v>
      </c>
      <c r="Z781" s="10">
        <v>44897</v>
      </c>
      <c r="AA781" s="26">
        <f>Таблица2[[#This Row],[Сумма перевода Долл/Евро]]*Таблица2[[#This Row],[Курс ДОЛЛ перевод]]+Таблица2[[#This Row],[Сумма за перевод руб]]</f>
        <v>4957.6000000000004</v>
      </c>
      <c r="AB78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166.54109041592199</v>
      </c>
      <c r="AC781" s="9"/>
      <c r="AD781" s="41"/>
    </row>
    <row r="782" spans="1:30" x14ac:dyDescent="0.25">
      <c r="A782" s="6">
        <v>44896</v>
      </c>
      <c r="B782" s="2" t="s">
        <v>298</v>
      </c>
      <c r="C782" s="2" t="s">
        <v>56</v>
      </c>
      <c r="D782" s="1"/>
      <c r="E782" s="1"/>
      <c r="F782" s="3"/>
      <c r="G782" s="5">
        <v>9645</v>
      </c>
      <c r="H782" s="2"/>
      <c r="I782" s="2">
        <v>61.97</v>
      </c>
      <c r="J782" s="2">
        <v>0.97</v>
      </c>
      <c r="K782" s="2"/>
      <c r="L782" s="2"/>
      <c r="M782" s="26">
        <f>Таблица2[[#This Row],[Сумма Долл]]*Таблица2[[#This Row],[Курс ДОЛЛ]]</f>
        <v>597700.65</v>
      </c>
      <c r="N78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616186.23711340211</v>
      </c>
      <c r="O78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9489.4055990131164</v>
      </c>
      <c r="P78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18485.587113402085</v>
      </c>
      <c r="Q782" s="30">
        <v>616186.24</v>
      </c>
      <c r="R782" s="12">
        <f>Таблица2[[#This Row],[Сумма в руб]]-Таблица2[[#This Row],[Оплата от клиента]]</f>
        <v>-2.8865978820249438E-3</v>
      </c>
      <c r="S782" s="32">
        <v>44897</v>
      </c>
      <c r="T782" s="32" t="s">
        <v>164</v>
      </c>
      <c r="U782" s="24" t="s">
        <v>31</v>
      </c>
      <c r="V782" s="2"/>
      <c r="W782" s="28">
        <v>62.9861</v>
      </c>
      <c r="X782" s="9">
        <v>9645</v>
      </c>
      <c r="Y782" s="16"/>
      <c r="Z782" s="10">
        <v>44900</v>
      </c>
      <c r="AA782" s="26">
        <f>Таблица2[[#This Row],[Сумма перевода Долл/Евро]]*Таблица2[[#This Row],[Курс ДОЛЛ перевод]]+Таблица2[[#This Row],[Сумма за перевод руб]]</f>
        <v>625986.52161340206</v>
      </c>
      <c r="AB78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-155.59440098688356</v>
      </c>
      <c r="AC782" s="9"/>
      <c r="AD782" s="41"/>
    </row>
    <row r="783" spans="1:30" ht="30" x14ac:dyDescent="0.25">
      <c r="A783" s="6">
        <v>44896</v>
      </c>
      <c r="B783" s="29" t="s">
        <v>1016</v>
      </c>
      <c r="C783" s="29" t="s">
        <v>1017</v>
      </c>
      <c r="D783" s="1" t="s">
        <v>1018</v>
      </c>
      <c r="E783" s="1"/>
      <c r="F783" s="3">
        <v>51954</v>
      </c>
      <c r="G783" s="5"/>
      <c r="H783" s="2">
        <v>8.85</v>
      </c>
      <c r="I783" s="2">
        <v>61.97</v>
      </c>
      <c r="J783" s="2">
        <v>0.85</v>
      </c>
      <c r="K783" s="2">
        <v>80</v>
      </c>
      <c r="L783" s="2"/>
      <c r="M783" s="26">
        <f>Таблица2[[#This Row],[Сумма ЮА]]*Таблица2[[#This Row],[Курс ЮА]]</f>
        <v>459792.89999999997</v>
      </c>
      <c r="N783" s="24">
        <f>Таблица2[[#This Row],[Сумма ЮА]]*Таблица2[[#This Row],[Курс ЮА]]/Таблица2[[#This Row],[% за перевод]]+Таблица2[[#This Row],[Долл за перевод]]*Таблица2[[#This Row],[Курс ДОЛЛ]]</f>
        <v>545890.42352941167</v>
      </c>
      <c r="O78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7419.6046474100367</v>
      </c>
      <c r="P783" s="12">
        <f>(Таблица2[[#This Row],[Сумма ЮА]]*Таблица2[[#This Row],[Курс ЮА]]/Таблица2[[#This Row],[% за перевод]]-Таблица2[[#This Row],[Сумма ЮА]]*Таблица2[[#This Row],[Курс ЮА]]) + Таблица2[[#This Row],[Долл за перевод]]*Таблица2[[#This Row],[Курс ДОЛЛ]]</f>
        <v>86097.52352941173</v>
      </c>
      <c r="Q783" s="30">
        <v>545890.42000000004</v>
      </c>
      <c r="R783" s="12">
        <f>Таблица2[[#This Row],[Сумма в руб]]-Таблица2[[#This Row],[Оплата от клиента]]</f>
        <v>3.5294116241857409E-3</v>
      </c>
      <c r="S783" s="32">
        <v>44896</v>
      </c>
      <c r="T783" s="32" t="s">
        <v>1019</v>
      </c>
      <c r="U783" s="24" t="s">
        <v>947</v>
      </c>
      <c r="V783" s="2"/>
      <c r="W783" s="28"/>
      <c r="X783" s="9"/>
      <c r="Y783" s="16">
        <v>51954</v>
      </c>
      <c r="Z783" s="2"/>
      <c r="AA783" s="26">
        <f>Таблица2[[#This Row],[Сумма перевода Долл/Евро]]*Таблица2[[#This Row],[Курс ДОЛЛ перевод]]+Таблица2[[#This Row],[Сумма за перевод руб]]</f>
        <v>86097.52352941173</v>
      </c>
      <c r="AB78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83" s="9"/>
      <c r="AD783" s="41"/>
    </row>
    <row r="784" spans="1:30" x14ac:dyDescent="0.25">
      <c r="A784" s="6">
        <v>44894</v>
      </c>
      <c r="B784" s="29" t="s">
        <v>1024</v>
      </c>
      <c r="C784" s="29" t="s">
        <v>1025</v>
      </c>
      <c r="D784" s="1"/>
      <c r="E784" s="1"/>
      <c r="F784" s="3">
        <v>248000</v>
      </c>
      <c r="G784" s="5"/>
      <c r="H784" s="2"/>
      <c r="I784" s="2"/>
      <c r="J784" s="2"/>
      <c r="K784" s="2"/>
      <c r="L784" s="2"/>
      <c r="M784" s="26">
        <f>Таблица2[[#This Row],[Сумма Долл]]*Таблица2[[#This Row],[Курс ДОЛЛ]]</f>
        <v>0</v>
      </c>
      <c r="N784" s="24">
        <v>2976000</v>
      </c>
      <c r="O78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78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784" s="30">
        <v>2976000</v>
      </c>
      <c r="R784" s="12">
        <f>Таблица2[[#This Row],[Сумма в руб]]-Таблица2[[#This Row],[Оплата от клиента]]</f>
        <v>0</v>
      </c>
      <c r="S784" s="32"/>
      <c r="T784" s="32" t="s">
        <v>720</v>
      </c>
      <c r="U784" s="24" t="s">
        <v>375</v>
      </c>
      <c r="V784" s="2"/>
      <c r="W784" s="28">
        <v>61.907400000000003</v>
      </c>
      <c r="X784" s="9">
        <v>35388.120000000003</v>
      </c>
      <c r="Y784" s="16">
        <v>248000</v>
      </c>
      <c r="Z784" s="2"/>
      <c r="AA784" s="26">
        <f>Таблица2[[#This Row],[Сумма перевода Долл/Евро]]*Таблица2[[#This Row],[Курс ДОЛЛ перевод]]+Таблица2[[#This Row],[Сумма за перевод руб]]</f>
        <v>2190786.5000880002</v>
      </c>
      <c r="AB78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84" s="9"/>
      <c r="AD784" s="41"/>
    </row>
    <row r="785" spans="1:30" ht="30" x14ac:dyDescent="0.25">
      <c r="A785" s="6">
        <v>44896</v>
      </c>
      <c r="B785" s="38" t="s">
        <v>72</v>
      </c>
      <c r="C785" s="38" t="s">
        <v>73</v>
      </c>
      <c r="D785" s="1" t="s">
        <v>1020</v>
      </c>
      <c r="E785" s="1"/>
      <c r="F785" s="3">
        <v>237000</v>
      </c>
      <c r="G785" s="5"/>
      <c r="H785" s="2">
        <v>8.85</v>
      </c>
      <c r="I785" s="2"/>
      <c r="J785" s="2">
        <v>0.9</v>
      </c>
      <c r="K785" s="2"/>
      <c r="L785" s="2"/>
      <c r="M785" s="26">
        <f>Таблица2[[#This Row],[Сумма ЮА]]*Таблица2[[#This Row],[Курс ЮА]]</f>
        <v>2097450</v>
      </c>
      <c r="N785" s="24">
        <f>Таблица2[[#This Row],[Сумма ЮА]]*Таблица2[[#This Row],[Курс ЮА]]/Таблица2[[#This Row],[% за перевод]]</f>
        <v>2330500</v>
      </c>
      <c r="O78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33511.479652974165</v>
      </c>
      <c r="P78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233050</v>
      </c>
      <c r="Q785" s="30">
        <v>2330500</v>
      </c>
      <c r="R785" s="12">
        <f>Таблица2[[#This Row],[Сумма в руб]]-Таблица2[[#This Row],[Оплата от клиента]]</f>
        <v>0</v>
      </c>
      <c r="S785" s="32">
        <v>44896</v>
      </c>
      <c r="T785" s="32" t="s">
        <v>720</v>
      </c>
      <c r="U785" s="24" t="s">
        <v>375</v>
      </c>
      <c r="V785" s="2"/>
      <c r="W785" s="28">
        <v>62.588999999999999</v>
      </c>
      <c r="X785" s="9">
        <v>34907.79</v>
      </c>
      <c r="Y785" s="16"/>
      <c r="Z785" s="2"/>
      <c r="AA785" s="26">
        <f>Таблица2[[#This Row],[Сумма перевода Долл/Евро]]*Таблица2[[#This Row],[Курс ДОЛЛ перевод]]+Таблица2[[#This Row],[Сумма за перевод руб]]</f>
        <v>2417893.6683100001</v>
      </c>
      <c r="AB78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-1396.3103470258357</v>
      </c>
      <c r="AC785" s="41" t="s">
        <v>1159</v>
      </c>
      <c r="AD785" s="41"/>
    </row>
    <row r="786" spans="1:30" ht="30" x14ac:dyDescent="0.25">
      <c r="A786" s="6">
        <v>44896</v>
      </c>
      <c r="B786" s="38" t="s">
        <v>72</v>
      </c>
      <c r="C786" s="38" t="s">
        <v>73</v>
      </c>
      <c r="D786" s="1" t="s">
        <v>1021</v>
      </c>
      <c r="E786" s="1"/>
      <c r="F786" s="3">
        <v>250000</v>
      </c>
      <c r="G786" s="5"/>
      <c r="H786" s="2">
        <v>8.85</v>
      </c>
      <c r="I786" s="2"/>
      <c r="J786" s="2">
        <v>0.9</v>
      </c>
      <c r="K786" s="2"/>
      <c r="L786" s="2"/>
      <c r="M786" s="26">
        <f>Таблица2[[#This Row],[Сумма ЮА]]*Таблица2[[#This Row],[Курс ЮА]]</f>
        <v>2212500</v>
      </c>
      <c r="N786" s="24">
        <f>Таблица2[[#This Row],[Сумма ЮА]]*Таблица2[[#This Row],[Курс ЮА]]/Таблица2[[#This Row],[% за перевод]]</f>
        <v>2458333.3333333335</v>
      </c>
      <c r="O78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35349.66208119638</v>
      </c>
      <c r="P78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245833.33333333349</v>
      </c>
      <c r="Q786" s="30">
        <v>2458333.33</v>
      </c>
      <c r="R786" s="12">
        <f>Таблица2[[#This Row],[Сумма в руб]]-Таблица2[[#This Row],[Оплата от клиента]]</f>
        <v>3.3333334140479565E-3</v>
      </c>
      <c r="S786" s="32">
        <v>44896</v>
      </c>
      <c r="T786" s="32" t="s">
        <v>720</v>
      </c>
      <c r="U786" s="24" t="s">
        <v>375</v>
      </c>
      <c r="V786" s="2"/>
      <c r="W786" s="28">
        <v>62.588999999999999</v>
      </c>
      <c r="X786" s="9">
        <v>36822.559999999998</v>
      </c>
      <c r="Y786" s="16"/>
      <c r="Z786" s="2"/>
      <c r="AA786" s="26">
        <f>Таблица2[[#This Row],[Сумма перевода Долл/Евро]]*Таблица2[[#This Row],[Курс ДОЛЛ перевод]]+Таблица2[[#This Row],[Сумма за перевод руб]]</f>
        <v>2550520.5411733333</v>
      </c>
      <c r="AB78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-1472.8979188036174</v>
      </c>
      <c r="AC786" s="9"/>
      <c r="AD786" s="41"/>
    </row>
    <row r="787" spans="1:30" x14ac:dyDescent="0.25">
      <c r="A787" s="6">
        <v>44897</v>
      </c>
      <c r="B787" s="38" t="s">
        <v>298</v>
      </c>
      <c r="C787" s="38" t="s">
        <v>56</v>
      </c>
      <c r="D787" s="1"/>
      <c r="E787" s="1"/>
      <c r="F787" s="3">
        <v>18961.5</v>
      </c>
      <c r="G787" s="5"/>
      <c r="H787" s="2">
        <v>8.99</v>
      </c>
      <c r="I787" s="2"/>
      <c r="J787" s="2">
        <v>0.97</v>
      </c>
      <c r="K787" s="2"/>
      <c r="L787" s="2"/>
      <c r="M787" s="26">
        <f>Таблица2[[#This Row],[Сумма ЮА]]*Таблица2[[#This Row],[Курс ЮА]]</f>
        <v>170463.88500000001</v>
      </c>
      <c r="N787" s="24">
        <f>Таблица2[[#This Row],[Сумма ЮА]]*Таблица2[[#This Row],[Курс ЮА]]/Таблица2[[#This Row],[% за перевод]]</f>
        <v>175735.96391752578</v>
      </c>
      <c r="O78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8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5272.0789175257669</v>
      </c>
      <c r="Q787" s="30">
        <v>175735.96</v>
      </c>
      <c r="R787" s="12">
        <f>Таблица2[[#This Row],[Сумма в руб]]-Таблица2[[#This Row],[Оплата от клиента]]</f>
        <v>3.9175257843453437E-3</v>
      </c>
      <c r="S787" s="32">
        <v>44897</v>
      </c>
      <c r="T787" s="32" t="s">
        <v>107</v>
      </c>
      <c r="U787" s="24" t="s">
        <v>31</v>
      </c>
      <c r="V787" s="2">
        <v>9.0696999999999992</v>
      </c>
      <c r="W787" s="28"/>
      <c r="X787" s="9"/>
      <c r="Y787" s="16">
        <v>18961.5</v>
      </c>
      <c r="Z787" s="10">
        <v>44900</v>
      </c>
      <c r="AA787" s="26">
        <f>Таблица2[[#This Row],[Сумма перевода Долл/Евро]]*Таблица2[[#This Row],[Курс ДОЛЛ перевод]]+Таблица2[[#This Row],[Сумма за перевод руб]]</f>
        <v>5272.0789175257669</v>
      </c>
      <c r="AB78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87" s="9" t="s">
        <v>1142</v>
      </c>
      <c r="AD787" s="41"/>
    </row>
    <row r="788" spans="1:30" ht="30" x14ac:dyDescent="0.25">
      <c r="A788" s="6">
        <v>44897</v>
      </c>
      <c r="B788" s="2" t="s">
        <v>35</v>
      </c>
      <c r="C788" s="2" t="s">
        <v>36</v>
      </c>
      <c r="D788" s="1" t="s">
        <v>1022</v>
      </c>
      <c r="E788" s="1"/>
      <c r="F788" s="3"/>
      <c r="G788" s="5">
        <v>2933.28</v>
      </c>
      <c r="H788" s="2"/>
      <c r="I788" s="2">
        <v>62.81</v>
      </c>
      <c r="J788" s="2">
        <v>0.97</v>
      </c>
      <c r="K788" s="2"/>
      <c r="L788" s="2"/>
      <c r="M788" s="26">
        <f>Таблица2[[#This Row],[Сумма Долл]]*Таблица2[[#This Row],[Курс ДОЛЛ]]</f>
        <v>184239.31680000003</v>
      </c>
      <c r="N78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189937.44000000003</v>
      </c>
      <c r="O78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2937.9575314941799</v>
      </c>
      <c r="P78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5698.1232000000018</v>
      </c>
      <c r="Q788" s="30">
        <v>189937.44</v>
      </c>
      <c r="R788" s="12">
        <f>Таблица2[[#This Row],[Сумма в руб]]-Таблица2[[#This Row],[Оплата от клиента]]</f>
        <v>0</v>
      </c>
      <c r="S788" s="32">
        <v>44897</v>
      </c>
      <c r="T788" s="32" t="s">
        <v>164</v>
      </c>
      <c r="U788" s="24" t="s">
        <v>31</v>
      </c>
      <c r="V788" s="2"/>
      <c r="W788" s="28">
        <v>62.71</v>
      </c>
      <c r="X788" s="9">
        <v>2933.28</v>
      </c>
      <c r="Y788" s="16"/>
      <c r="Z788" s="10">
        <v>44897</v>
      </c>
      <c r="AA788" s="26">
        <f>Таблица2[[#This Row],[Сумма перевода Долл/Евро]]*Таблица2[[#This Row],[Курс ДОЛЛ перевод]]+Таблица2[[#This Row],[Сумма за перевод руб]]</f>
        <v>189644.11200000002</v>
      </c>
      <c r="AB78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4.6775314941796751</v>
      </c>
      <c r="AC788" s="9"/>
      <c r="AD788" s="41"/>
    </row>
    <row r="789" spans="1:30" ht="60" x14ac:dyDescent="0.25">
      <c r="A789" s="6">
        <v>44897</v>
      </c>
      <c r="B789" s="38" t="s">
        <v>919</v>
      </c>
      <c r="C789" s="38" t="s">
        <v>680</v>
      </c>
      <c r="D789" s="1" t="s">
        <v>980</v>
      </c>
      <c r="E789" s="1"/>
      <c r="F789" s="3">
        <v>10000</v>
      </c>
      <c r="G789" s="5"/>
      <c r="H789" s="2">
        <v>9.01</v>
      </c>
      <c r="I789" s="2">
        <v>62.81</v>
      </c>
      <c r="J789" s="2"/>
      <c r="K789" s="2">
        <v>80</v>
      </c>
      <c r="L789" s="2"/>
      <c r="M789" s="26">
        <f>Таблица2[[#This Row],[Сумма ЮА]]*Таблица2[[#This Row],[Курс ЮА]]</f>
        <v>90100</v>
      </c>
      <c r="N789" s="24">
        <f>Таблица2[[#This Row],[Сумма ЮА]]*Таблица2[[#This Row],[Курс ЮА]]+Таблица2[[#This Row],[Долл за перевод]]*Таблица2[[#This Row],[Курс ДОЛЛ]]</f>
        <v>95124.800000000003</v>
      </c>
      <c r="O78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1434.4849546250596</v>
      </c>
      <c r="P789" s="12">
        <f>Таблица2[[#This Row],[Долл за перевод]]*Таблица2[[#This Row],[Курс ДОЛЛ]]</f>
        <v>5024.8</v>
      </c>
      <c r="Q789" s="30">
        <v>95124.800000000003</v>
      </c>
      <c r="R789" s="12">
        <f>Таблица2[[#This Row],[Сумма в руб]]-Таблица2[[#This Row],[Оплата от клиента]]</f>
        <v>0</v>
      </c>
      <c r="S789" s="32">
        <v>44897</v>
      </c>
      <c r="T789" s="32" t="s">
        <v>107</v>
      </c>
      <c r="U789" s="24" t="s">
        <v>31</v>
      </c>
      <c r="V789" s="2">
        <v>9.0696999999999992</v>
      </c>
      <c r="W789" s="28"/>
      <c r="X789" s="9"/>
      <c r="Y789" s="16">
        <v>10000</v>
      </c>
      <c r="Z789" s="10">
        <v>44900</v>
      </c>
      <c r="AA789" s="26">
        <f>Таблица2[[#This Row],[Сумма перевода Долл/Евро]]*Таблица2[[#This Row],[Курс ДОЛЛ перевод]]+Таблица2[[#This Row],[Сумма за перевод руб]]</f>
        <v>5024.8</v>
      </c>
      <c r="AB78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331.91265344640965</v>
      </c>
      <c r="AC789" s="9"/>
      <c r="AD789" s="41"/>
    </row>
    <row r="790" spans="1:30" x14ac:dyDescent="0.25">
      <c r="A790" s="6">
        <v>44897</v>
      </c>
      <c r="B790" s="38" t="s">
        <v>220</v>
      </c>
      <c r="C790" s="38" t="s">
        <v>1023</v>
      </c>
      <c r="D790" s="1"/>
      <c r="E790" s="1"/>
      <c r="F790" s="3">
        <v>48536.87</v>
      </c>
      <c r="G790" s="5"/>
      <c r="H790" s="2">
        <v>9.01</v>
      </c>
      <c r="I790" s="2"/>
      <c r="J790" s="2">
        <v>0.97</v>
      </c>
      <c r="K790" s="2"/>
      <c r="L790" s="2"/>
      <c r="M790" s="26">
        <f>Таблица2[[#This Row],[Сумма ЮА]]*Таблица2[[#This Row],[Курс ЮА]]</f>
        <v>437317.19870000001</v>
      </c>
      <c r="N790" s="24">
        <f>Таблица2[[#This Row],[Сумма ЮА]]*Таблица2[[#This Row],[Курс ЮА]]/Таблица2[[#This Row],[% за перевод]]</f>
        <v>450842.47288659797</v>
      </c>
      <c r="O79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9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13525.274186597962</v>
      </c>
      <c r="Q790" s="30">
        <v>450842.47</v>
      </c>
      <c r="R790" s="12">
        <f>Таблица2[[#This Row],[Сумма в руб]]-Таблица2[[#This Row],[Оплата от клиента]]</f>
        <v>2.8865979984402657E-3</v>
      </c>
      <c r="S790" s="32">
        <v>44897</v>
      </c>
      <c r="T790" s="32" t="s">
        <v>1027</v>
      </c>
      <c r="U790" s="24" t="s">
        <v>31</v>
      </c>
      <c r="V790" s="2">
        <v>9.0696999999999992</v>
      </c>
      <c r="W790" s="28"/>
      <c r="X790" s="9"/>
      <c r="Y790" s="16">
        <v>48536.87</v>
      </c>
      <c r="Z790" s="10">
        <v>44900</v>
      </c>
      <c r="AA790" s="26">
        <f>Таблица2[[#This Row],[Сумма перевода Долл/Евро]]*Таблица2[[#This Row],[Курс ДОЛЛ перевод]]+Таблица2[[#This Row],[Сумма за перевод руб]]</f>
        <v>13525.274186597962</v>
      </c>
      <c r="AB79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90" s="9"/>
      <c r="AD790" s="41"/>
    </row>
    <row r="791" spans="1:30" ht="45" x14ac:dyDescent="0.25">
      <c r="A791" s="6">
        <v>44900</v>
      </c>
      <c r="B791" s="38" t="s">
        <v>266</v>
      </c>
      <c r="C791" s="38" t="s">
        <v>267</v>
      </c>
      <c r="D791" s="1" t="s">
        <v>1026</v>
      </c>
      <c r="E791" s="1"/>
      <c r="F791" s="3">
        <v>10440</v>
      </c>
      <c r="G791" s="5"/>
      <c r="H791" s="2">
        <v>9.1300000000000008</v>
      </c>
      <c r="I791" s="2"/>
      <c r="J791" s="2">
        <v>0.97</v>
      </c>
      <c r="K791" s="2"/>
      <c r="L791" s="2"/>
      <c r="M791" s="26">
        <f>Таблица2[[#This Row],[Сумма ЮА]]*Таблица2[[#This Row],[Курс ЮА]]</f>
        <v>95317.200000000012</v>
      </c>
      <c r="N791" s="24">
        <f>Таблица2[[#This Row],[Сумма ЮА]]*Таблица2[[#This Row],[Курс ЮА]]/Таблица2[[#This Row],[% за перевод]]</f>
        <v>98265.154639175278</v>
      </c>
      <c r="O79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9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2947.9546391752665</v>
      </c>
      <c r="Q791" s="30">
        <v>98265.15</v>
      </c>
      <c r="R791" s="12">
        <f>Таблица2[[#This Row],[Сумма в руб]]-Таблица2[[#This Row],[Оплата от клиента]]</f>
        <v>4.6391752839554101E-3</v>
      </c>
      <c r="S791" s="32">
        <v>44900</v>
      </c>
      <c r="T791" s="32" t="s">
        <v>107</v>
      </c>
      <c r="U791" s="24" t="s">
        <v>31</v>
      </c>
      <c r="V791" s="2">
        <v>9.0969999999999995</v>
      </c>
      <c r="W791" s="28"/>
      <c r="X791" s="9"/>
      <c r="Y791" s="16">
        <v>10440</v>
      </c>
      <c r="Z791" s="10">
        <v>44901</v>
      </c>
      <c r="AA791" s="26">
        <f>Таблица2[[#This Row],[Сумма перевода Долл/Евро]]*Таблица2[[#This Row],[Курс ДОЛЛ перевод]]+Таблица2[[#This Row],[Сумма за перевод руб]]</f>
        <v>2947.9546391752665</v>
      </c>
      <c r="AB79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91" s="9" t="s">
        <v>1100</v>
      </c>
      <c r="AD791" s="41"/>
    </row>
    <row r="792" spans="1:30" ht="30" x14ac:dyDescent="0.25">
      <c r="A792" s="6">
        <v>44901</v>
      </c>
      <c r="B792" s="2" t="s">
        <v>38</v>
      </c>
      <c r="C792" s="2" t="s">
        <v>304</v>
      </c>
      <c r="D792" s="1" t="s">
        <v>1021</v>
      </c>
      <c r="E792" s="1"/>
      <c r="F792" s="3"/>
      <c r="G792" s="5">
        <v>4248.1499999999996</v>
      </c>
      <c r="H792" s="2"/>
      <c r="I792" s="2">
        <v>63.95</v>
      </c>
      <c r="J792" s="2">
        <v>0.96499999999999997</v>
      </c>
      <c r="K792" s="2"/>
      <c r="L792" s="2"/>
      <c r="M792" s="26">
        <f>Таблица2[[#This Row],[Сумма Долл]]*Таблица2[[#This Row],[Курс ДОЛЛ]]</f>
        <v>271669.1925</v>
      </c>
      <c r="N79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281522.4792746114</v>
      </c>
      <c r="O79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4236.3914467272234</v>
      </c>
      <c r="P79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9853.2867746113916</v>
      </c>
      <c r="Q792" s="30">
        <v>281522.48</v>
      </c>
      <c r="R792" s="12">
        <f>Таблица2[[#This Row],[Сумма в руб]]-Таблица2[[#This Row],[Оплата от клиента]]</f>
        <v>-7.2538858512416482E-4</v>
      </c>
      <c r="S792" s="32">
        <v>44907</v>
      </c>
      <c r="T792" s="32" t="s">
        <v>164</v>
      </c>
      <c r="U792" s="24" t="s">
        <v>31</v>
      </c>
      <c r="V792" s="2"/>
      <c r="W792" s="28">
        <v>64.127499999999998</v>
      </c>
      <c r="X792" s="9">
        <v>4248.1499999999996</v>
      </c>
      <c r="Y792" s="16"/>
      <c r="Z792" s="10">
        <v>44908</v>
      </c>
      <c r="AA792" s="26">
        <f>Таблица2[[#This Row],[Сумма перевода Долл/Евро]]*Таблица2[[#This Row],[Курс ДОЛЛ перевод]]+Таблица2[[#This Row],[Сумма за перевод руб]]</f>
        <v>282276.52589961136</v>
      </c>
      <c r="AB79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-11.758553272776226</v>
      </c>
      <c r="AC792" s="41" t="s">
        <v>1154</v>
      </c>
      <c r="AD792" s="41"/>
    </row>
    <row r="793" spans="1:30" ht="30" x14ac:dyDescent="0.25">
      <c r="A793" s="6">
        <v>44901</v>
      </c>
      <c r="B793" s="38" t="s">
        <v>804</v>
      </c>
      <c r="C793" s="38" t="s">
        <v>805</v>
      </c>
      <c r="D793" s="1" t="s">
        <v>1028</v>
      </c>
      <c r="E793" s="1"/>
      <c r="F793" s="3">
        <v>85985</v>
      </c>
      <c r="G793" s="5"/>
      <c r="H793" s="2">
        <v>9.19</v>
      </c>
      <c r="I793" s="2"/>
      <c r="J793" s="2">
        <v>0.97</v>
      </c>
      <c r="K793" s="2"/>
      <c r="L793" s="2"/>
      <c r="M793" s="26">
        <f>Таблица2[[#This Row],[Сумма ЮА]]*Таблица2[[#This Row],[Курс ЮА]]</f>
        <v>790202.14999999991</v>
      </c>
      <c r="N793" s="24">
        <f>Таблица2[[#This Row],[Сумма ЮА]]*Таблица2[[#This Row],[Курс ЮА]]/Таблица2[[#This Row],[% за перевод]]</f>
        <v>814641.39175257727</v>
      </c>
      <c r="O79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9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24439.241752577364</v>
      </c>
      <c r="Q793" s="30">
        <f>814+813827.39</f>
        <v>814641.39</v>
      </c>
      <c r="R793" s="12">
        <f>Таблица2[[#This Row],[Сумма в руб]]-Таблица2[[#This Row],[Оплата от клиента]]</f>
        <v>1.752577256411314E-3</v>
      </c>
      <c r="S793" s="32">
        <v>44901</v>
      </c>
      <c r="T793" s="32" t="s">
        <v>107</v>
      </c>
      <c r="U793" s="24" t="s">
        <v>31</v>
      </c>
      <c r="V793" s="2">
        <v>9.0595999999999997</v>
      </c>
      <c r="W793" s="28"/>
      <c r="X793" s="9"/>
      <c r="Y793" s="16">
        <v>85985</v>
      </c>
      <c r="Z793" s="10">
        <v>44901</v>
      </c>
      <c r="AA793" s="26">
        <f>Таблица2[[#This Row],[Сумма перевода Долл/Евро]]*Таблица2[[#This Row],[Курс ДОЛЛ перевод]]+Таблица2[[#This Row],[Сумма за перевод руб]]</f>
        <v>24439.241752577364</v>
      </c>
      <c r="AB79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93" s="41" t="s">
        <v>1154</v>
      </c>
      <c r="AD793" s="41"/>
    </row>
    <row r="794" spans="1:30" ht="30" x14ac:dyDescent="0.25">
      <c r="A794" s="6">
        <v>44901</v>
      </c>
      <c r="B794" s="38" t="s">
        <v>483</v>
      </c>
      <c r="C794" s="38" t="s">
        <v>484</v>
      </c>
      <c r="D794" s="1" t="s">
        <v>826</v>
      </c>
      <c r="E794" s="1"/>
      <c r="F794" s="3"/>
      <c r="G794" s="5">
        <v>8570</v>
      </c>
      <c r="H794" s="2"/>
      <c r="I794" s="2">
        <v>63.97</v>
      </c>
      <c r="J794" s="2">
        <v>0.9</v>
      </c>
      <c r="K794" s="2"/>
      <c r="L794" s="2"/>
      <c r="M794" s="26">
        <f>Таблица2[[#This Row],[Сумма Долл]]*Таблица2[[#This Row],[Курс ДОЛЛ]]</f>
        <v>548222.9</v>
      </c>
      <c r="N79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609136.55555555562</v>
      </c>
      <c r="O79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8605.6224609608016</v>
      </c>
      <c r="P79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60913.655555555597</v>
      </c>
      <c r="Q794" s="30">
        <f>309136.56+300000</f>
        <v>609136.56000000006</v>
      </c>
      <c r="R794" s="12">
        <f>Таблица2[[#This Row],[Сумма в руб]]-Таблица2[[#This Row],[Оплата от клиента]]</f>
        <v>-4.4444444356486201E-3</v>
      </c>
      <c r="S794" s="32">
        <v>44902</v>
      </c>
      <c r="T794" s="32" t="s">
        <v>720</v>
      </c>
      <c r="U794" s="24" t="s">
        <v>375</v>
      </c>
      <c r="V794" s="2"/>
      <c r="W794" s="28">
        <v>63.705199999999998</v>
      </c>
      <c r="X794" s="9">
        <v>8927.08</v>
      </c>
      <c r="Y794" s="16"/>
      <c r="Z794" s="2"/>
      <c r="AA794" s="26">
        <f>Таблица2[[#This Row],[Сумма перевода Долл/Евро]]*Таблица2[[#This Row],[Курс ДОЛЛ перевод]]+Таблица2[[#This Row],[Сумма за перевод руб]]</f>
        <v>629615.07237155561</v>
      </c>
      <c r="AB79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-321.45753903919831</v>
      </c>
      <c r="AC794" s="41" t="s">
        <v>1193</v>
      </c>
      <c r="AD794" s="41"/>
    </row>
    <row r="795" spans="1:30" ht="45" x14ac:dyDescent="0.25">
      <c r="A795" s="6">
        <v>44901</v>
      </c>
      <c r="B795" s="38" t="s">
        <v>266</v>
      </c>
      <c r="C795" s="38" t="s">
        <v>267</v>
      </c>
      <c r="D795" s="1" t="s">
        <v>1029</v>
      </c>
      <c r="E795" s="1"/>
      <c r="F795" s="3">
        <v>2705</v>
      </c>
      <c r="G795" s="5"/>
      <c r="H795" s="2">
        <v>9.19</v>
      </c>
      <c r="I795" s="2">
        <v>63.97</v>
      </c>
      <c r="J795" s="2"/>
      <c r="K795" s="2">
        <v>80</v>
      </c>
      <c r="L795" s="2"/>
      <c r="M795" s="26">
        <f>Таблица2[[#This Row],[Сумма ЮА]]*Таблица2[[#This Row],[Курс ЮА]]</f>
        <v>24858.949999999997</v>
      </c>
      <c r="N795" s="24">
        <f>Таблица2[[#This Row],[Сумма ЮА]]*Таблица2[[#This Row],[Курс ЮА]]+Таблица2[[#This Row],[Долл за перевод]]*Таблица2[[#This Row],[Курс ДОЛЛ]]</f>
        <v>29976.549999999996</v>
      </c>
      <c r="O79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388.60325152415191</v>
      </c>
      <c r="P795" s="12">
        <f>Таблица2[[#This Row],[Долл за перевод]]*Таблица2[[#This Row],[Курс ДОЛЛ]]</f>
        <v>5117.6000000000004</v>
      </c>
      <c r="Q795" s="30">
        <v>29976.55</v>
      </c>
      <c r="R795" s="12">
        <f>Таблица2[[#This Row],[Сумма в руб]]-Таблица2[[#This Row],[Оплата от клиента]]</f>
        <v>0</v>
      </c>
      <c r="S795" s="32">
        <v>44902</v>
      </c>
      <c r="T795" s="32" t="s">
        <v>107</v>
      </c>
      <c r="U795" s="24" t="s">
        <v>31</v>
      </c>
      <c r="V795" s="2">
        <v>9.1060999999999996</v>
      </c>
      <c r="W795" s="28"/>
      <c r="X795" s="9"/>
      <c r="Y795" s="16">
        <v>2705</v>
      </c>
      <c r="Z795" s="10">
        <v>44902</v>
      </c>
      <c r="AA795" s="26">
        <f>Таблица2[[#This Row],[Сумма перевода Долл/Евро]]*Таблица2[[#This Row],[Курс ДОЛЛ перевод]]+Таблица2[[#This Row],[Сумма за перевод руб]]</f>
        <v>5117.6000000000004</v>
      </c>
      <c r="AB79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91.549628128845484</v>
      </c>
      <c r="AC795" s="9" t="s">
        <v>1100</v>
      </c>
      <c r="AD795" s="41"/>
    </row>
    <row r="796" spans="1:30" ht="30" x14ac:dyDescent="0.25">
      <c r="A796" s="6">
        <v>44902</v>
      </c>
      <c r="B796" s="38" t="s">
        <v>173</v>
      </c>
      <c r="C796" s="38" t="s">
        <v>315</v>
      </c>
      <c r="D796" s="1" t="s">
        <v>399</v>
      </c>
      <c r="E796" s="1"/>
      <c r="F796" s="3">
        <v>4100</v>
      </c>
      <c r="G796" s="5"/>
      <c r="H796" s="2">
        <v>9.19</v>
      </c>
      <c r="I796" s="2">
        <v>63.89</v>
      </c>
      <c r="J796" s="2"/>
      <c r="K796" s="2">
        <v>80</v>
      </c>
      <c r="L796" s="2"/>
      <c r="M796" s="26">
        <f>Таблица2[[#This Row],[Сумма ЮА]]*Таблица2[[#This Row],[Курс ЮА]]</f>
        <v>37679</v>
      </c>
      <c r="N796" s="24">
        <f>Таблица2[[#This Row],[Сумма ЮА]]*Таблица2[[#This Row],[Курс ЮА]]+Таблица2[[#This Row],[Долл за перевод]]*Таблица2[[#This Row],[Курс ДОЛЛ]]</f>
        <v>42790.2</v>
      </c>
      <c r="O79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589.74800438253249</v>
      </c>
      <c r="P796" s="12">
        <f>Таблица2[[#This Row],[Долл за перевод]]*Таблица2[[#This Row],[Курс ДОЛЛ]]</f>
        <v>5111.2</v>
      </c>
      <c r="Q796" s="30">
        <v>42790.2</v>
      </c>
      <c r="R796" s="12">
        <f>Таблица2[[#This Row],[Сумма в руб]]-Таблица2[[#This Row],[Оплата от клиента]]</f>
        <v>0</v>
      </c>
      <c r="S796" s="32">
        <v>44902</v>
      </c>
      <c r="T796" s="32" t="s">
        <v>107</v>
      </c>
      <c r="U796" s="24" t="s">
        <v>31</v>
      </c>
      <c r="V796" s="2">
        <v>9.0950000000000006</v>
      </c>
      <c r="W796" s="28"/>
      <c r="X796" s="9"/>
      <c r="Y796" s="16">
        <v>4100</v>
      </c>
      <c r="Z796" s="10">
        <v>44903</v>
      </c>
      <c r="AA796" s="26">
        <f>Таблица2[[#This Row],[Сумма перевода Долл/Евро]]*Таблица2[[#This Row],[Курс ДОЛЛ перевод]]+Таблица2[[#This Row],[Сумма за перевод руб]]</f>
        <v>5111.2</v>
      </c>
      <c r="AB79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138.95086309611139</v>
      </c>
      <c r="AC796" s="9"/>
      <c r="AD796" s="41"/>
    </row>
    <row r="797" spans="1:30" ht="75" x14ac:dyDescent="0.25">
      <c r="A797" s="6">
        <v>44902</v>
      </c>
      <c r="B797" s="2" t="s">
        <v>1008</v>
      </c>
      <c r="C797" s="2" t="s">
        <v>1009</v>
      </c>
      <c r="D797" s="1" t="s">
        <v>1030</v>
      </c>
      <c r="E797" s="1"/>
      <c r="F797" s="3"/>
      <c r="G797" s="5">
        <v>3000</v>
      </c>
      <c r="H797" s="2"/>
      <c r="I797" s="2">
        <v>63.89</v>
      </c>
      <c r="J797" s="2">
        <v>0.97</v>
      </c>
      <c r="K797" s="2"/>
      <c r="L797" s="2"/>
      <c r="M797" s="26">
        <f>Таблица2[[#This Row],[Сумма Долл]]*Таблица2[[#This Row],[Курс ДОЛЛ]]</f>
        <v>191670</v>
      </c>
      <c r="N79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197597.93814432991</v>
      </c>
      <c r="O79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3022.2279687354639</v>
      </c>
      <c r="P79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5927.9381443299062</v>
      </c>
      <c r="Q797" s="30">
        <v>197597.94</v>
      </c>
      <c r="R797" s="12">
        <f>Таблица2[[#This Row],[Сумма в руб]]-Таблица2[[#This Row],[Оплата от клиента]]</f>
        <v>-1.8556700961198658E-3</v>
      </c>
      <c r="S797" s="32">
        <v>44902</v>
      </c>
      <c r="T797" s="32" t="s">
        <v>164</v>
      </c>
      <c r="U797" s="24" t="s">
        <v>31</v>
      </c>
      <c r="V797" s="2"/>
      <c r="W797" s="28">
        <v>63.420099999999998</v>
      </c>
      <c r="X797" s="9">
        <v>3000</v>
      </c>
      <c r="Y797" s="16"/>
      <c r="Z797" s="10">
        <v>44903</v>
      </c>
      <c r="AA797" s="26">
        <f>Таблица2[[#This Row],[Сумма перевода Долл/Евро]]*Таблица2[[#This Row],[Курс ДОЛЛ перевод]]+Таблица2[[#This Row],[Сумма за перевод руб]]</f>
        <v>196188.23814432989</v>
      </c>
      <c r="AB79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22.227968735463946</v>
      </c>
      <c r="AC797" s="41" t="s">
        <v>1154</v>
      </c>
      <c r="AD797" s="41"/>
    </row>
    <row r="798" spans="1:30" ht="75" x14ac:dyDescent="0.25">
      <c r="A798" s="6">
        <v>44903</v>
      </c>
      <c r="B798" s="29" t="s">
        <v>1011</v>
      </c>
      <c r="C798" s="29" t="s">
        <v>1012</v>
      </c>
      <c r="D798" s="1" t="s">
        <v>1013</v>
      </c>
      <c r="E798" s="1"/>
      <c r="F798" s="3">
        <v>29920</v>
      </c>
      <c r="G798" s="5"/>
      <c r="H798" s="2">
        <v>9.2200000000000006</v>
      </c>
      <c r="I798" s="2">
        <v>63.95</v>
      </c>
      <c r="J798" s="2"/>
      <c r="K798" s="2">
        <v>100</v>
      </c>
      <c r="L798" s="2"/>
      <c r="M798" s="26">
        <f>Таблица2[[#This Row],[Сумма ЮА]]*Таблица2[[#This Row],[Курс ЮА]]</f>
        <v>275862.40000000002</v>
      </c>
      <c r="N798" s="24">
        <f>Таблица2[[#This Row],[Сумма ЮА]]*Таблица2[[#This Row],[Курс ЮА]]+Таблица2[[#This Row],[Долл за перевод]]*Таблица2[[#This Row],[Курс ДОЛЛ]]</f>
        <v>282257.40000000002</v>
      </c>
      <c r="O79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4313.7200938233</v>
      </c>
      <c r="P798" s="12">
        <f>Таблица2[[#This Row],[Долл за перевод]]*Таблица2[[#This Row],[Курс ДОЛЛ]]</f>
        <v>6395</v>
      </c>
      <c r="Q798" s="30">
        <v>282257.40000000002</v>
      </c>
      <c r="R798" s="12">
        <f>Таблица2[[#This Row],[Сумма в руб]]-Таблица2[[#This Row],[Оплата от клиента]]</f>
        <v>0</v>
      </c>
      <c r="S798" s="32">
        <v>44903</v>
      </c>
      <c r="T798" s="32" t="s">
        <v>107</v>
      </c>
      <c r="U798" s="24" t="s">
        <v>947</v>
      </c>
      <c r="V798" s="2">
        <v>9.2317</v>
      </c>
      <c r="W798" s="28"/>
      <c r="X798" s="9"/>
      <c r="Y798" s="16">
        <v>29920</v>
      </c>
      <c r="Z798" s="10">
        <v>44910</v>
      </c>
      <c r="AA798" s="26">
        <f>Таблица2[[#This Row],[Сумма перевода Долл/Евро]]*Таблица2[[#This Row],[Курс ДОЛЛ перевод]]+Таблица2[[#This Row],[Сумма за перевод руб]]</f>
        <v>6395</v>
      </c>
      <c r="AB79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1072.7135619819273</v>
      </c>
      <c r="AC798" s="9"/>
      <c r="AD798" s="41"/>
    </row>
    <row r="799" spans="1:30" x14ac:dyDescent="0.25">
      <c r="A799" s="6">
        <v>44903</v>
      </c>
      <c r="B799" s="38" t="s">
        <v>298</v>
      </c>
      <c r="C799" s="38" t="s">
        <v>56</v>
      </c>
      <c r="D799" s="1"/>
      <c r="E799" s="1"/>
      <c r="F799" s="3">
        <v>34654.5</v>
      </c>
      <c r="G799" s="5"/>
      <c r="H799" s="2">
        <v>9.2200000000000006</v>
      </c>
      <c r="I799" s="2"/>
      <c r="J799" s="2">
        <v>0.97</v>
      </c>
      <c r="K799" s="2"/>
      <c r="L799" s="2"/>
      <c r="M799" s="26">
        <f>Таблица2[[#This Row],[Сумма ЮА]]*Таблица2[[#This Row],[Курс ЮА]]</f>
        <v>319514.49000000005</v>
      </c>
      <c r="N799" s="24">
        <f>Таблица2[[#This Row],[Сумма ЮА]]*Таблица2[[#This Row],[Курс ЮА]]/Таблица2[[#This Row],[% за перевод]]+313919.78</f>
        <v>643316.16144329903</v>
      </c>
      <c r="O79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79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323801.67144329898</v>
      </c>
      <c r="Q799" s="30">
        <v>329396.38</v>
      </c>
      <c r="R799" s="12">
        <f>Таблица2[[#This Row],[Сумма в руб]]-Таблица2[[#This Row],[Оплата от клиента]]</f>
        <v>313919.78144329903</v>
      </c>
      <c r="S799" s="32">
        <v>44904</v>
      </c>
      <c r="T799" s="32" t="s">
        <v>107</v>
      </c>
      <c r="U799" s="24" t="s">
        <v>31</v>
      </c>
      <c r="V799" s="2">
        <v>9.1283999999999992</v>
      </c>
      <c r="W799" s="28"/>
      <c r="X799" s="9"/>
      <c r="Y799" s="16">
        <v>34654.5</v>
      </c>
      <c r="Z799" s="10">
        <v>44907</v>
      </c>
      <c r="AA799" s="26">
        <f>Таблица2[[#This Row],[Сумма перевода Долл/Евро]]*Таблица2[[#This Row],[Курс ДОЛЛ перевод]]+Таблица2[[#This Row],[Сумма за перевод руб]]</f>
        <v>323801.67144329898</v>
      </c>
      <c r="AB79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799" s="9" t="s">
        <v>1091</v>
      </c>
      <c r="AD799" s="41"/>
    </row>
    <row r="800" spans="1:30" x14ac:dyDescent="0.25">
      <c r="A800" s="6">
        <v>44904</v>
      </c>
      <c r="B800" s="2" t="s">
        <v>967</v>
      </c>
      <c r="C800" s="2" t="s">
        <v>1031</v>
      </c>
      <c r="D800" s="1"/>
      <c r="E800" s="1"/>
      <c r="F800" s="3"/>
      <c r="G800" s="5">
        <v>8194.5499999999993</v>
      </c>
      <c r="H800" s="2"/>
      <c r="I800" s="2">
        <v>63.34</v>
      </c>
      <c r="J800" s="2">
        <v>0.98</v>
      </c>
      <c r="K800" s="2"/>
      <c r="L800" s="2"/>
      <c r="M800" s="26">
        <f>Таблица2[[#This Row],[Сумма Долл]]*Таблица2[[#This Row],[Курс ДОЛЛ]]</f>
        <v>519042.79699999996</v>
      </c>
      <c r="N80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529635.50714285707</v>
      </c>
      <c r="O80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8057.8940202626127</v>
      </c>
      <c r="P80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10592.710142857104</v>
      </c>
      <c r="Q800" s="30">
        <v>529635.51</v>
      </c>
      <c r="R800" s="12">
        <f>Таблица2[[#This Row],[Сумма в руб]]-Таблица2[[#This Row],[Оплата от клиента]]</f>
        <v>-2.8571429429575801E-3</v>
      </c>
      <c r="S800" s="32">
        <v>44904</v>
      </c>
      <c r="T800" s="32" t="s">
        <v>164</v>
      </c>
      <c r="U800" s="24" t="s">
        <v>31</v>
      </c>
      <c r="V800" s="2"/>
      <c r="W800" s="28">
        <v>64.414199999999994</v>
      </c>
      <c r="X800" s="9">
        <v>8194.5499999999993</v>
      </c>
      <c r="Y800" s="16"/>
      <c r="Z800" s="10">
        <v>44907</v>
      </c>
      <c r="AA800" s="26">
        <f>Таблица2[[#This Row],[Сумма перевода Долл/Евро]]*Таблица2[[#This Row],[Курс ДОЛЛ перевод]]+Таблица2[[#This Row],[Сумма за перевод руб]]</f>
        <v>538438.0927528569</v>
      </c>
      <c r="AB80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-136.65597973738659</v>
      </c>
      <c r="AC800" s="9"/>
      <c r="AD800" s="41"/>
    </row>
    <row r="801" spans="1:30" ht="45" x14ac:dyDescent="0.25">
      <c r="A801" s="6">
        <v>44904</v>
      </c>
      <c r="B801" s="38" t="s">
        <v>919</v>
      </c>
      <c r="C801" s="38" t="s">
        <v>680</v>
      </c>
      <c r="D801" s="1" t="s">
        <v>1032</v>
      </c>
      <c r="E801" s="1"/>
      <c r="F801" s="3">
        <v>24600</v>
      </c>
      <c r="G801" s="5"/>
      <c r="H801" s="2">
        <v>9.18</v>
      </c>
      <c r="I801" s="2"/>
      <c r="J801" s="2">
        <v>0.9</v>
      </c>
      <c r="K801" s="2"/>
      <c r="L801" s="2"/>
      <c r="M801" s="26">
        <f>Таблица2[[#This Row],[Сумма ЮА]]*Таблица2[[#This Row],[Курс ЮА]]</f>
        <v>225828</v>
      </c>
      <c r="N801" s="24">
        <f>Таблица2[[#This Row],[Сумма ЮА]]*Таблица2[[#This Row],[Курс ЮА]]/Таблица2[[#This Row],[% за перевод]]</f>
        <v>250920</v>
      </c>
      <c r="O80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3554.4712631918596</v>
      </c>
      <c r="P80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25092</v>
      </c>
      <c r="Q801" s="30">
        <v>250920</v>
      </c>
      <c r="R801" s="12">
        <f>Таблица2[[#This Row],[Сумма в руб]]-Таблица2[[#This Row],[Оплата от клиента]]</f>
        <v>0</v>
      </c>
      <c r="S801" s="32">
        <v>44904</v>
      </c>
      <c r="T801" s="32" t="s">
        <v>720</v>
      </c>
      <c r="U801" s="24" t="s">
        <v>375</v>
      </c>
      <c r="V801" s="2"/>
      <c r="W801" s="28">
        <v>63.533499999999997</v>
      </c>
      <c r="X801" s="9">
        <v>3702.57</v>
      </c>
      <c r="Y801" s="16"/>
      <c r="Z801" s="2"/>
      <c r="AA801" s="26">
        <f>Таблица2[[#This Row],[Сумма перевода Долл/Евро]]*Таблица2[[#This Row],[Курс ДОЛЛ перевод]]+Таблица2[[#This Row],[Сумма за перевод руб]]</f>
        <v>260329.231095</v>
      </c>
      <c r="AB80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-148.09873680814053</v>
      </c>
      <c r="AC801" s="9" t="s">
        <v>1173</v>
      </c>
      <c r="AD801" s="41"/>
    </row>
    <row r="802" spans="1:30" x14ac:dyDescent="0.25">
      <c r="A802" s="6">
        <v>44907</v>
      </c>
      <c r="B802" s="2" t="s">
        <v>38</v>
      </c>
      <c r="C802" s="2" t="s">
        <v>39</v>
      </c>
      <c r="D802" s="1" t="s">
        <v>1033</v>
      </c>
      <c r="E802" s="1"/>
      <c r="F802" s="3"/>
      <c r="G802" s="5">
        <v>2117.8000000000002</v>
      </c>
      <c r="H802" s="2"/>
      <c r="I802" s="2">
        <v>63.95</v>
      </c>
      <c r="J802" s="2">
        <v>0.96499999999999997</v>
      </c>
      <c r="K802" s="2"/>
      <c r="L802" s="2"/>
      <c r="M802" s="26">
        <f>Таблица2[[#This Row],[Сумма Долл]]*Таблица2[[#This Row],[Курс ДОЛЛ]]</f>
        <v>135433.31000000003</v>
      </c>
      <c r="N80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140345.39896373061</v>
      </c>
      <c r="O80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2111.9380920821804</v>
      </c>
      <c r="P80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4912.0889637305809</v>
      </c>
      <c r="Q802" s="30">
        <v>140345.4</v>
      </c>
      <c r="R802" s="12">
        <f>Таблица2[[#This Row],[Сумма в руб]]-Таблица2[[#This Row],[Оплата от клиента]]</f>
        <v>-1.0362693865317851E-3</v>
      </c>
      <c r="S802" s="32">
        <v>44907</v>
      </c>
      <c r="T802" s="32" t="s">
        <v>164</v>
      </c>
      <c r="U802" s="24" t="s">
        <v>31</v>
      </c>
      <c r="V802" s="2"/>
      <c r="W802" s="28">
        <v>64.127499999999998</v>
      </c>
      <c r="X802" s="9">
        <v>2117.8000000000002</v>
      </c>
      <c r="Y802" s="16"/>
      <c r="Z802" s="10">
        <v>44908</v>
      </c>
      <c r="AA802" s="26">
        <f>Таблица2[[#This Row],[Сумма перевода Долл/Евро]]*Таблица2[[#This Row],[Курс ДОЛЛ перевод]]+Таблица2[[#This Row],[Сумма за перевод руб]]</f>
        <v>140721.30846373059</v>
      </c>
      <c r="AB80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-5.8619079178197353</v>
      </c>
      <c r="AC802" s="9"/>
      <c r="AD802" s="41"/>
    </row>
    <row r="803" spans="1:30" ht="30" x14ac:dyDescent="0.25">
      <c r="A803" s="6">
        <v>44907</v>
      </c>
      <c r="B803" s="38" t="s">
        <v>220</v>
      </c>
      <c r="C803" s="38" t="s">
        <v>1023</v>
      </c>
      <c r="D803" s="1" t="s">
        <v>1035</v>
      </c>
      <c r="E803" s="1"/>
      <c r="F803" s="3">
        <v>26780.44</v>
      </c>
      <c r="G803" s="5"/>
      <c r="H803" s="2">
        <v>9.23</v>
      </c>
      <c r="I803" s="2"/>
      <c r="J803" s="2">
        <v>0.97</v>
      </c>
      <c r="K803" s="2"/>
      <c r="L803" s="2"/>
      <c r="M803" s="26">
        <f>Таблица2[[#This Row],[Сумма ЮА]]*Таблица2[[#This Row],[Курс ЮА]]</f>
        <v>247183.46119999999</v>
      </c>
      <c r="N803" s="24">
        <f>Таблица2[[#This Row],[Сумма ЮА]]*Таблица2[[#This Row],[Курс ЮА]]/Таблица2[[#This Row],[% за перевод]]</f>
        <v>254828.31051546391</v>
      </c>
      <c r="O80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0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7644.8493154639145</v>
      </c>
      <c r="Q803" s="30">
        <v>254828.31</v>
      </c>
      <c r="R803" s="12">
        <f>Таблица2[[#This Row],[Сумма в руб]]-Таблица2[[#This Row],[Оплата от клиента]]</f>
        <v>5.1546390750445426E-4</v>
      </c>
      <c r="S803" s="32">
        <v>44907</v>
      </c>
      <c r="T803" s="32" t="s">
        <v>107</v>
      </c>
      <c r="U803" s="24" t="s">
        <v>31</v>
      </c>
      <c r="V803" s="2">
        <v>9.1852</v>
      </c>
      <c r="W803" s="28"/>
      <c r="X803" s="9"/>
      <c r="Y803" s="16">
        <v>26780.44</v>
      </c>
      <c r="Z803" s="10">
        <v>44908</v>
      </c>
      <c r="AA803" s="26">
        <f>Таблица2[[#This Row],[Сумма перевода Долл/Евро]]*Таблица2[[#This Row],[Курс ДОЛЛ перевод]]+Таблица2[[#This Row],[Сумма за перевод руб]]</f>
        <v>7644.8493154639145</v>
      </c>
      <c r="AB80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03" s="9"/>
      <c r="AD803" s="41"/>
    </row>
    <row r="804" spans="1:30" ht="30" x14ac:dyDescent="0.25">
      <c r="A804" s="6">
        <v>44907</v>
      </c>
      <c r="B804" s="38" t="s">
        <v>755</v>
      </c>
      <c r="C804" s="38" t="s">
        <v>1034</v>
      </c>
      <c r="D804" s="1" t="s">
        <v>1035</v>
      </c>
      <c r="E804" s="1"/>
      <c r="F804" s="3">
        <v>7219.54</v>
      </c>
      <c r="G804" s="5"/>
      <c r="H804" s="2">
        <v>9.23</v>
      </c>
      <c r="I804" s="2"/>
      <c r="J804" s="2">
        <v>0.97</v>
      </c>
      <c r="K804" s="2"/>
      <c r="L804" s="2"/>
      <c r="M804" s="26">
        <f>Таблица2[[#This Row],[Сумма ЮА]]*Таблица2[[#This Row],[Курс ЮА]]</f>
        <v>66636.354200000002</v>
      </c>
      <c r="N804" s="24">
        <f>Таблица2[[#This Row],[Сумма ЮА]]*Таблица2[[#This Row],[Курс ЮА]]/Таблица2[[#This Row],[% за перевод]]</f>
        <v>68697.272371134022</v>
      </c>
      <c r="O80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0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2060.9181711340207</v>
      </c>
      <c r="Q804" s="30">
        <v>68697.27</v>
      </c>
      <c r="R804" s="12">
        <f>Таблица2[[#This Row],[Сумма в руб]]-Таблица2[[#This Row],[Оплата от клиента]]</f>
        <v>2.3711340181762353E-3</v>
      </c>
      <c r="S804" s="32">
        <v>44908</v>
      </c>
      <c r="T804" s="32" t="s">
        <v>107</v>
      </c>
      <c r="U804" s="24" t="s">
        <v>31</v>
      </c>
      <c r="V804" s="2">
        <v>9.1655999999999995</v>
      </c>
      <c r="W804" s="28"/>
      <c r="X804" s="9"/>
      <c r="Y804" s="16">
        <v>7219.54</v>
      </c>
      <c r="Z804" s="10">
        <v>44908</v>
      </c>
      <c r="AA804" s="26">
        <f>Таблица2[[#This Row],[Сумма перевода Долл/Евро]]*Таблица2[[#This Row],[Курс ДОЛЛ перевод]]+Таблица2[[#This Row],[Сумма за перевод руб]]</f>
        <v>2060.9181711340207</v>
      </c>
      <c r="AB80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04" s="9" t="s">
        <v>1101</v>
      </c>
      <c r="AD804" s="41"/>
    </row>
    <row r="805" spans="1:30" ht="30" x14ac:dyDescent="0.25">
      <c r="A805" s="6">
        <v>44907</v>
      </c>
      <c r="B805" s="38" t="s">
        <v>755</v>
      </c>
      <c r="C805" s="38" t="s">
        <v>1034</v>
      </c>
      <c r="D805" s="1" t="s">
        <v>1035</v>
      </c>
      <c r="E805" s="1"/>
      <c r="F805" s="3">
        <v>43796.57</v>
      </c>
      <c r="G805" s="5"/>
      <c r="H805" s="2">
        <v>9.23</v>
      </c>
      <c r="I805" s="2"/>
      <c r="J805" s="2">
        <v>0.97</v>
      </c>
      <c r="K805" s="2"/>
      <c r="L805" s="2"/>
      <c r="M805" s="26">
        <f>Таблица2[[#This Row],[Сумма ЮА]]*Таблица2[[#This Row],[Курс ЮА]]</f>
        <v>404242.34110000002</v>
      </c>
      <c r="N805" s="24">
        <f>Таблица2[[#This Row],[Сумма ЮА]]*Таблица2[[#This Row],[Курс ЮА]]/Таблица2[[#This Row],[% за перевод]]</f>
        <v>416744.6815463918</v>
      </c>
      <c r="O80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0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12502.340446391783</v>
      </c>
      <c r="Q805" s="30">
        <v>416744.68</v>
      </c>
      <c r="R805" s="12">
        <f>Таблица2[[#This Row],[Сумма в руб]]-Таблица2[[#This Row],[Оплата от клиента]]</f>
        <v>1.5463918098248541E-3</v>
      </c>
      <c r="S805" s="32">
        <v>44908</v>
      </c>
      <c r="T805" s="32" t="s">
        <v>107</v>
      </c>
      <c r="U805" s="24" t="s">
        <v>31</v>
      </c>
      <c r="V805" s="2">
        <v>9.1655999999999995</v>
      </c>
      <c r="W805" s="28"/>
      <c r="X805" s="9"/>
      <c r="Y805" s="16">
        <v>43796.57</v>
      </c>
      <c r="Z805" s="10">
        <v>44908</v>
      </c>
      <c r="AA805" s="26">
        <f>Таблица2[[#This Row],[Сумма перевода Долл/Евро]]*Таблица2[[#This Row],[Курс ДОЛЛ перевод]]+Таблица2[[#This Row],[Сумма за перевод руб]]</f>
        <v>12502.340446391783</v>
      </c>
      <c r="AB80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05" s="9" t="s">
        <v>1101</v>
      </c>
      <c r="AD805" s="41"/>
    </row>
    <row r="806" spans="1:30" ht="30" x14ac:dyDescent="0.25">
      <c r="A806" s="6">
        <v>44907</v>
      </c>
      <c r="B806" s="38" t="s">
        <v>755</v>
      </c>
      <c r="C806" s="38" t="s">
        <v>1034</v>
      </c>
      <c r="D806" s="1" t="s">
        <v>1035</v>
      </c>
      <c r="E806" s="1"/>
      <c r="F806" s="3">
        <v>46370.45</v>
      </c>
      <c r="G806" s="5"/>
      <c r="H806" s="2">
        <v>9.23</v>
      </c>
      <c r="I806" s="2"/>
      <c r="J806" s="2">
        <v>0.97</v>
      </c>
      <c r="K806" s="2"/>
      <c r="L806" s="2"/>
      <c r="M806" s="26">
        <f>Таблица2[[#This Row],[Сумма ЮА]]*Таблица2[[#This Row],[Курс ЮА]]</f>
        <v>427999.25349999999</v>
      </c>
      <c r="N806" s="24">
        <f>Таблица2[[#This Row],[Сумма ЮА]]*Таблица2[[#This Row],[Курс ЮА]]/Таблица2[[#This Row],[% за перевод]]</f>
        <v>441236.34381443297</v>
      </c>
      <c r="O80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0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13237.090314432979</v>
      </c>
      <c r="Q806" s="30">
        <v>441236.34</v>
      </c>
      <c r="R806" s="12">
        <f>Таблица2[[#This Row],[Сумма в руб]]-Таблица2[[#This Row],[Оплата от клиента]]</f>
        <v>3.8144329446367919E-3</v>
      </c>
      <c r="S806" s="32">
        <v>44908</v>
      </c>
      <c r="T806" s="32" t="s">
        <v>107</v>
      </c>
      <c r="U806" s="24" t="s">
        <v>31</v>
      </c>
      <c r="V806" s="2">
        <v>9.1655999999999995</v>
      </c>
      <c r="W806" s="28"/>
      <c r="X806" s="9"/>
      <c r="Y806" s="16">
        <v>46370.45</v>
      </c>
      <c r="Z806" s="10">
        <v>44908</v>
      </c>
      <c r="AA806" s="26">
        <f>Таблица2[[#This Row],[Сумма перевода Долл/Евро]]*Таблица2[[#This Row],[Курс ДОЛЛ перевод]]+Таблица2[[#This Row],[Сумма за перевод руб]]</f>
        <v>13237.090314432979</v>
      </c>
      <c r="AB80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06" s="9" t="s">
        <v>1171</v>
      </c>
      <c r="AD806" s="41"/>
    </row>
    <row r="807" spans="1:30" ht="30" x14ac:dyDescent="0.25">
      <c r="A807" s="6">
        <v>44907</v>
      </c>
      <c r="B807" s="38" t="s">
        <v>755</v>
      </c>
      <c r="C807" s="38" t="s">
        <v>1034</v>
      </c>
      <c r="D807" s="1" t="s">
        <v>1035</v>
      </c>
      <c r="E807" s="1"/>
      <c r="F807" s="3">
        <v>123544.26</v>
      </c>
      <c r="G807" s="5"/>
      <c r="H807" s="2">
        <v>9.23</v>
      </c>
      <c r="I807" s="2"/>
      <c r="J807" s="2">
        <v>0.97</v>
      </c>
      <c r="K807" s="2"/>
      <c r="L807" s="2"/>
      <c r="M807" s="26">
        <f>Таблица2[[#This Row],[Сумма ЮА]]*Таблица2[[#This Row],[Курс ЮА]]</f>
        <v>1140313.5197999999</v>
      </c>
      <c r="N807" s="24">
        <f>Таблица2[[#This Row],[Сумма ЮА]]*Таблица2[[#This Row],[Курс ЮА]]/Таблица2[[#This Row],[% за перевод]]</f>
        <v>1175580.9482474227</v>
      </c>
      <c r="O80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0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35267.428447422804</v>
      </c>
      <c r="Q807" s="30">
        <v>1175580.95</v>
      </c>
      <c r="R807" s="12">
        <f>Таблица2[[#This Row],[Сумма в руб]]-Таблица2[[#This Row],[Оплата от клиента]]</f>
        <v>-1.752577256411314E-3</v>
      </c>
      <c r="S807" s="32">
        <v>44908</v>
      </c>
      <c r="T807" s="32" t="s">
        <v>107</v>
      </c>
      <c r="U807" s="24" t="s">
        <v>31</v>
      </c>
      <c r="V807" s="2">
        <v>9.1655999999999995</v>
      </c>
      <c r="W807" s="28"/>
      <c r="X807" s="9"/>
      <c r="Y807" s="16">
        <v>123544.26</v>
      </c>
      <c r="Z807" s="10">
        <v>44908</v>
      </c>
      <c r="AA807" s="26">
        <f>Таблица2[[#This Row],[Сумма перевода Долл/Евро]]*Таблица2[[#This Row],[Курс ДОЛЛ перевод]]+Таблица2[[#This Row],[Сумма за перевод руб]]</f>
        <v>35267.428447422804</v>
      </c>
      <c r="AB80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07" s="9" t="s">
        <v>1172</v>
      </c>
      <c r="AD807" s="41"/>
    </row>
    <row r="808" spans="1:30" ht="30" x14ac:dyDescent="0.25">
      <c r="A808" s="6">
        <v>44907</v>
      </c>
      <c r="B808" s="38" t="s">
        <v>755</v>
      </c>
      <c r="C808" s="38" t="s">
        <v>1034</v>
      </c>
      <c r="D808" s="1" t="s">
        <v>1035</v>
      </c>
      <c r="E808" s="1"/>
      <c r="F808" s="3">
        <v>5615.95</v>
      </c>
      <c r="G808" s="5"/>
      <c r="H808" s="2">
        <v>9.23</v>
      </c>
      <c r="I808" s="2"/>
      <c r="J808" s="2">
        <v>0.97</v>
      </c>
      <c r="K808" s="2"/>
      <c r="L808" s="2"/>
      <c r="M808" s="26">
        <f>Таблица2[[#This Row],[Сумма ЮА]]*Таблица2[[#This Row],[Курс ЮА]]</f>
        <v>51835.218500000003</v>
      </c>
      <c r="N808" s="24">
        <f>Таблица2[[#This Row],[Сумма ЮА]]*Таблица2[[#This Row],[Курс ЮА]]/Таблица2[[#This Row],[% за перевод]]</f>
        <v>53438.369587628869</v>
      </c>
      <c r="O80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0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1603.1510876288667</v>
      </c>
      <c r="Q808" s="30">
        <v>53438.37</v>
      </c>
      <c r="R808" s="12">
        <f>Таблица2[[#This Row],[Сумма в руб]]-Таблица2[[#This Row],[Оплата от клиента]]</f>
        <v>-4.1237113327952102E-4</v>
      </c>
      <c r="S808" s="32">
        <v>44908</v>
      </c>
      <c r="T808" s="32" t="s">
        <v>107</v>
      </c>
      <c r="U808" s="24" t="s">
        <v>31</v>
      </c>
      <c r="V808" s="2">
        <v>9.1655999999999995</v>
      </c>
      <c r="W808" s="28"/>
      <c r="X808" s="9"/>
      <c r="Y808" s="16">
        <v>5615.95</v>
      </c>
      <c r="Z808" s="10">
        <v>44908</v>
      </c>
      <c r="AA808" s="26">
        <f>Таблица2[[#This Row],[Сумма перевода Долл/Евро]]*Таблица2[[#This Row],[Курс ДОЛЛ перевод]]+Таблица2[[#This Row],[Сумма за перевод руб]]</f>
        <v>1603.1510876288667</v>
      </c>
      <c r="AB80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08" s="9" t="s">
        <v>1101</v>
      </c>
      <c r="AD808" s="41"/>
    </row>
    <row r="809" spans="1:30" ht="30" x14ac:dyDescent="0.25">
      <c r="A809" s="6">
        <v>44907</v>
      </c>
      <c r="B809" s="38" t="s">
        <v>755</v>
      </c>
      <c r="C809" s="38" t="s">
        <v>1034</v>
      </c>
      <c r="D809" s="1" t="s">
        <v>1035</v>
      </c>
      <c r="E809" s="1"/>
      <c r="F809" s="3">
        <v>4449.1400000000003</v>
      </c>
      <c r="G809" s="5"/>
      <c r="H809" s="2">
        <v>9.23</v>
      </c>
      <c r="I809" s="2"/>
      <c r="J809" s="2">
        <v>0.97</v>
      </c>
      <c r="K809" s="2"/>
      <c r="L809" s="2"/>
      <c r="M809" s="26">
        <f>Таблица2[[#This Row],[Сумма ЮА]]*Таблица2[[#This Row],[Курс ЮА]]</f>
        <v>41065.562200000008</v>
      </c>
      <c r="N809" s="24">
        <f>Таблица2[[#This Row],[Сумма ЮА]]*Таблица2[[#This Row],[Курс ЮА]]/Таблица2[[#This Row],[% за перевод]]</f>
        <v>42335.63113402063</v>
      </c>
      <c r="O80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0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1270.0689340206227</v>
      </c>
      <c r="Q809" s="30">
        <v>42335.63</v>
      </c>
      <c r="R809" s="12">
        <f>Таблица2[[#This Row],[Сумма в руб]]-Таблица2[[#This Row],[Оплата от клиента]]</f>
        <v>1.1340206328895874E-3</v>
      </c>
      <c r="S809" s="32">
        <v>44908</v>
      </c>
      <c r="T809" s="32" t="s">
        <v>107</v>
      </c>
      <c r="U809" s="24" t="s">
        <v>31</v>
      </c>
      <c r="V809" s="2">
        <v>9.1655999999999995</v>
      </c>
      <c r="W809" s="28"/>
      <c r="X809" s="9"/>
      <c r="Y809" s="16">
        <v>4449.1400000000003</v>
      </c>
      <c r="Z809" s="10">
        <v>44908</v>
      </c>
      <c r="AA809" s="26">
        <f>Таблица2[[#This Row],[Сумма перевода Долл/Евро]]*Таблица2[[#This Row],[Курс ДОЛЛ перевод]]+Таблица2[[#This Row],[Сумма за перевод руб]]</f>
        <v>1270.0689340206227</v>
      </c>
      <c r="AB80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09" s="9" t="s">
        <v>1101</v>
      </c>
      <c r="AD809" s="41"/>
    </row>
    <row r="810" spans="1:30" x14ac:dyDescent="0.25">
      <c r="A810" s="6">
        <v>44907</v>
      </c>
      <c r="B810" s="38" t="s">
        <v>952</v>
      </c>
      <c r="C810" s="38" t="s">
        <v>953</v>
      </c>
      <c r="D810" s="1"/>
      <c r="E810" s="1"/>
      <c r="F810" s="3">
        <v>15785</v>
      </c>
      <c r="G810" s="5"/>
      <c r="H810" s="2">
        <v>9.23</v>
      </c>
      <c r="I810" s="2"/>
      <c r="J810" s="2">
        <v>0.97</v>
      </c>
      <c r="K810" s="2"/>
      <c r="L810" s="2"/>
      <c r="M810" s="26">
        <f>Таблица2[[#This Row],[Сумма ЮА]]*Таблица2[[#This Row],[Курс ЮА]]</f>
        <v>145695.55000000002</v>
      </c>
      <c r="N810" s="24">
        <f>Таблица2[[#This Row],[Сумма ЮА]]*Таблица2[[#This Row],[Курс ЮА]]/Таблица2[[#This Row],[% за перевод]]</f>
        <v>150201.59793814435</v>
      </c>
      <c r="O81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4506.0479381443292</v>
      </c>
      <c r="Q810" s="30">
        <v>150201.60000000001</v>
      </c>
      <c r="R810" s="12">
        <f>Таблица2[[#This Row],[Сумма в руб]]-Таблица2[[#This Row],[Оплата от клиента]]</f>
        <v>-2.0618556591216475E-3</v>
      </c>
      <c r="S810" s="32">
        <v>44908</v>
      </c>
      <c r="T810" s="32" t="s">
        <v>107</v>
      </c>
      <c r="U810" s="24" t="s">
        <v>31</v>
      </c>
      <c r="V810" s="2">
        <v>9.2317</v>
      </c>
      <c r="W810" s="28"/>
      <c r="X810" s="9"/>
      <c r="Y810" s="16">
        <v>15785</v>
      </c>
      <c r="Z810" s="10">
        <v>44910</v>
      </c>
      <c r="AA810" s="26">
        <f>Таблица2[[#This Row],[Сумма перевода Долл/Евро]]*Таблица2[[#This Row],[Курс ДОЛЛ перевод]]+Таблица2[[#This Row],[Сумма за перевод руб]]</f>
        <v>4506.0479381443292</v>
      </c>
      <c r="AB81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10" s="9"/>
      <c r="AD810" s="41"/>
    </row>
    <row r="811" spans="1:30" ht="30" x14ac:dyDescent="0.25">
      <c r="A811" s="6">
        <v>44907</v>
      </c>
      <c r="B811" s="2" t="s">
        <v>298</v>
      </c>
      <c r="C811" s="2" t="s">
        <v>56</v>
      </c>
      <c r="D811" s="1" t="s">
        <v>1036</v>
      </c>
      <c r="E811" s="1"/>
      <c r="F811" s="3"/>
      <c r="G811" s="5">
        <v>1776</v>
      </c>
      <c r="H811" s="2"/>
      <c r="I811" s="2">
        <v>63.95</v>
      </c>
      <c r="J811" s="2"/>
      <c r="K811" s="2">
        <v>80</v>
      </c>
      <c r="L811" s="2"/>
      <c r="M811" s="26">
        <f>Таблица2[[#This Row],[Сумма Долл]]*Таблица2[[#This Row],[Курс ДОЛЛ]]</f>
        <v>113575.20000000001</v>
      </c>
      <c r="N81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118691.20000000001</v>
      </c>
      <c r="O81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1771.0841682585476</v>
      </c>
      <c r="P81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5130.2</v>
      </c>
      <c r="Q811" s="30">
        <v>118691.2</v>
      </c>
      <c r="R811" s="12">
        <f>Таблица2[[#This Row],[Сумма в руб]]-Таблица2[[#This Row],[Оплата от клиента]]</f>
        <v>0</v>
      </c>
      <c r="S811" s="32">
        <v>44908</v>
      </c>
      <c r="T811" s="32" t="s">
        <v>130</v>
      </c>
      <c r="U811" s="24" t="s">
        <v>31</v>
      </c>
      <c r="V811" s="2"/>
      <c r="W811" s="28">
        <v>64.127499999999998</v>
      </c>
      <c r="X811" s="9">
        <v>1776</v>
      </c>
      <c r="Y811" s="16"/>
      <c r="Z811" s="10">
        <v>44908</v>
      </c>
      <c r="AA811" s="26">
        <f>Таблица2[[#This Row],[Сумма перевода Долл/Евро]]*Таблица2[[#This Row],[Курс ДОЛЛ перевод]]+Таблица2[[#This Row],[Сумма за перевод руб]]</f>
        <v>119020.64</v>
      </c>
      <c r="AB81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-4.9158317414523935</v>
      </c>
      <c r="AC811" s="9" t="s">
        <v>1142</v>
      </c>
      <c r="AD811" s="41"/>
    </row>
    <row r="812" spans="1:30" x14ac:dyDescent="0.25">
      <c r="A812" s="6">
        <v>44909</v>
      </c>
      <c r="B812" s="38" t="s">
        <v>773</v>
      </c>
      <c r="C812" s="38" t="s">
        <v>774</v>
      </c>
      <c r="D812" s="1"/>
      <c r="E812" s="1"/>
      <c r="F812" s="3">
        <v>30325</v>
      </c>
      <c r="G812" s="5"/>
      <c r="H812" s="2">
        <v>9.2799999999999994</v>
      </c>
      <c r="I812" s="2"/>
      <c r="J812" s="2">
        <v>0.97</v>
      </c>
      <c r="K812" s="2"/>
      <c r="L812" s="2"/>
      <c r="M812" s="26">
        <f>Таблица2[[#This Row],[Сумма ЮА]]*Таблица2[[#This Row],[Курс ЮА]]</f>
        <v>281416</v>
      </c>
      <c r="N812" s="24">
        <f>Таблица2[[#This Row],[Сумма ЮА]]*Таблица2[[#This Row],[Курс ЮА]]/Таблица2[[#This Row],[% за перевод]]</f>
        <v>290119.58762886596</v>
      </c>
      <c r="O81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8703.5876288659638</v>
      </c>
      <c r="Q812" s="30">
        <v>290119.59000000003</v>
      </c>
      <c r="R812" s="12">
        <f>Таблица2[[#This Row],[Сумма в руб]]-Таблица2[[#This Row],[Оплата от клиента]]</f>
        <v>-2.3711340618319809E-3</v>
      </c>
      <c r="S812" s="32">
        <v>44909</v>
      </c>
      <c r="T812" s="32" t="s">
        <v>107</v>
      </c>
      <c r="U812" s="24" t="s">
        <v>31</v>
      </c>
      <c r="V812" s="2">
        <v>9.2317</v>
      </c>
      <c r="W812" s="28"/>
      <c r="X812" s="9"/>
      <c r="Y812" s="16">
        <v>30325</v>
      </c>
      <c r="Z812" s="10">
        <v>44910</v>
      </c>
      <c r="AA812" s="26">
        <f>Таблица2[[#This Row],[Сумма перевода Долл/Евро]]*Таблица2[[#This Row],[Курс ДОЛЛ перевод]]+Таблица2[[#This Row],[Сумма за перевод руб]]</f>
        <v>8703.5876288659638</v>
      </c>
      <c r="AB81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12" s="9"/>
      <c r="AD812" s="41"/>
    </row>
    <row r="813" spans="1:30" ht="30" x14ac:dyDescent="0.25">
      <c r="A813" s="6">
        <v>44909</v>
      </c>
      <c r="B813" s="38" t="s">
        <v>266</v>
      </c>
      <c r="C813" s="38" t="s">
        <v>267</v>
      </c>
      <c r="D813" s="1" t="s">
        <v>1037</v>
      </c>
      <c r="E813" s="1"/>
      <c r="F813" s="3">
        <v>5093.5</v>
      </c>
      <c r="G813" s="5"/>
      <c r="H813" s="2">
        <v>9.2799999999999994</v>
      </c>
      <c r="I813" s="2">
        <v>64.2</v>
      </c>
      <c r="J813" s="2"/>
      <c r="K813" s="2">
        <v>80</v>
      </c>
      <c r="L813" s="2"/>
      <c r="M813" s="26">
        <f>Таблица2[[#This Row],[Сумма ЮА]]*Таблица2[[#This Row],[Курс ЮА]]</f>
        <v>47267.68</v>
      </c>
      <c r="N813" s="24">
        <f>Таблица2[[#This Row],[Сумма ЮА]]*Таблица2[[#This Row],[Курс ЮА]]+Таблица2[[#This Row],[Долл за перевод]]*Таблица2[[#This Row],[Курс ДОЛЛ]]</f>
        <v>52403.68</v>
      </c>
      <c r="O81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736.25669781931458</v>
      </c>
      <c r="P813" s="12">
        <f>Таблица2[[#This Row],[Долл за перевод]]*Таблица2[[#This Row],[Курс ДОЛЛ]]</f>
        <v>5136</v>
      </c>
      <c r="Q813" s="30">
        <v>52403.68</v>
      </c>
      <c r="R813" s="12">
        <f>Таблица2[[#This Row],[Сумма в руб]]-Таблица2[[#This Row],[Оплата от клиента]]</f>
        <v>0</v>
      </c>
      <c r="S813" s="32">
        <v>44909</v>
      </c>
      <c r="T813" s="32" t="s">
        <v>107</v>
      </c>
      <c r="U813" s="24" t="s">
        <v>31</v>
      </c>
      <c r="V813" s="2">
        <v>9.3673999999999999</v>
      </c>
      <c r="W813" s="28"/>
      <c r="X813" s="9"/>
      <c r="Y813" s="16">
        <v>5093.5</v>
      </c>
      <c r="Z813" s="10">
        <v>44910</v>
      </c>
      <c r="AA813" s="26">
        <f>Таблица2[[#This Row],[Сумма перевода Долл/Евро]]*Таблица2[[#This Row],[Курс ДОЛЛ перевод]]+Таблица2[[#This Row],[Сумма за перевод руб]]</f>
        <v>5136</v>
      </c>
      <c r="AB81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192.50923320800302</v>
      </c>
      <c r="AC813" s="9" t="s">
        <v>1100</v>
      </c>
      <c r="AD813" s="41"/>
    </row>
    <row r="814" spans="1:30" ht="30" x14ac:dyDescent="0.25">
      <c r="A814" s="6">
        <v>44909</v>
      </c>
      <c r="B814" s="28" t="s">
        <v>938</v>
      </c>
      <c r="C814" s="28" t="s">
        <v>939</v>
      </c>
      <c r="D814" s="1" t="s">
        <v>951</v>
      </c>
      <c r="E814" s="1"/>
      <c r="F814" s="3"/>
      <c r="G814" s="5">
        <v>11612</v>
      </c>
      <c r="H814" s="2"/>
      <c r="I814" s="2">
        <v>68.25</v>
      </c>
      <c r="J814" s="2"/>
      <c r="K814" s="2"/>
      <c r="L814" s="2"/>
      <c r="M814" s="26">
        <f>Таблица2[[#This Row],[Сумма Долл]]*Таблица2[[#This Row],[Курс ДОЛЛ]]</f>
        <v>792519</v>
      </c>
      <c r="N81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792519</v>
      </c>
      <c r="O81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11373.351262375845</v>
      </c>
      <c r="P81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814" s="30">
        <v>792519</v>
      </c>
      <c r="R814" s="12">
        <f>Таблица2[[#This Row],[Сумма в руб]]-Таблица2[[#This Row],[Оплата от клиента]]</f>
        <v>0</v>
      </c>
      <c r="S814" s="32">
        <v>44909</v>
      </c>
      <c r="T814" s="32" t="s">
        <v>277</v>
      </c>
      <c r="U814" s="24" t="s">
        <v>31</v>
      </c>
      <c r="V814" s="2"/>
      <c r="W814" s="28">
        <v>69.682100000000005</v>
      </c>
      <c r="X814" s="9">
        <v>11031.25</v>
      </c>
      <c r="Y814" s="16"/>
      <c r="Z814" s="10">
        <v>44910</v>
      </c>
      <c r="AA814" s="26">
        <f>Таблица2[[#This Row],[Сумма перевода Долл/Евро]]*Таблица2[[#This Row],[Курс ДОЛЛ перевод]]+Таблица2[[#This Row],[Сумма за перевод руб]]</f>
        <v>768680.66562500002</v>
      </c>
      <c r="AB81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342.10126237584518</v>
      </c>
      <c r="AC814" s="9" t="s">
        <v>1085</v>
      </c>
      <c r="AD814" s="41"/>
    </row>
    <row r="815" spans="1:30" ht="60" x14ac:dyDescent="0.25">
      <c r="A815" s="6">
        <v>44909</v>
      </c>
      <c r="B815" s="38" t="s">
        <v>139</v>
      </c>
      <c r="C815" s="38" t="s">
        <v>140</v>
      </c>
      <c r="D815" s="1" t="s">
        <v>1038</v>
      </c>
      <c r="E815" s="1"/>
      <c r="F815" s="3">
        <v>4560</v>
      </c>
      <c r="G815" s="5"/>
      <c r="H815" s="2">
        <v>9.31</v>
      </c>
      <c r="I815" s="2"/>
      <c r="J815" s="2">
        <v>0.93</v>
      </c>
      <c r="K815" s="2"/>
      <c r="L815" s="2"/>
      <c r="M815" s="26">
        <f>Таблица2[[#This Row],[Сумма ЮА]]*Таблица2[[#This Row],[Курс ЮА]]</f>
        <v>42453.600000000006</v>
      </c>
      <c r="N815" s="24">
        <f>Таблица2[[#This Row],[Сумма ЮА]]*Таблица2[[#This Row],[Курс ЮА]]/Таблица2[[#This Row],[% за перевод]]</f>
        <v>45649.032258064522</v>
      </c>
      <c r="O81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625.96171709814314</v>
      </c>
      <c r="P81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3195.4322580645166</v>
      </c>
      <c r="Q815" s="30">
        <v>45649.03</v>
      </c>
      <c r="R815" s="12">
        <f>Таблица2[[#This Row],[Сумма в руб]]-Таблица2[[#This Row],[Оплата от клиента]]</f>
        <v>2.2580645236303098E-3</v>
      </c>
      <c r="S815" s="32">
        <v>44909</v>
      </c>
      <c r="T815" s="32" t="s">
        <v>720</v>
      </c>
      <c r="U815" s="24" t="s">
        <v>375</v>
      </c>
      <c r="V815" s="2"/>
      <c r="W815" s="28">
        <v>67.821399999999997</v>
      </c>
      <c r="X815" s="9">
        <v>652.04</v>
      </c>
      <c r="Y815" s="16"/>
      <c r="Z815" s="2"/>
      <c r="AA815" s="26">
        <f>Таблица2[[#This Row],[Сумма перевода Долл/Евро]]*Таблица2[[#This Row],[Курс ДОЛЛ перевод]]+Таблица2[[#This Row],[Сумма за перевод руб]]</f>
        <v>47417.697914064513</v>
      </c>
      <c r="AB81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-26.078282901856824</v>
      </c>
      <c r="AC815" s="9" t="s">
        <v>1079</v>
      </c>
      <c r="AD815" s="41"/>
    </row>
    <row r="816" spans="1:30" ht="30" x14ac:dyDescent="0.25">
      <c r="A816" s="6">
        <v>44910</v>
      </c>
      <c r="B816" s="28" t="s">
        <v>783</v>
      </c>
      <c r="C816" s="28" t="s">
        <v>784</v>
      </c>
      <c r="D816" s="1" t="s">
        <v>1039</v>
      </c>
      <c r="E816" s="1"/>
      <c r="F816" s="3"/>
      <c r="G816" s="5">
        <v>12280</v>
      </c>
      <c r="H816" s="2"/>
      <c r="I816" s="2">
        <v>69.84</v>
      </c>
      <c r="J816" s="2">
        <v>0.99</v>
      </c>
      <c r="K816" s="2"/>
      <c r="L816" s="2"/>
      <c r="M816" s="26">
        <f>Таблица2[[#This Row],[Сумма Долл]]*Таблица2[[#This Row],[Курс ДОЛЛ]]</f>
        <v>857635.20000000007</v>
      </c>
      <c r="N81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866298.18181818188</v>
      </c>
      <c r="O81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12301.100685310714</v>
      </c>
      <c r="P81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8662.9818181818118</v>
      </c>
      <c r="Q816" s="30">
        <v>866298.18</v>
      </c>
      <c r="R816" s="12">
        <f>Таблица2[[#This Row],[Сумма в руб]]-Таблица2[[#This Row],[Оплата от клиента]]</f>
        <v>1.818181830458343E-3</v>
      </c>
      <c r="S816" s="32">
        <v>44910</v>
      </c>
      <c r="T816" s="32" t="s">
        <v>277</v>
      </c>
      <c r="U816" s="24" t="s">
        <v>31</v>
      </c>
      <c r="V816" s="2"/>
      <c r="W816" s="28">
        <v>69.720200000000006</v>
      </c>
      <c r="X816" s="9">
        <v>12280</v>
      </c>
      <c r="Y816" s="16"/>
      <c r="Z816" s="10">
        <v>44911</v>
      </c>
      <c r="AA816" s="26">
        <f>Таблица2[[#This Row],[Сумма перевода Долл/Евро]]*Таблица2[[#This Row],[Курс ДОЛЛ перевод]]+Таблица2[[#This Row],[Сумма за перевод руб]]</f>
        <v>864827.03781818191</v>
      </c>
      <c r="AB81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21.100685310713743</v>
      </c>
      <c r="AC816" s="9"/>
      <c r="AD816" s="41"/>
    </row>
    <row r="817" spans="1:30" ht="30" x14ac:dyDescent="0.25">
      <c r="A817" s="6">
        <v>44910</v>
      </c>
      <c r="B817" s="38" t="s">
        <v>762</v>
      </c>
      <c r="C817" s="38" t="s">
        <v>816</v>
      </c>
      <c r="D817" s="1" t="s">
        <v>1040</v>
      </c>
      <c r="E817" s="1"/>
      <c r="F817" s="3">
        <v>32703</v>
      </c>
      <c r="G817" s="5"/>
      <c r="H817" s="2">
        <v>9.4700000000000006</v>
      </c>
      <c r="I817" s="2">
        <v>65.099999999999994</v>
      </c>
      <c r="J817" s="2"/>
      <c r="K817" s="2">
        <v>80</v>
      </c>
      <c r="L817" s="2"/>
      <c r="M817" s="26">
        <f>Таблица2[[#This Row],[Сумма ЮА]]*Таблица2[[#This Row],[Курс ЮА]]</f>
        <v>309697.41000000003</v>
      </c>
      <c r="N817" s="24">
        <f>Таблица2[[#This Row],[Сумма ЮА]]*Таблица2[[#This Row],[Курс ЮА]]+Таблица2[[#This Row],[Долл за перевод]]*Таблица2[[#This Row],[Курс ДОЛЛ]]</f>
        <v>314905.41000000003</v>
      </c>
      <c r="O81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4757.2566820276506</v>
      </c>
      <c r="P817" s="12">
        <f>Таблица2[[#This Row],[Долл за перевод]]*Таблица2[[#This Row],[Курс ДОЛЛ]]</f>
        <v>5208</v>
      </c>
      <c r="Q817" s="30">
        <v>314905.40999999997</v>
      </c>
      <c r="R817" s="12">
        <f>Таблица2[[#This Row],[Сумма в руб]]-Таблица2[[#This Row],[Оплата от клиента]]</f>
        <v>0</v>
      </c>
      <c r="S817" s="32">
        <v>44911</v>
      </c>
      <c r="T817" s="32" t="s">
        <v>107</v>
      </c>
      <c r="U817" s="24" t="s">
        <v>31</v>
      </c>
      <c r="V817" s="2">
        <v>9.3744999999999994</v>
      </c>
      <c r="W817" s="28"/>
      <c r="X817" s="9"/>
      <c r="Y817" s="16">
        <v>32703</v>
      </c>
      <c r="Z817" s="10">
        <v>44911</v>
      </c>
      <c r="AA817" s="26">
        <f>Таблица2[[#This Row],[Сумма перевода Долл/Евро]]*Таблица2[[#This Row],[Курс ДОЛЛ перевод]]+Таблица2[[#This Row],[Сумма за перевод руб]]</f>
        <v>5208</v>
      </c>
      <c r="AB81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1268.7506283714556</v>
      </c>
      <c r="AC817" s="9" t="s">
        <v>1087</v>
      </c>
      <c r="AD817" s="41"/>
    </row>
    <row r="818" spans="1:30" ht="30" x14ac:dyDescent="0.25">
      <c r="A818" s="6">
        <v>44910</v>
      </c>
      <c r="B818" s="38" t="s">
        <v>1041</v>
      </c>
      <c r="C818" s="38" t="s">
        <v>105</v>
      </c>
      <c r="D818" s="1" t="s">
        <v>826</v>
      </c>
      <c r="E818" s="1"/>
      <c r="F818" s="3">
        <v>21940</v>
      </c>
      <c r="G818" s="5"/>
      <c r="H818" s="2">
        <v>9.4700000000000006</v>
      </c>
      <c r="I818" s="2"/>
      <c r="J818" s="2">
        <v>0.9</v>
      </c>
      <c r="K818" s="2"/>
      <c r="L818" s="2"/>
      <c r="M818" s="26">
        <f>Таблица2[[#This Row],[Сумма ЮА]]*Таблица2[[#This Row],[Курс ЮА]]</f>
        <v>207771.80000000002</v>
      </c>
      <c r="N818" s="24">
        <f>Таблица2[[#This Row],[Сумма ЮА]]*Таблица2[[#This Row],[Курс ЮА]]/Таблица2[[#This Row],[% за перевод]]</f>
        <v>230857.55555555556</v>
      </c>
      <c r="O81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3095.2046121530834</v>
      </c>
      <c r="P81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23085.755555555545</v>
      </c>
      <c r="Q818" s="30">
        <f>212979.8+17877.76</f>
        <v>230857.56</v>
      </c>
      <c r="R818" s="12">
        <f>Таблица2[[#This Row],[Сумма в руб]]-Таблица2[[#This Row],[Оплата от клиента]]</f>
        <v>-4.4444444356486201E-3</v>
      </c>
      <c r="S818" s="32">
        <v>44911</v>
      </c>
      <c r="T818" s="32" t="s">
        <v>720</v>
      </c>
      <c r="U818" s="24" t="s">
        <v>375</v>
      </c>
      <c r="V818" s="2"/>
      <c r="W818" s="28">
        <v>67.126999999999995</v>
      </c>
      <c r="X818" s="9">
        <v>3063.98</v>
      </c>
      <c r="Y818" s="16">
        <v>21940</v>
      </c>
      <c r="Z818" s="10"/>
      <c r="AA818" s="26">
        <f>Таблица2[[#This Row],[Сумма перевода Долл/Евро]]*Таблица2[[#This Row],[Курс ДОЛЛ перевод]]+Таблица2[[#This Row],[Сумма за перевод руб]]</f>
        <v>228761.54101555553</v>
      </c>
      <c r="AB81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18" s="9" t="s">
        <v>1138</v>
      </c>
      <c r="AD818" s="41" t="s">
        <v>1052</v>
      </c>
    </row>
    <row r="819" spans="1:30" ht="30" x14ac:dyDescent="0.25">
      <c r="A819" s="6">
        <v>44910</v>
      </c>
      <c r="B819" s="38" t="s">
        <v>1041</v>
      </c>
      <c r="C819" s="38" t="s">
        <v>105</v>
      </c>
      <c r="D819" s="1" t="s">
        <v>826</v>
      </c>
      <c r="E819" s="1"/>
      <c r="F819" s="3">
        <v>66450</v>
      </c>
      <c r="G819" s="5"/>
      <c r="H819" s="2">
        <v>9.4700000000000006</v>
      </c>
      <c r="I819" s="2"/>
      <c r="J819" s="2">
        <v>0.9</v>
      </c>
      <c r="K819" s="2"/>
      <c r="L819" s="2"/>
      <c r="M819" s="26">
        <f>Таблица2[[#This Row],[Сумма ЮА]]*Таблица2[[#This Row],[Курс ЮА]]</f>
        <v>629281.5</v>
      </c>
      <c r="N819" s="24">
        <f>Таблица2[[#This Row],[Сумма ЮА]]*Таблица2[[#This Row],[Курс ЮА]]/Таблица2[[#This Row],[% за перевод]]</f>
        <v>699201.66666666663</v>
      </c>
      <c r="O81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9609.5518057570443</v>
      </c>
      <c r="P8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69920.166666666628</v>
      </c>
      <c r="Q819" s="30">
        <v>699201.67</v>
      </c>
      <c r="R819" s="12">
        <f>Таблица2[[#This Row],[Сумма в руб]]-Таблица2[[#This Row],[Оплата от клиента]]</f>
        <v>-3.3333334140479565E-3</v>
      </c>
      <c r="S819" s="32">
        <v>44911</v>
      </c>
      <c r="T819" s="32" t="s">
        <v>720</v>
      </c>
      <c r="U819" s="24" t="s">
        <v>375</v>
      </c>
      <c r="V819" s="2"/>
      <c r="W819" s="28">
        <v>65.484999999999999</v>
      </c>
      <c r="X819" s="9">
        <v>10009.94</v>
      </c>
      <c r="Y819" s="16"/>
      <c r="Z819" s="2"/>
      <c r="AA819" s="26">
        <f>Таблица2[[#This Row],[Сумма перевода Долл/Евро]]*Таблица2[[#This Row],[Курс ДОЛЛ перевод]]+Таблица2[[#This Row],[Сумма за перевод руб]]</f>
        <v>725421.08756666665</v>
      </c>
      <c r="AB81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-400.38819424295616</v>
      </c>
      <c r="AC819" s="9"/>
      <c r="AD819" s="41"/>
    </row>
    <row r="820" spans="1:30" x14ac:dyDescent="0.25">
      <c r="A820" s="6">
        <v>44914</v>
      </c>
      <c r="B820" s="38" t="s">
        <v>847</v>
      </c>
      <c r="C820" s="38" t="s">
        <v>848</v>
      </c>
      <c r="D820" s="1" t="s">
        <v>849</v>
      </c>
      <c r="E820" s="1"/>
      <c r="F820" s="3">
        <v>576100</v>
      </c>
      <c r="G820" s="5"/>
      <c r="H820" s="2">
        <v>10.040100000000001</v>
      </c>
      <c r="I820" s="2"/>
      <c r="J820" s="2">
        <v>0.995</v>
      </c>
      <c r="K820" s="2"/>
      <c r="L820" s="2"/>
      <c r="M820" s="26">
        <f>Таблица2[[#This Row],[Сумма ЮА]]*Таблица2[[#This Row],[Курс ЮА]]</f>
        <v>5784101.6100000003</v>
      </c>
      <c r="N820" s="24">
        <f>Таблица2[[#This Row],[Сумма ЮА]]*Таблица2[[#This Row],[Курс ЮА]]/Таблица2[[#This Row],[% за перевод]]</f>
        <v>5813167.4472361812</v>
      </c>
      <c r="O82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29065.837236180902</v>
      </c>
      <c r="Q820" s="30">
        <f>5622041.21+191126.24</f>
        <v>5813167.4500000002</v>
      </c>
      <c r="R820" s="12">
        <f>Таблица2[[#This Row],[Сумма в руб]]-Таблица2[[#This Row],[Оплата от клиента]]</f>
        <v>-2.7638189494609833E-3</v>
      </c>
      <c r="S820" s="32">
        <v>44914</v>
      </c>
      <c r="T820" s="32" t="s">
        <v>107</v>
      </c>
      <c r="U820" s="24" t="s">
        <v>31</v>
      </c>
      <c r="V820" s="2">
        <v>10.040100000000001</v>
      </c>
      <c r="W820" s="28"/>
      <c r="X820" s="9"/>
      <c r="Y820" s="16">
        <v>576100</v>
      </c>
      <c r="Z820" s="10">
        <v>44915</v>
      </c>
      <c r="AA820" s="26">
        <f>Таблица2[[#This Row],[Сумма перевода Долл/Евро]]*Таблица2[[#This Row],[Курс ДОЛЛ перевод]]+Таблица2[[#This Row],[Сумма за перевод руб]]</f>
        <v>29065.837236180902</v>
      </c>
      <c r="AB82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20" s="9"/>
      <c r="AD820" s="41"/>
    </row>
    <row r="821" spans="1:30" ht="90" x14ac:dyDescent="0.25">
      <c r="A821" s="6">
        <v>44914</v>
      </c>
      <c r="B821" s="38" t="s">
        <v>298</v>
      </c>
      <c r="C821" s="38" t="s">
        <v>56</v>
      </c>
      <c r="D821" s="1" t="s">
        <v>1043</v>
      </c>
      <c r="E821" s="1"/>
      <c r="F821" s="3">
        <v>395338.5</v>
      </c>
      <c r="G821" s="5"/>
      <c r="H821" s="2">
        <v>10.4329</v>
      </c>
      <c r="I821" s="2"/>
      <c r="J821" s="2">
        <v>0.97</v>
      </c>
      <c r="K821" s="2"/>
      <c r="L821" s="2"/>
      <c r="M821" s="26">
        <f>Таблица2[[#This Row],[Сумма ЮА]]*Таблица2[[#This Row],[Курс ЮА]]+3581227.7</f>
        <v>7705754.7366500003</v>
      </c>
      <c r="N821" s="24">
        <f>Таблица2[[#This Row],[Сумма ЮА]]*Таблица2[[#This Row],[Курс ЮА]]/Таблица2[[#This Row],[% за перевод]]+3581227.7</f>
        <v>7833317.4285051553</v>
      </c>
      <c r="O82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127562.69185515493</v>
      </c>
      <c r="Q821" s="30">
        <f>4067503.34+184586.4</f>
        <v>4252089.74</v>
      </c>
      <c r="R821" s="12">
        <f>Таблица2[[#This Row],[Сумма в руб]]-Таблица2[[#This Row],[Оплата от клиента]]</f>
        <v>3581227.688505155</v>
      </c>
      <c r="S821" s="32">
        <v>44916</v>
      </c>
      <c r="T821" s="32" t="s">
        <v>107</v>
      </c>
      <c r="U821" s="24" t="s">
        <v>31</v>
      </c>
      <c r="V821" s="2">
        <v>10.4329</v>
      </c>
      <c r="W821" s="28"/>
      <c r="X821" s="9"/>
      <c r="Y821" s="16">
        <v>395338.5</v>
      </c>
      <c r="Z821" s="10">
        <v>44917</v>
      </c>
      <c r="AA821" s="26">
        <f>Таблица2[[#This Row],[Сумма перевода Долл/Евро]]*Таблица2[[#This Row],[Курс ДОЛЛ перевод]]+Таблица2[[#This Row],[Сумма за перевод руб]]</f>
        <v>127562.69185515493</v>
      </c>
      <c r="AB82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21" s="9" t="s">
        <v>1101</v>
      </c>
      <c r="AD821" s="41"/>
    </row>
    <row r="822" spans="1:30" ht="30" x14ac:dyDescent="0.25">
      <c r="A822" s="6">
        <v>44914</v>
      </c>
      <c r="B822" s="29" t="s">
        <v>1044</v>
      </c>
      <c r="C822" s="29" t="s">
        <v>1045</v>
      </c>
      <c r="D822" s="1" t="s">
        <v>1046</v>
      </c>
      <c r="E822" s="1"/>
      <c r="F822" s="3">
        <v>6000</v>
      </c>
      <c r="G822" s="5"/>
      <c r="H822" s="2">
        <v>9.98</v>
      </c>
      <c r="I822" s="2"/>
      <c r="J822" s="2"/>
      <c r="K822" s="2"/>
      <c r="L822" s="2"/>
      <c r="M822" s="26">
        <f>Таблица2[[#This Row],[Сумма ЮА]]*Таблица2[[#This Row],[Курс ЮА]]</f>
        <v>59880</v>
      </c>
      <c r="N822" s="24" t="e">
        <f>Таблица2[[#This Row],[Сумма ЮА]]*Таблица2[[#This Row],[Курс ЮА]]/Таблица2[[#This Row],[% за перевод]]</f>
        <v>#DIV/0!</v>
      </c>
      <c r="O82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822" s="30"/>
      <c r="R822" s="12" t="e">
        <f>Таблица2[[#This Row],[Сумма в руб]]-Таблица2[[#This Row],[Оплата от клиента]]</f>
        <v>#DIV/0!</v>
      </c>
      <c r="S822" s="32"/>
      <c r="T822" s="32" t="s">
        <v>720</v>
      </c>
      <c r="U822" s="24" t="s">
        <v>947</v>
      </c>
      <c r="V822" s="2"/>
      <c r="W822" s="28"/>
      <c r="X822" s="9"/>
      <c r="Y822" s="16"/>
      <c r="Z822" s="2"/>
      <c r="AA822" s="26">
        <f>Таблица2[[#This Row],[Сумма перевода Долл/Евро]]*Таблица2[[#This Row],[Курс ДОЛЛ перевод]]+Таблица2[[#This Row],[Сумма за перевод руб]]</f>
        <v>0</v>
      </c>
      <c r="AB82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22" s="9"/>
      <c r="AD822" s="41"/>
    </row>
    <row r="823" spans="1:30" ht="30" x14ac:dyDescent="0.25">
      <c r="A823" s="6">
        <v>44915</v>
      </c>
      <c r="B823" s="2" t="s">
        <v>1047</v>
      </c>
      <c r="C823" s="2" t="s">
        <v>1048</v>
      </c>
      <c r="D823" s="1" t="s">
        <v>1049</v>
      </c>
      <c r="E823" s="1"/>
      <c r="F823" s="3"/>
      <c r="G823" s="5">
        <v>3060</v>
      </c>
      <c r="H823" s="2"/>
      <c r="I823" s="2">
        <v>70.09</v>
      </c>
      <c r="J823" s="2">
        <v>0.95</v>
      </c>
      <c r="K823" s="2"/>
      <c r="L823" s="2"/>
      <c r="M823" s="26">
        <f>Таблица2[[#This Row],[Сумма Долл]]*Таблица2[[#This Row],[Курс ДОЛЛ]]</f>
        <v>214475.40000000002</v>
      </c>
      <c r="N82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225763.57894736846</v>
      </c>
      <c r="O82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2993.1254884447917</v>
      </c>
      <c r="P8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11288.178947368433</v>
      </c>
      <c r="Q823" s="30">
        <v>225763.58</v>
      </c>
      <c r="R823" s="12">
        <f>Таблица2[[#This Row],[Сумма в руб]]-Таблица2[[#This Row],[Оплата от клиента]]</f>
        <v>-1.0526315309107304E-3</v>
      </c>
      <c r="S823" s="32">
        <v>44916</v>
      </c>
      <c r="T823" s="32" t="s">
        <v>164</v>
      </c>
      <c r="U823" s="24" t="s">
        <v>31</v>
      </c>
      <c r="V823" s="2"/>
      <c r="W823" s="28">
        <v>71.656000000000006</v>
      </c>
      <c r="X823" s="9">
        <v>3154.63</v>
      </c>
      <c r="Y823" s="16"/>
      <c r="Z823" s="10">
        <v>44917</v>
      </c>
      <c r="AA823" s="26">
        <f>Таблица2[[#This Row],[Сумма перевода Долл/Евро]]*Таблица2[[#This Row],[Курс ДОЛЛ перевод]]+Таблица2[[#This Row],[Сумма за перевод руб]]</f>
        <v>237336.34622736846</v>
      </c>
      <c r="AB82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-161.50451155520841</v>
      </c>
      <c r="AC823" s="9"/>
      <c r="AD823" s="41"/>
    </row>
    <row r="824" spans="1:30" ht="30" x14ac:dyDescent="0.25">
      <c r="A824" s="6">
        <v>44915</v>
      </c>
      <c r="B824" s="38" t="s">
        <v>158</v>
      </c>
      <c r="C824" s="38" t="s">
        <v>322</v>
      </c>
      <c r="D824" s="1" t="s">
        <v>1049</v>
      </c>
      <c r="E824" s="1"/>
      <c r="F824" s="3">
        <v>8835.6</v>
      </c>
      <c r="G824" s="5"/>
      <c r="H824" s="2">
        <v>10.08</v>
      </c>
      <c r="I824" s="2"/>
      <c r="J824" s="2">
        <v>0.9</v>
      </c>
      <c r="K824" s="2"/>
      <c r="L824" s="2"/>
      <c r="M824" s="26">
        <f>Таблица2[[#This Row],[Сумма ЮА]]*Таблица2[[#This Row],[Курс ЮА]]</f>
        <v>89062.847999999998</v>
      </c>
      <c r="N824" s="24">
        <f>Таблица2[[#This Row],[Сумма ЮА]]*Таблица2[[#This Row],[Курс ЮА]]/Таблица2[[#This Row],[% за перевод]]</f>
        <v>98958.720000000001</v>
      </c>
      <c r="O82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1277.4801197975833</v>
      </c>
      <c r="P82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9895.872000000003</v>
      </c>
      <c r="Q824" s="30">
        <v>98958.720000000001</v>
      </c>
      <c r="R824" s="12">
        <f>Таблица2[[#This Row],[Сумма в руб]]-Таблица2[[#This Row],[Оплата от клиента]]</f>
        <v>0</v>
      </c>
      <c r="S824" s="32">
        <v>44918</v>
      </c>
      <c r="T824" s="32" t="s">
        <v>730</v>
      </c>
      <c r="U824" s="24" t="s">
        <v>375</v>
      </c>
      <c r="V824" s="2"/>
      <c r="W824" s="28">
        <v>69.717600000000004</v>
      </c>
      <c r="X824" s="9">
        <v>1330.71</v>
      </c>
      <c r="Y824" s="16"/>
      <c r="Z824" s="2"/>
      <c r="AA824" s="26">
        <f>Таблица2[[#This Row],[Сумма перевода Долл/Евро]]*Таблица2[[#This Row],[Курс ДОЛЛ перевод]]+Таблица2[[#This Row],[Сумма за перевод руб]]</f>
        <v>102669.77949600002</v>
      </c>
      <c r="AB82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-53.22988020241678</v>
      </c>
      <c r="AC824" s="9" t="s">
        <v>1077</v>
      </c>
      <c r="AD824" s="41"/>
    </row>
    <row r="825" spans="1:30" ht="30" x14ac:dyDescent="0.25">
      <c r="A825" s="6">
        <v>44916</v>
      </c>
      <c r="B825" s="29" t="s">
        <v>1011</v>
      </c>
      <c r="C825" s="29" t="s">
        <v>1012</v>
      </c>
      <c r="D825" s="1" t="s">
        <v>853</v>
      </c>
      <c r="E825" s="1"/>
      <c r="F825" s="3">
        <v>22930</v>
      </c>
      <c r="G825" s="5"/>
      <c r="H825" s="2">
        <v>10.08</v>
      </c>
      <c r="I825" s="2">
        <v>71.760000000000005</v>
      </c>
      <c r="J825" s="2"/>
      <c r="K825" s="2">
        <v>100</v>
      </c>
      <c r="L825" s="2"/>
      <c r="M825" s="26">
        <f>Таблица2[[#This Row],[Сумма ЮА]]*Таблица2[[#This Row],[Курс ЮА]]</f>
        <v>231134.4</v>
      </c>
      <c r="N825" s="24">
        <f>Таблица2[[#This Row],[Сумма ЮА]]*Таблица2[[#This Row],[Курс ЮА]]+Таблица2[[#This Row],[Долл за перевод]]*Таблица2[[#This Row],[Курс ДОЛЛ]]</f>
        <v>238310.39999999999</v>
      </c>
      <c r="O82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3220.9364548494982</v>
      </c>
      <c r="P825" s="12">
        <f>Таблица2[[#This Row],[Долл за перевод]]*Таблица2[[#This Row],[Курс ДОЛЛ]]</f>
        <v>7176.0000000000009</v>
      </c>
      <c r="Q825" s="30"/>
      <c r="R825" s="12">
        <f>Таблица2[[#This Row],[Сумма в руб]]-Таблица2[[#This Row],[Оплата от клиента]]</f>
        <v>238310.39999999999</v>
      </c>
      <c r="S825" s="32"/>
      <c r="T825" s="32" t="s">
        <v>107</v>
      </c>
      <c r="U825" s="24" t="s">
        <v>947</v>
      </c>
      <c r="V825" s="2"/>
      <c r="W825" s="28"/>
      <c r="X825" s="9"/>
      <c r="Y825" s="16"/>
      <c r="Z825" s="2"/>
      <c r="AA825" s="26">
        <f>Таблица2[[#This Row],[Сумма перевода Долл/Евро]]*Таблица2[[#This Row],[Курс ДОЛЛ перевод]]+Таблица2[[#This Row],[Сумма за перевод руб]]</f>
        <v>7176.0000000000009</v>
      </c>
      <c r="AB82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3220.9364548494982</v>
      </c>
      <c r="AC825" s="9"/>
      <c r="AD825" s="41"/>
    </row>
    <row r="826" spans="1:30" ht="30" x14ac:dyDescent="0.25">
      <c r="A826" s="6">
        <v>44916</v>
      </c>
      <c r="B826" s="2" t="s">
        <v>70</v>
      </c>
      <c r="C826" s="2" t="s">
        <v>1050</v>
      </c>
      <c r="D826" s="1" t="s">
        <v>1051</v>
      </c>
      <c r="E826" s="1"/>
      <c r="F826" s="3"/>
      <c r="G826" s="5">
        <v>6757.2</v>
      </c>
      <c r="H826" s="2"/>
      <c r="I826" s="2">
        <v>73.123599999999996</v>
      </c>
      <c r="J826" s="2">
        <v>0.97</v>
      </c>
      <c r="K826" s="2"/>
      <c r="L826" s="2"/>
      <c r="M826" s="26">
        <f>Таблица2[[#This Row],[Сумма Долл]]*Таблица2[[#This Row],[Курс ДОЛЛ]]</f>
        <v>494110.78991999995</v>
      </c>
      <c r="N82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509392.566927835</v>
      </c>
      <c r="O82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6757.2</v>
      </c>
      <c r="P8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15281.777007835044</v>
      </c>
      <c r="Q826" s="30">
        <f>499893.48+9499.09</f>
        <v>509392.57</v>
      </c>
      <c r="R826" s="12">
        <f>Таблица2[[#This Row],[Сумма в руб]]-Таблица2[[#This Row],[Оплата от клиента]]</f>
        <v>-3.0721650109626353E-3</v>
      </c>
      <c r="S826" s="32">
        <v>44917</v>
      </c>
      <c r="T826" s="32" t="s">
        <v>164</v>
      </c>
      <c r="U826" s="24" t="s">
        <v>31</v>
      </c>
      <c r="V826" s="2"/>
      <c r="W826" s="28">
        <v>73.123599999999996</v>
      </c>
      <c r="X826" s="9">
        <v>6757.2</v>
      </c>
      <c r="Y826" s="16"/>
      <c r="Z826" s="10">
        <v>44917</v>
      </c>
      <c r="AA826" s="26">
        <f>Таблица2[[#This Row],[Сумма перевода Долл/Евро]]*Таблица2[[#This Row],[Курс ДОЛЛ перевод]]+Таблица2[[#This Row],[Сумма за перевод руб]]</f>
        <v>509392.566927835</v>
      </c>
      <c r="AB82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826" s="41" t="s">
        <v>1156</v>
      </c>
      <c r="AD826" s="41"/>
    </row>
    <row r="827" spans="1:30" ht="30" x14ac:dyDescent="0.25">
      <c r="A827" s="6">
        <v>44916</v>
      </c>
      <c r="B827" s="38" t="s">
        <v>733</v>
      </c>
      <c r="C827" s="38" t="s">
        <v>734</v>
      </c>
      <c r="D827" s="1" t="s">
        <v>853</v>
      </c>
      <c r="E827" s="1"/>
      <c r="F827" s="3"/>
      <c r="G827" s="5">
        <v>2770</v>
      </c>
      <c r="H827" s="2"/>
      <c r="I827" s="2">
        <v>71.760000000000005</v>
      </c>
      <c r="J827" s="2">
        <v>0.9</v>
      </c>
      <c r="K827" s="2"/>
      <c r="L827" s="2"/>
      <c r="M827" s="26">
        <f>Таблица2[[#This Row],[Сумма Долл]]*Таблица2[[#This Row],[Курс ДОЛЛ]]</f>
        <v>198775.2</v>
      </c>
      <c r="N82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220861.33333333334</v>
      </c>
      <c r="O82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2824.7231056504356</v>
      </c>
      <c r="P8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22086.133333333331</v>
      </c>
      <c r="Q827" s="30">
        <v>220861.33</v>
      </c>
      <c r="R827" s="12">
        <f>Таблица2[[#This Row],[Сумма в руб]]-Таблица2[[#This Row],[Оплата от клиента]]</f>
        <v>3.3333333558402956E-3</v>
      </c>
      <c r="S827" s="32">
        <v>44917</v>
      </c>
      <c r="T827" s="32" t="s">
        <v>720</v>
      </c>
      <c r="U827" s="24" t="s">
        <v>375</v>
      </c>
      <c r="V827" s="2"/>
      <c r="W827" s="28">
        <v>70.369799999999998</v>
      </c>
      <c r="X827" s="9">
        <v>2885.42</v>
      </c>
      <c r="Y827" s="16"/>
      <c r="Z827" s="2"/>
      <c r="AA827" s="26">
        <f>Таблица2[[#This Row],[Сумма перевода Долл/Евро]]*Таблица2[[#This Row],[Курс ДОЛЛ перевод]]+Таблица2[[#This Row],[Сумма за перевод руб]]</f>
        <v>225132.56164933334</v>
      </c>
      <c r="AB82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-60.696894349564445</v>
      </c>
      <c r="AC827" s="9"/>
      <c r="AD827" s="41"/>
    </row>
    <row r="828" spans="1:30" ht="30" x14ac:dyDescent="0.25">
      <c r="A828" s="6">
        <v>44917</v>
      </c>
      <c r="B828" s="38" t="s">
        <v>1041</v>
      </c>
      <c r="C828" s="38" t="s">
        <v>105</v>
      </c>
      <c r="D828" s="1" t="s">
        <v>826</v>
      </c>
      <c r="E828" s="1"/>
      <c r="F828" s="3">
        <v>12400</v>
      </c>
      <c r="G828" s="5"/>
      <c r="H828" s="2">
        <v>10.54</v>
      </c>
      <c r="I828" s="2"/>
      <c r="J828" s="2">
        <v>0.9</v>
      </c>
      <c r="K828" s="2"/>
      <c r="L828" s="2"/>
      <c r="M828" s="26">
        <f>Таблица2[[#This Row],[Сумма ЮА]]*Таблица2[[#This Row],[Курс ЮА]]</f>
        <v>130695.99999999999</v>
      </c>
      <c r="N828" s="24">
        <f>Таблица2[[#This Row],[Сумма ЮА]]*Таблица2[[#This Row],[Курс ЮА]]/Таблица2[[#This Row],[% за перевод]]</f>
        <v>145217.77777777775</v>
      </c>
      <c r="O82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1799.6799858995507</v>
      </c>
      <c r="P8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14521.777777777766</v>
      </c>
      <c r="Q828" s="30">
        <v>145217.78</v>
      </c>
      <c r="R828" s="12">
        <f>Таблица2[[#This Row],[Сумма в руб]]-Таблица2[[#This Row],[Оплата от клиента]]</f>
        <v>-2.2222222469281405E-3</v>
      </c>
      <c r="S828" s="32">
        <v>44917</v>
      </c>
      <c r="T828" s="32" t="s">
        <v>720</v>
      </c>
      <c r="U828" s="24" t="s">
        <v>375</v>
      </c>
      <c r="V828" s="2"/>
      <c r="W828" s="28">
        <v>72.621799999999993</v>
      </c>
      <c r="X828" s="9">
        <v>1874.66</v>
      </c>
      <c r="Y828" s="16"/>
      <c r="Z828" s="2"/>
      <c r="AA828" s="26">
        <f>Таблица2[[#This Row],[Сумма перевода Долл/Евро]]*Таблица2[[#This Row],[Курс ДОЛЛ перевод]]+Таблица2[[#This Row],[Сумма за перевод руб]]</f>
        <v>150662.96136577777</v>
      </c>
      <c r="AB82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-74.980014100449353</v>
      </c>
      <c r="AC828" s="9"/>
      <c r="AD828" s="41"/>
    </row>
    <row r="829" spans="1:30" ht="30" x14ac:dyDescent="0.25">
      <c r="A829" s="6">
        <v>44917</v>
      </c>
      <c r="B829" s="38" t="s">
        <v>72</v>
      </c>
      <c r="C829" s="38" t="s">
        <v>73</v>
      </c>
      <c r="D829" s="1" t="s">
        <v>826</v>
      </c>
      <c r="E829" s="1"/>
      <c r="F829" s="3">
        <v>122000</v>
      </c>
      <c r="G829" s="5"/>
      <c r="H829" s="2">
        <v>10.54</v>
      </c>
      <c r="I829" s="2"/>
      <c r="J829" s="2">
        <v>0.9</v>
      </c>
      <c r="K829" s="2"/>
      <c r="L829" s="2"/>
      <c r="M829" s="26">
        <f>Таблица2[[#This Row],[Сумма ЮА]]*Таблица2[[#This Row],[Курс ЮА]]</f>
        <v>1285880</v>
      </c>
      <c r="N829" s="24">
        <f>Таблица2[[#This Row],[Сумма ЮА]]*Таблица2[[#This Row],[Курс ЮА]]/Таблица2[[#This Row],[% за перевод]]</f>
        <v>1428755.5555555555</v>
      </c>
      <c r="O82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18261.735253976844</v>
      </c>
      <c r="P82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142875.5555555555</v>
      </c>
      <c r="Q829" s="30">
        <v>1428755.56</v>
      </c>
      <c r="R829" s="12">
        <f>Таблица2[[#This Row],[Сумма в руб]]-Таблица2[[#This Row],[Оплата от клиента]]</f>
        <v>-4.444444552063942E-3</v>
      </c>
      <c r="S829" s="32">
        <v>44917</v>
      </c>
      <c r="T829" s="32" t="s">
        <v>720</v>
      </c>
      <c r="U829" s="24" t="s">
        <v>375</v>
      </c>
      <c r="V829" s="2"/>
      <c r="W829" s="28">
        <v>70.413899999999998</v>
      </c>
      <c r="X829" s="9">
        <v>19022.64</v>
      </c>
      <c r="Y829" s="16"/>
      <c r="Z829" s="2"/>
      <c r="AA829" s="26">
        <f>Таблица2[[#This Row],[Сумма перевода Долл/Евро]]*Таблица2[[#This Row],[Курс ДОЛЛ перевод]]+Таблица2[[#This Row],[Сумма за перевод руб]]</f>
        <v>1482333.8262515555</v>
      </c>
      <c r="AB82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-760.90474602315589</v>
      </c>
      <c r="AC829" s="9"/>
      <c r="AD829" s="41"/>
    </row>
    <row r="830" spans="1:30" ht="30" x14ac:dyDescent="0.25">
      <c r="A830" s="6">
        <v>44918</v>
      </c>
      <c r="B830" s="38" t="s">
        <v>158</v>
      </c>
      <c r="C830" s="38" t="s">
        <v>322</v>
      </c>
      <c r="D830" s="1" t="s">
        <v>1049</v>
      </c>
      <c r="E830" s="3">
        <v>8835.6</v>
      </c>
      <c r="F830" s="3">
        <v>30700</v>
      </c>
      <c r="G830" s="5"/>
      <c r="H830" s="2">
        <v>10.08</v>
      </c>
      <c r="I830" s="2"/>
      <c r="J830" s="2">
        <v>0.9</v>
      </c>
      <c r="K830" s="2"/>
      <c r="L830" s="2"/>
      <c r="M830" s="26">
        <f>Таблица2[[#This Row],[Сумма ЮА]]*Таблица2[[#This Row],[Курс ЮА]]</f>
        <v>309456</v>
      </c>
      <c r="N830" s="24">
        <f>Таблица2[[#This Row],[Сумма ЮА]]*Таблица2[[#This Row],[Курс ЮА]]/Таблица2[[#This Row],[% за перевод]]</f>
        <v>343840</v>
      </c>
      <c r="O83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4438.7070122895793</v>
      </c>
      <c r="P83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34384</v>
      </c>
      <c r="Q830" s="30">
        <v>343840</v>
      </c>
      <c r="R830" s="12">
        <f>Таблица2[[#This Row],[Сумма в руб]]-Таблица2[[#This Row],[Оплата от клиента]]</f>
        <v>0</v>
      </c>
      <c r="S830" s="32">
        <v>44918</v>
      </c>
      <c r="T830" s="32" t="s">
        <v>730</v>
      </c>
      <c r="U830" s="24" t="s">
        <v>375</v>
      </c>
      <c r="V830" s="2"/>
      <c r="W830" s="28">
        <v>69.717600000000004</v>
      </c>
      <c r="X830" s="9">
        <v>4623.6499999999996</v>
      </c>
      <c r="Y830" s="16"/>
      <c r="Z830" s="2"/>
      <c r="AA830" s="26">
        <f>Таблица2[[#This Row],[Сумма перевода Долл/Евро]]*Таблица2[[#This Row],[Курс ДОЛЛ перевод]]+Таблица2[[#This Row],[Сумма за перевод руб]]</f>
        <v>356733.78123999998</v>
      </c>
      <c r="AB83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-184.94298771042031</v>
      </c>
      <c r="AC830" s="9" t="s">
        <v>1078</v>
      </c>
      <c r="AD830" s="41"/>
    </row>
    <row r="831" spans="1:30" x14ac:dyDescent="0.25">
      <c r="A831" s="6">
        <v>44918</v>
      </c>
      <c r="B831" s="38" t="s">
        <v>847</v>
      </c>
      <c r="C831" s="38" t="s">
        <v>1053</v>
      </c>
      <c r="D831" s="1" t="s">
        <v>849</v>
      </c>
      <c r="E831" s="1"/>
      <c r="F831" s="3">
        <v>10000</v>
      </c>
      <c r="G831" s="5"/>
      <c r="H831" s="2">
        <v>10.08</v>
      </c>
      <c r="I831" s="2">
        <v>69.98</v>
      </c>
      <c r="J831" s="2"/>
      <c r="K831" s="2">
        <v>80</v>
      </c>
      <c r="L831" s="2"/>
      <c r="M831" s="26">
        <f>Таблица2[[#This Row],[Сумма ЮА]]*Таблица2[[#This Row],[Курс ЮА]]</f>
        <v>100800</v>
      </c>
      <c r="N831" s="24">
        <f>Таблица2[[#This Row],[Сумма ЮА]]*Таблица2[[#This Row],[Курс ЮА]]+Таблица2[[#This Row],[Долл за перевод]]*Таблица2[[#This Row],[Курс ДОЛЛ]]</f>
        <v>106398.39999999999</v>
      </c>
      <c r="O83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1440.4115461560446</v>
      </c>
      <c r="P831" s="12">
        <f>Таблица2[[#This Row],[Долл за перевод]]*Таблица2[[#This Row],[Курс ДОЛЛ]]</f>
        <v>5598.4000000000005</v>
      </c>
      <c r="Q831" s="30">
        <v>106398.39999999999</v>
      </c>
      <c r="R831" s="12">
        <f>Таблица2[[#This Row],[Сумма в руб]]-Таблица2[[#This Row],[Оплата от клиента]]</f>
        <v>0</v>
      </c>
      <c r="S831" s="32">
        <v>44922</v>
      </c>
      <c r="T831" s="32" t="s">
        <v>107</v>
      </c>
      <c r="U831" s="24" t="s">
        <v>31</v>
      </c>
      <c r="V831" s="2">
        <v>10.2714</v>
      </c>
      <c r="W831" s="28"/>
      <c r="X831" s="9"/>
      <c r="Y831" s="16">
        <v>10000</v>
      </c>
      <c r="Z831" s="10">
        <v>44923</v>
      </c>
      <c r="AA831" s="26">
        <f>Таблица2[[#This Row],[Сумма перевода Долл/Евро]]*Таблица2[[#This Row],[Курс ДОЛЛ перевод]]+Таблица2[[#This Row],[Сумма за перевод руб]]</f>
        <v>5598.4000000000005</v>
      </c>
      <c r="AB83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466.83442911260352</v>
      </c>
      <c r="AC831" s="9"/>
      <c r="AD831" s="41"/>
    </row>
    <row r="832" spans="1:30" x14ac:dyDescent="0.25">
      <c r="A832" s="6">
        <v>44921</v>
      </c>
      <c r="B832" s="55" t="s">
        <v>919</v>
      </c>
      <c r="C832" s="55" t="s">
        <v>680</v>
      </c>
      <c r="D832" s="1" t="s">
        <v>1054</v>
      </c>
      <c r="E832" s="1"/>
      <c r="F832" s="3"/>
      <c r="G832" s="5">
        <v>1644</v>
      </c>
      <c r="H832" s="2"/>
      <c r="I832" s="2">
        <v>71.1524</v>
      </c>
      <c r="J832" s="2"/>
      <c r="K832" s="2">
        <v>80</v>
      </c>
      <c r="L832" s="2"/>
      <c r="M832" s="26">
        <f>Таблица2[[#This Row],[Сумма Долл]]*Таблица2[[#This Row],[Курс ДОЛЛ]]</f>
        <v>116974.5456</v>
      </c>
      <c r="N83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122666.73759999999</v>
      </c>
      <c r="O83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1644</v>
      </c>
      <c r="P8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5692.192</v>
      </c>
      <c r="Q832" s="30">
        <f>119346.4+3320.34</f>
        <v>122666.73999999999</v>
      </c>
      <c r="R832" s="12">
        <f>Таблица2[[#This Row],[Сумма в руб]]-Таблица2[[#This Row],[Оплата от клиента]]</f>
        <v>-2.3999999975785613E-3</v>
      </c>
      <c r="S832" s="32">
        <v>44925</v>
      </c>
      <c r="T832" s="32" t="s">
        <v>164</v>
      </c>
      <c r="U832" s="24" t="s">
        <v>31</v>
      </c>
      <c r="V832" s="2"/>
      <c r="W832" s="28">
        <v>71.1524</v>
      </c>
      <c r="X832" s="9">
        <v>1644</v>
      </c>
      <c r="Y832" s="16"/>
      <c r="Z832" s="10">
        <v>44925</v>
      </c>
      <c r="AA832" s="26">
        <f>Таблица2[[#This Row],[Сумма перевода Долл/Евро]]*Таблица2[[#This Row],[Курс ДОЛЛ перевод]]+Таблица2[[#This Row],[Сумма за перевод руб]]</f>
        <v>122666.73759999999</v>
      </c>
      <c r="AB83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832" s="9" t="s">
        <v>1177</v>
      </c>
      <c r="AD832" s="41"/>
    </row>
    <row r="833" spans="1:30" ht="30" x14ac:dyDescent="0.25">
      <c r="A833" s="6">
        <v>44921</v>
      </c>
      <c r="B833" s="38" t="s">
        <v>755</v>
      </c>
      <c r="C833" s="38" t="s">
        <v>354</v>
      </c>
      <c r="D833" s="1" t="s">
        <v>1035</v>
      </c>
      <c r="E833" s="1"/>
      <c r="F833" s="3">
        <v>2954.7</v>
      </c>
      <c r="G833" s="5"/>
      <c r="H833" s="2">
        <v>10.0421</v>
      </c>
      <c r="I833" s="2"/>
      <c r="J833" s="2">
        <v>0.97</v>
      </c>
      <c r="K833" s="2"/>
      <c r="L833" s="2"/>
      <c r="M833" s="26">
        <f>Таблица2[[#This Row],[Сумма ЮА]]*Таблица2[[#This Row],[Курс ЮА]]</f>
        <v>29671.392869999996</v>
      </c>
      <c r="N833" s="24">
        <f>Таблица2[[#This Row],[Сумма ЮА]]*Таблица2[[#This Row],[Курс ЮА]]/Таблица2[[#This Row],[% за перевод]]</f>
        <v>30589.064814432986</v>
      </c>
      <c r="O83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917.67194443299013</v>
      </c>
      <c r="Q833" s="30">
        <f>30399.9+189.16</f>
        <v>30589.06</v>
      </c>
      <c r="R833" s="12">
        <f>Таблица2[[#This Row],[Сумма в руб]]-Таблица2[[#This Row],[Оплата от клиента]]</f>
        <v>4.8144329848582856E-3</v>
      </c>
      <c r="S833" s="32">
        <v>44921</v>
      </c>
      <c r="T833" s="32" t="s">
        <v>107</v>
      </c>
      <c r="U833" s="24" t="s">
        <v>31</v>
      </c>
      <c r="V833" s="2">
        <v>10.0421</v>
      </c>
      <c r="W833" s="28"/>
      <c r="X833" s="9"/>
      <c r="Y833" s="3">
        <v>2954.7</v>
      </c>
      <c r="Z833" s="10">
        <v>44922</v>
      </c>
      <c r="AA833" s="26">
        <f>Таблица2[[#This Row],[Сумма перевода Долл/Евро]]*Таблица2[[#This Row],[Курс ДОЛЛ перевод]]+Таблица2[[#This Row],[Сумма за перевод руб]]</f>
        <v>917.67194443299013</v>
      </c>
      <c r="AB83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33" s="9" t="s">
        <v>1101</v>
      </c>
      <c r="AD833" s="41"/>
    </row>
    <row r="834" spans="1:30" ht="30" x14ac:dyDescent="0.25">
      <c r="A834" s="6">
        <v>44921</v>
      </c>
      <c r="B834" s="38" t="s">
        <v>755</v>
      </c>
      <c r="C834" s="38" t="s">
        <v>354</v>
      </c>
      <c r="D834" s="1" t="s">
        <v>1035</v>
      </c>
      <c r="E834" s="1"/>
      <c r="F834" s="3">
        <v>13822.9</v>
      </c>
      <c r="G834" s="5"/>
      <c r="H834" s="2">
        <v>10.0421</v>
      </c>
      <c r="I834" s="2"/>
      <c r="J834" s="2">
        <v>0.97</v>
      </c>
      <c r="K834" s="2"/>
      <c r="L834" s="2"/>
      <c r="M834" s="26">
        <f>Таблица2[[#This Row],[Сумма ЮА]]*Таблица2[[#This Row],[Курс ЮА]]</f>
        <v>138810.94409</v>
      </c>
      <c r="N834" s="24">
        <f>Таблица2[[#This Row],[Сумма ЮА]]*Таблица2[[#This Row],[Курс ЮА]]/Таблица2[[#This Row],[% за перевод]]</f>
        <v>143104.06607216495</v>
      </c>
      <c r="O83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4293.1219821649429</v>
      </c>
      <c r="Q834" s="30">
        <f>142219.12+884.95</f>
        <v>143104.07</v>
      </c>
      <c r="R834" s="12">
        <f>Таблица2[[#This Row],[Сумма в руб]]-Таблица2[[#This Row],[Оплата от клиента]]</f>
        <v>-3.9278350595850497E-3</v>
      </c>
      <c r="S834" s="32">
        <v>44921</v>
      </c>
      <c r="T834" s="32" t="s">
        <v>107</v>
      </c>
      <c r="U834" s="24" t="s">
        <v>31</v>
      </c>
      <c r="V834" s="2">
        <v>10.0421</v>
      </c>
      <c r="W834" s="28"/>
      <c r="X834" s="9"/>
      <c r="Y834" s="3">
        <v>13822.9</v>
      </c>
      <c r="Z834" s="10">
        <v>44922</v>
      </c>
      <c r="AA834" s="26">
        <f>Таблица2[[#This Row],[Сумма перевода Долл/Евро]]*Таблица2[[#This Row],[Курс ДОЛЛ перевод]]+Таблица2[[#This Row],[Сумма за перевод руб]]</f>
        <v>4293.1219821649429</v>
      </c>
      <c r="AB83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34" s="9" t="s">
        <v>1101</v>
      </c>
      <c r="AD834" s="41"/>
    </row>
    <row r="835" spans="1:30" ht="30" x14ac:dyDescent="0.25">
      <c r="A835" s="6">
        <v>44921</v>
      </c>
      <c r="B835" s="38" t="s">
        <v>755</v>
      </c>
      <c r="C835" s="38" t="s">
        <v>354</v>
      </c>
      <c r="D835" s="1" t="s">
        <v>1035</v>
      </c>
      <c r="E835" s="1"/>
      <c r="F835" s="3">
        <v>5798.24</v>
      </c>
      <c r="G835" s="5"/>
      <c r="H835" s="2">
        <v>10.0421</v>
      </c>
      <c r="I835" s="2"/>
      <c r="J835" s="2">
        <v>0.97</v>
      </c>
      <c r="K835" s="2"/>
      <c r="L835" s="2"/>
      <c r="M835" s="26">
        <f>Таблица2[[#This Row],[Сумма ЮА]]*Таблица2[[#This Row],[Курс ЮА]]</f>
        <v>58226.505903999998</v>
      </c>
      <c r="N835" s="24">
        <f>Таблица2[[#This Row],[Сумма ЮА]]*Таблица2[[#This Row],[Курс ЮА]]/Таблица2[[#This Row],[% за перевод]]</f>
        <v>60027.325674226806</v>
      </c>
      <c r="O83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3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1800.819770226808</v>
      </c>
      <c r="Q835" s="30">
        <f>59656.12+371.21</f>
        <v>60027.33</v>
      </c>
      <c r="R835" s="12">
        <f>Таблица2[[#This Row],[Сумма в руб]]-Таблица2[[#This Row],[Оплата от клиента]]</f>
        <v>-4.3257731958874501E-3</v>
      </c>
      <c r="S835" s="32">
        <v>44921</v>
      </c>
      <c r="T835" s="32" t="s">
        <v>107</v>
      </c>
      <c r="U835" s="24" t="s">
        <v>31</v>
      </c>
      <c r="V835" s="2">
        <v>10.0421</v>
      </c>
      <c r="W835" s="28"/>
      <c r="X835" s="9"/>
      <c r="Y835" s="3">
        <v>5798.24</v>
      </c>
      <c r="Z835" s="10">
        <v>44922</v>
      </c>
      <c r="AA835" s="26">
        <f>Таблица2[[#This Row],[Сумма перевода Долл/Евро]]*Таблица2[[#This Row],[Курс ДОЛЛ перевод]]+Таблица2[[#This Row],[Сумма за перевод руб]]</f>
        <v>1800.819770226808</v>
      </c>
      <c r="AB83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35" s="9" t="s">
        <v>1101</v>
      </c>
      <c r="AD835" s="41"/>
    </row>
    <row r="836" spans="1:30" ht="30" x14ac:dyDescent="0.25">
      <c r="A836" s="6">
        <v>44921</v>
      </c>
      <c r="B836" s="38" t="s">
        <v>755</v>
      </c>
      <c r="C836" s="38" t="s">
        <v>354</v>
      </c>
      <c r="D836" s="1" t="s">
        <v>1035</v>
      </c>
      <c r="E836" s="1"/>
      <c r="F836" s="3">
        <v>196347.36</v>
      </c>
      <c r="G836" s="5"/>
      <c r="H836" s="2">
        <v>10.0421</v>
      </c>
      <c r="I836" s="2"/>
      <c r="J836" s="2">
        <v>0.97</v>
      </c>
      <c r="K836" s="2"/>
      <c r="L836" s="2"/>
      <c r="M836" s="26">
        <f>Таблица2[[#This Row],[Сумма ЮА]]*Таблица2[[#This Row],[Курс ЮА]]</f>
        <v>1971739.8238559999</v>
      </c>
      <c r="N836" s="24">
        <f>Таблица2[[#This Row],[Сумма ЮА]]*Таблица2[[#This Row],[Курс ЮА]]/Таблица2[[#This Row],[% за перевод]]</f>
        <v>2032721.4678927835</v>
      </c>
      <c r="O83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60981.644036783604</v>
      </c>
      <c r="Q836" s="30">
        <f>2020151.19+12570.28</f>
        <v>2032721.47</v>
      </c>
      <c r="R836" s="12">
        <f>Таблица2[[#This Row],[Сумма в руб]]-Таблица2[[#This Row],[Оплата от клиента]]</f>
        <v>-2.1072165109217167E-3</v>
      </c>
      <c r="S836" s="32">
        <v>44921</v>
      </c>
      <c r="T836" s="32" t="s">
        <v>107</v>
      </c>
      <c r="U836" s="24" t="s">
        <v>31</v>
      </c>
      <c r="V836" s="2">
        <v>10.0421</v>
      </c>
      <c r="W836" s="28"/>
      <c r="X836" s="9"/>
      <c r="Y836" s="3">
        <v>196347.36</v>
      </c>
      <c r="Z836" s="10">
        <v>44922</v>
      </c>
      <c r="AA836" s="26">
        <f>Таблица2[[#This Row],[Сумма перевода Долл/Евро]]*Таблица2[[#This Row],[Курс ДОЛЛ перевод]]+Таблица2[[#This Row],[Сумма за перевод руб]]</f>
        <v>60981.644036783604</v>
      </c>
      <c r="AB83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36" s="9"/>
      <c r="AD836" s="41"/>
    </row>
    <row r="837" spans="1:30" ht="30" x14ac:dyDescent="0.25">
      <c r="A837" s="6">
        <v>44921</v>
      </c>
      <c r="B837" s="38" t="s">
        <v>755</v>
      </c>
      <c r="C837" s="38" t="s">
        <v>354</v>
      </c>
      <c r="D837" s="1" t="s">
        <v>1035</v>
      </c>
      <c r="E837" s="1"/>
      <c r="F837" s="3">
        <v>10799.32</v>
      </c>
      <c r="G837" s="5"/>
      <c r="H837" s="2">
        <v>10.0421</v>
      </c>
      <c r="I837" s="2"/>
      <c r="J837" s="2">
        <v>0.97</v>
      </c>
      <c r="K837" s="2"/>
      <c r="L837" s="2"/>
      <c r="M837" s="26">
        <f>Таблица2[[#This Row],[Сумма ЮА]]*Таблица2[[#This Row],[Курс ЮА]]</f>
        <v>108447.85137199999</v>
      </c>
      <c r="N837" s="24">
        <f>Таблица2[[#This Row],[Сумма ЮА]]*Таблица2[[#This Row],[Курс ЮА]]/Таблица2[[#This Row],[% за перевод]]</f>
        <v>111801.90863092782</v>
      </c>
      <c r="O83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3354.0572589278308</v>
      </c>
      <c r="Q837" s="30">
        <f>111110.53+691.38</f>
        <v>111801.91</v>
      </c>
      <c r="R837" s="12">
        <f>Таблица2[[#This Row],[Сумма в руб]]-Таблица2[[#This Row],[Оплата от клиента]]</f>
        <v>-1.3690721825696528E-3</v>
      </c>
      <c r="S837" s="32">
        <v>44921</v>
      </c>
      <c r="T837" s="32" t="s">
        <v>107</v>
      </c>
      <c r="U837" s="24" t="s">
        <v>31</v>
      </c>
      <c r="V837" s="2">
        <v>10.0421</v>
      </c>
      <c r="W837" s="28"/>
      <c r="X837" s="9"/>
      <c r="Y837" s="3">
        <v>10799.32</v>
      </c>
      <c r="Z837" s="10">
        <v>44922</v>
      </c>
      <c r="AA837" s="26">
        <f>Таблица2[[#This Row],[Сумма перевода Долл/Евро]]*Таблица2[[#This Row],[Курс ДОЛЛ перевод]]+Таблица2[[#This Row],[Сумма за перевод руб]]</f>
        <v>3354.0572589278308</v>
      </c>
      <c r="AB83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37" s="9"/>
      <c r="AD837" s="41"/>
    </row>
    <row r="838" spans="1:30" ht="30" x14ac:dyDescent="0.25">
      <c r="A838" s="6">
        <v>44921</v>
      </c>
      <c r="B838" s="38" t="s">
        <v>755</v>
      </c>
      <c r="C838" s="38" t="s">
        <v>354</v>
      </c>
      <c r="D838" s="1" t="s">
        <v>1035</v>
      </c>
      <c r="E838" s="1"/>
      <c r="F838" s="3">
        <v>1960</v>
      </c>
      <c r="G838" s="5"/>
      <c r="H838" s="2">
        <v>10.0421</v>
      </c>
      <c r="I838" s="2"/>
      <c r="J838" s="2">
        <v>0.97</v>
      </c>
      <c r="K838" s="2"/>
      <c r="L838" s="2"/>
      <c r="M838" s="26">
        <f>Таблица2[[#This Row],[Сумма ЮА]]*Таблица2[[#This Row],[Курс ЮА]]</f>
        <v>19682.516</v>
      </c>
      <c r="N838" s="24">
        <f>Таблица2[[#This Row],[Сумма ЮА]]*Таблица2[[#This Row],[Курс ЮА]]/Таблица2[[#This Row],[% за перевод]]</f>
        <v>20291.253608247422</v>
      </c>
      <c r="O83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3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608.73760824742203</v>
      </c>
      <c r="Q838" s="30">
        <f>20165.77+125.48</f>
        <v>20291.25</v>
      </c>
      <c r="R838" s="12">
        <f>Таблица2[[#This Row],[Сумма в руб]]-Таблица2[[#This Row],[Оплата от клиента]]</f>
        <v>3.6082474216527771E-3</v>
      </c>
      <c r="S838" s="32">
        <v>44921</v>
      </c>
      <c r="T838" s="32" t="s">
        <v>107</v>
      </c>
      <c r="U838" s="24" t="s">
        <v>31</v>
      </c>
      <c r="V838" s="2">
        <v>10.0421</v>
      </c>
      <c r="W838" s="28"/>
      <c r="X838" s="9"/>
      <c r="Y838" s="3">
        <v>1960</v>
      </c>
      <c r="Z838" s="10">
        <v>44922</v>
      </c>
      <c r="AA838" s="26">
        <f>Таблица2[[#This Row],[Сумма перевода Долл/Евро]]*Таблица2[[#This Row],[Курс ДОЛЛ перевод]]+Таблица2[[#This Row],[Сумма за перевод руб]]</f>
        <v>608.73760824742203</v>
      </c>
      <c r="AB83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38" s="9" t="s">
        <v>1101</v>
      </c>
      <c r="AD838" s="41"/>
    </row>
    <row r="839" spans="1:30" ht="30" x14ac:dyDescent="0.25">
      <c r="A839" s="6">
        <v>44921</v>
      </c>
      <c r="B839" s="38" t="s">
        <v>755</v>
      </c>
      <c r="C839" s="38" t="s">
        <v>354</v>
      </c>
      <c r="D839" s="1" t="s">
        <v>1035</v>
      </c>
      <c r="E839" s="1"/>
      <c r="F839" s="3">
        <v>270.69</v>
      </c>
      <c r="G839" s="5"/>
      <c r="H839" s="2">
        <v>10.0421</v>
      </c>
      <c r="I839" s="2"/>
      <c r="J839" s="2">
        <v>0.97</v>
      </c>
      <c r="K839" s="2"/>
      <c r="L839" s="2"/>
      <c r="M839" s="26">
        <f>Таблица2[[#This Row],[Сумма ЮА]]*Таблица2[[#This Row],[Курс ЮА]]</f>
        <v>2718.296049</v>
      </c>
      <c r="N839" s="24">
        <f>Таблица2[[#This Row],[Сумма ЮА]]*Таблица2[[#This Row],[Курс ЮА]]/Таблица2[[#This Row],[% за перевод]]</f>
        <v>2802.3670608247426</v>
      </c>
      <c r="O83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3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84.071011824742527</v>
      </c>
      <c r="Q839" s="30">
        <f>2785.04+17.33</f>
        <v>2802.37</v>
      </c>
      <c r="R839" s="12">
        <f>Таблица2[[#This Row],[Сумма в руб]]-Таблица2[[#This Row],[Оплата от клиента]]</f>
        <v>-2.9391752573246777E-3</v>
      </c>
      <c r="S839" s="32">
        <v>44921</v>
      </c>
      <c r="T839" s="32" t="s">
        <v>107</v>
      </c>
      <c r="U839" s="24" t="s">
        <v>31</v>
      </c>
      <c r="V839" s="2">
        <v>10.0421</v>
      </c>
      <c r="W839" s="28"/>
      <c r="X839" s="9"/>
      <c r="Y839" s="3">
        <v>270.69</v>
      </c>
      <c r="Z839" s="10">
        <v>44922</v>
      </c>
      <c r="AA839" s="26">
        <f>Таблица2[[#This Row],[Сумма перевода Долл/Евро]]*Таблица2[[#This Row],[Курс ДОЛЛ перевод]]+Таблица2[[#This Row],[Сумма за перевод руб]]</f>
        <v>84.071011824742527</v>
      </c>
      <c r="AB83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39" s="9" t="s">
        <v>1101</v>
      </c>
      <c r="AD839" s="41"/>
    </row>
    <row r="840" spans="1:30" ht="30" x14ac:dyDescent="0.25">
      <c r="A840" s="6">
        <v>44922</v>
      </c>
      <c r="B840" s="2" t="s">
        <v>783</v>
      </c>
      <c r="C840" s="2" t="s">
        <v>784</v>
      </c>
      <c r="D840" s="1" t="s">
        <v>853</v>
      </c>
      <c r="E840" s="1"/>
      <c r="F840" s="3"/>
      <c r="G840" s="5">
        <v>7050</v>
      </c>
      <c r="H840" s="2"/>
      <c r="I840" s="2">
        <v>71.209999999999994</v>
      </c>
      <c r="J840" s="2">
        <v>0.99</v>
      </c>
      <c r="K840" s="2"/>
      <c r="L840" s="2"/>
      <c r="M840" s="26">
        <f>Таблица2[[#This Row],[Сумма Долл]]*Таблица2[[#This Row],[Курс ДОЛЛ]]</f>
        <v>502030.49999999994</v>
      </c>
      <c r="N84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507101.51515151508</v>
      </c>
      <c r="O84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6951.1936772903609</v>
      </c>
      <c r="P8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5071.0151515151374</v>
      </c>
      <c r="Q840" s="30">
        <v>507101.52</v>
      </c>
      <c r="R840" s="12">
        <f>Таблица2[[#This Row],[Сумма в руб]]-Таблица2[[#This Row],[Оплата от клиента]]</f>
        <v>-4.848484939429909E-3</v>
      </c>
      <c r="S840" s="32">
        <v>44922</v>
      </c>
      <c r="T840" s="32" t="s">
        <v>164</v>
      </c>
      <c r="U840" s="24" t="s">
        <v>31</v>
      </c>
      <c r="V840" s="2"/>
      <c r="W840" s="28">
        <v>72.222200000000001</v>
      </c>
      <c r="X840" s="9">
        <v>7050</v>
      </c>
      <c r="Y840" s="16"/>
      <c r="Z840" s="10">
        <v>44923</v>
      </c>
      <c r="AA840" s="26">
        <f>Таблица2[[#This Row],[Сумма перевода Долл/Евро]]*Таблица2[[#This Row],[Курс ДОЛЛ перевод]]+Таблица2[[#This Row],[Сумма за перевод руб]]</f>
        <v>514237.52515151515</v>
      </c>
      <c r="AB84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-98.806322709639062</v>
      </c>
      <c r="AC840" s="41" t="s">
        <v>1154</v>
      </c>
      <c r="AD840" s="41"/>
    </row>
    <row r="841" spans="1:30" x14ac:dyDescent="0.25">
      <c r="A841" s="6">
        <v>44922</v>
      </c>
      <c r="B841" s="38" t="s">
        <v>298</v>
      </c>
      <c r="C841" s="38" t="s">
        <v>56</v>
      </c>
      <c r="D841" s="1"/>
      <c r="E841" s="1"/>
      <c r="F841" s="3">
        <v>18961.5</v>
      </c>
      <c r="G841" s="5"/>
      <c r="H841" s="2">
        <v>10.24</v>
      </c>
      <c r="I841" s="2"/>
      <c r="J841" s="2">
        <v>0.97</v>
      </c>
      <c r="K841" s="2"/>
      <c r="L841" s="2"/>
      <c r="M841" s="26">
        <f>Таблица2[[#This Row],[Сумма ЮА]]*Таблица2[[#This Row],[Курс ЮА]]</f>
        <v>194165.76000000001</v>
      </c>
      <c r="N841" s="24">
        <f>Таблица2[[#This Row],[Сумма ЮА]]*Таблица2[[#This Row],[Курс ЮА]]/Таблица2[[#This Row],[% за перевод]]</f>
        <v>200170.88659793817</v>
      </c>
      <c r="O84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6005.1265979381569</v>
      </c>
      <c r="Q841" s="30">
        <v>200170.89</v>
      </c>
      <c r="R841" s="12">
        <f>Таблица2[[#This Row],[Сумма в руб]]-Таблица2[[#This Row],[Оплата от клиента]]</f>
        <v>-3.402061847737059E-3</v>
      </c>
      <c r="S841" s="32">
        <v>44922</v>
      </c>
      <c r="T841" s="32" t="s">
        <v>107</v>
      </c>
      <c r="U841" s="24" t="s">
        <v>31</v>
      </c>
      <c r="V841" s="2">
        <v>10.2714</v>
      </c>
      <c r="W841" s="28"/>
      <c r="X841" s="9"/>
      <c r="Y841" s="16">
        <v>18961.5</v>
      </c>
      <c r="Z841" s="10">
        <v>44923</v>
      </c>
      <c r="AA841" s="26">
        <f>Таблица2[[#This Row],[Сумма перевода Долл/Евро]]*Таблица2[[#This Row],[Курс ДОЛЛ перевод]]+Таблица2[[#This Row],[Сумма за перевод руб]]</f>
        <v>6005.1265979381569</v>
      </c>
      <c r="AB84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41" s="9" t="s">
        <v>1142</v>
      </c>
      <c r="AD841" s="41"/>
    </row>
    <row r="842" spans="1:30" ht="45" x14ac:dyDescent="0.25">
      <c r="A842" s="6">
        <v>44923</v>
      </c>
      <c r="B842" s="38" t="s">
        <v>89</v>
      </c>
      <c r="C842" s="38" t="s">
        <v>330</v>
      </c>
      <c r="D842" s="1" t="s">
        <v>1055</v>
      </c>
      <c r="E842" s="1"/>
      <c r="F842" s="3">
        <v>74641.7</v>
      </c>
      <c r="G842" s="5"/>
      <c r="H842" s="2">
        <v>10.47</v>
      </c>
      <c r="I842" s="2"/>
      <c r="J842" s="2">
        <v>0.97</v>
      </c>
      <c r="K842" s="2"/>
      <c r="L842" s="2"/>
      <c r="M842" s="26">
        <f>Таблица2[[#This Row],[Сумма ЮА]]*Таблица2[[#This Row],[Курс ЮА]]</f>
        <v>781498.59900000005</v>
      </c>
      <c r="N842" s="24">
        <f>Таблица2[[#This Row],[Сумма ЮА]]*Таблица2[[#This Row],[Курс ЮА]]/Таблица2[[#This Row],[% за перевод]]</f>
        <v>805668.65876288665</v>
      </c>
      <c r="O84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4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24170.059762886609</v>
      </c>
      <c r="Q842" s="30">
        <v>805668.66</v>
      </c>
      <c r="R842" s="12">
        <f>Таблица2[[#This Row],[Сумма в руб]]-Таблица2[[#This Row],[Оплата от клиента]]</f>
        <v>-1.2371133780106902E-3</v>
      </c>
      <c r="S842" s="32">
        <v>44924</v>
      </c>
      <c r="T842" s="32" t="s">
        <v>107</v>
      </c>
      <c r="U842" s="24" t="s">
        <v>31</v>
      </c>
      <c r="V842" s="2">
        <v>10.3149</v>
      </c>
      <c r="W842" s="28"/>
      <c r="X842" s="9"/>
      <c r="Y842" s="16">
        <v>74641.7</v>
      </c>
      <c r="Z842" s="10">
        <v>44924</v>
      </c>
      <c r="AA842" s="26">
        <f>Таблица2[[#This Row],[Сумма перевода Долл/Евро]]*Таблица2[[#This Row],[Курс ДОЛЛ перевод]]+Таблица2[[#This Row],[Сумма за перевод руб]]</f>
        <v>24170.059762886609</v>
      </c>
      <c r="AB84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42" s="9" t="s">
        <v>1089</v>
      </c>
      <c r="AD842" s="41"/>
    </row>
    <row r="843" spans="1:30" ht="30" x14ac:dyDescent="0.25">
      <c r="A843" s="6">
        <v>44923</v>
      </c>
      <c r="B843" s="38" t="s">
        <v>390</v>
      </c>
      <c r="C843" s="38" t="s">
        <v>210</v>
      </c>
      <c r="D843" s="1" t="s">
        <v>1057</v>
      </c>
      <c r="E843" s="1"/>
      <c r="F843" s="3">
        <v>60000</v>
      </c>
      <c r="G843" s="5"/>
      <c r="H843" s="2">
        <v>10.44</v>
      </c>
      <c r="I843" s="2"/>
      <c r="J843" s="2">
        <v>0.92</v>
      </c>
      <c r="K843" s="2"/>
      <c r="L843" s="2"/>
      <c r="M843" s="26">
        <f>Таблица2[[#This Row],[Сумма ЮА]]*Таблица2[[#This Row],[Курс ЮА]]</f>
        <v>626400</v>
      </c>
      <c r="N843" s="24">
        <f>Таблица2[[#This Row],[Сумма ЮА]]*Таблица2[[#This Row],[Курс ЮА]]/Таблица2[[#This Row],[% за перевод]]</f>
        <v>680869.56521739124</v>
      </c>
      <c r="O84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8522.5417419509322</v>
      </c>
      <c r="P84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54469.565217391239</v>
      </c>
      <c r="Q843" s="30">
        <v>680869.57</v>
      </c>
      <c r="R843" s="12">
        <f>Таблица2[[#This Row],[Сумма в руб]]-Таблица2[[#This Row],[Оплата от клиента]]</f>
        <v>-4.7826087102293968E-3</v>
      </c>
      <c r="S843" s="32">
        <v>44923</v>
      </c>
      <c r="T843" s="32" t="s">
        <v>720</v>
      </c>
      <c r="U843" s="24" t="s">
        <v>375</v>
      </c>
      <c r="V843" s="2"/>
      <c r="W843" s="28">
        <v>73.499200000000002</v>
      </c>
      <c r="X843" s="9">
        <v>8877.64</v>
      </c>
      <c r="Y843" s="16"/>
      <c r="Z843" s="2"/>
      <c r="AA843" s="26">
        <f>Таблица2[[#This Row],[Сумма перевода Долл/Евро]]*Таблица2[[#This Row],[Курс ДОЛЛ перевод]]+Таблица2[[#This Row],[Сумма за перевод руб]]</f>
        <v>706969.00310539117</v>
      </c>
      <c r="AB84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-355.09825804906723</v>
      </c>
      <c r="AC843" s="9"/>
      <c r="AD843" s="41"/>
    </row>
    <row r="844" spans="1:30" ht="30" x14ac:dyDescent="0.25">
      <c r="A844" s="6">
        <v>44923</v>
      </c>
      <c r="B844" s="38" t="s">
        <v>390</v>
      </c>
      <c r="C844" s="38" t="s">
        <v>210</v>
      </c>
      <c r="D844" s="1" t="s">
        <v>1058</v>
      </c>
      <c r="E844" s="1"/>
      <c r="F844" s="3">
        <v>47250</v>
      </c>
      <c r="G844" s="5"/>
      <c r="H844" s="2">
        <v>10.44</v>
      </c>
      <c r="I844" s="2"/>
      <c r="J844" s="2">
        <v>0.92</v>
      </c>
      <c r="K844" s="2"/>
      <c r="L844" s="2"/>
      <c r="M844" s="26">
        <f>Таблица2[[#This Row],[Сумма ЮА]]*Таблица2[[#This Row],[Курс ЮА]]</f>
        <v>493290</v>
      </c>
      <c r="N844" s="24">
        <f>Таблица2[[#This Row],[Сумма ЮА]]*Таблица2[[#This Row],[Курс ЮА]]/Таблица2[[#This Row],[% за перевод]]</f>
        <v>536184.78260869568</v>
      </c>
      <c r="O84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6711.5016217863595</v>
      </c>
      <c r="P84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42894.782608695677</v>
      </c>
      <c r="Q844" s="30">
        <v>536184.78</v>
      </c>
      <c r="R844" s="12">
        <f>Таблица2[[#This Row],[Сумма в руб]]-Таблица2[[#This Row],[Оплата от клиента]]</f>
        <v>2.6086956495419145E-3</v>
      </c>
      <c r="S844" s="32">
        <v>44923</v>
      </c>
      <c r="T844" s="32" t="s">
        <v>720</v>
      </c>
      <c r="U844" s="24" t="s">
        <v>375</v>
      </c>
      <c r="V844" s="2"/>
      <c r="W844" s="28">
        <v>73.499200000000002</v>
      </c>
      <c r="X844" s="9">
        <v>6991.15</v>
      </c>
      <c r="Y844" s="16"/>
      <c r="Z844" s="2"/>
      <c r="AA844" s="26">
        <f>Таблица2[[#This Row],[Сумма перевода Долл/Евро]]*Таблица2[[#This Row],[Курс ДОЛЛ перевод]]+Таблица2[[#This Row],[Сумма за перевод руб]]</f>
        <v>556738.71468869573</v>
      </c>
      <c r="AB84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-279.64837821364017</v>
      </c>
      <c r="AC844" s="9"/>
      <c r="AD844" s="41"/>
    </row>
    <row r="845" spans="1:30" ht="30" x14ac:dyDescent="0.25">
      <c r="A845" s="6">
        <v>44923</v>
      </c>
      <c r="B845" s="38" t="s">
        <v>390</v>
      </c>
      <c r="C845" s="38" t="s">
        <v>210</v>
      </c>
      <c r="D845" s="1" t="s">
        <v>1059</v>
      </c>
      <c r="E845" s="1"/>
      <c r="F845" s="3">
        <v>31500</v>
      </c>
      <c r="G845" s="5"/>
      <c r="H845" s="2">
        <v>10.44</v>
      </c>
      <c r="I845" s="2"/>
      <c r="J845" s="2">
        <v>0.97</v>
      </c>
      <c r="K845" s="2"/>
      <c r="L845" s="2"/>
      <c r="M845" s="26">
        <f>Таблица2[[#This Row],[Сумма ЮА]]*Таблица2[[#This Row],[Курс ЮА]]</f>
        <v>328860</v>
      </c>
      <c r="N845" s="24">
        <f>Таблица2[[#This Row],[Сумма ЮА]]*Таблица2[[#This Row],[Курс ЮА]]/Таблица2[[#This Row],[% за перевод]]</f>
        <v>339030.92783505155</v>
      </c>
      <c r="O84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4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10170.927835051552</v>
      </c>
      <c r="Q845" s="30">
        <v>339030.93</v>
      </c>
      <c r="R845" s="12">
        <f>Таблица2[[#This Row],[Сумма в руб]]-Таблица2[[#This Row],[Оплата от клиента]]</f>
        <v>-2.1649484406225383E-3</v>
      </c>
      <c r="S845" s="32">
        <v>44923</v>
      </c>
      <c r="T845" s="32" t="s">
        <v>107</v>
      </c>
      <c r="U845" s="24" t="s">
        <v>31</v>
      </c>
      <c r="V845" s="2">
        <v>10.297800000000001</v>
      </c>
      <c r="W845" s="28"/>
      <c r="X845" s="9"/>
      <c r="Y845" s="16">
        <v>31500</v>
      </c>
      <c r="Z845" s="10">
        <v>44936</v>
      </c>
      <c r="AA845" s="26">
        <f>Таблица2[[#This Row],[Сумма перевода Долл/Евро]]*Таблица2[[#This Row],[Курс ДОЛЛ перевод]]+Таблица2[[#This Row],[Сумма за перевод руб]]</f>
        <v>10170.927835051552</v>
      </c>
      <c r="AB84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45" s="9"/>
      <c r="AD845" s="41"/>
    </row>
    <row r="846" spans="1:30" ht="30" x14ac:dyDescent="0.25">
      <c r="A846" s="6">
        <v>44924</v>
      </c>
      <c r="B846" s="2" t="s">
        <v>35</v>
      </c>
      <c r="C846" s="2" t="s">
        <v>36</v>
      </c>
      <c r="D846" s="1" t="s">
        <v>1060</v>
      </c>
      <c r="E846" s="1"/>
      <c r="F846" s="3"/>
      <c r="G846" s="5">
        <v>1340</v>
      </c>
      <c r="H846" s="2"/>
      <c r="I846" s="2">
        <v>73.180000000000007</v>
      </c>
      <c r="J846" s="2"/>
      <c r="K846" s="2">
        <v>80</v>
      </c>
      <c r="L846" s="2"/>
      <c r="M846" s="26">
        <f>Таблица2[[#This Row],[Сумма Долл]]*Таблица2[[#This Row],[Курс ДОЛЛ]]</f>
        <v>98061.200000000012</v>
      </c>
      <c r="N84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103915.6</v>
      </c>
      <c r="O84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1357.0812730334951</v>
      </c>
      <c r="P84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5780.7119999999995</v>
      </c>
      <c r="Q846" s="30">
        <v>103915.6</v>
      </c>
      <c r="R846" s="12">
        <f>Таблица2[[#This Row],[Сумма в руб]]-Таблица2[[#This Row],[Оплата от клиента]]</f>
        <v>0</v>
      </c>
      <c r="S846" s="32">
        <v>44924</v>
      </c>
      <c r="T846" s="32" t="s">
        <v>164</v>
      </c>
      <c r="U846" s="24" t="s">
        <v>31</v>
      </c>
      <c r="V846" s="2"/>
      <c r="W846" s="28">
        <v>72.258899999999997</v>
      </c>
      <c r="X846" s="5">
        <v>1340</v>
      </c>
      <c r="Y846" s="16"/>
      <c r="Z846" s="10">
        <v>44924</v>
      </c>
      <c r="AA846" s="26">
        <f>Таблица2[[#This Row],[Сумма перевода Долл/Евро]]*Таблица2[[#This Row],[Курс ДОЛЛ перевод]]+Таблица2[[#This Row],[Сумма за перевод руб]]</f>
        <v>102607.63799999999</v>
      </c>
      <c r="AB84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17.081273033495108</v>
      </c>
      <c r="AC846" s="9" t="s">
        <v>1079</v>
      </c>
      <c r="AD846" s="41"/>
    </row>
    <row r="847" spans="1:30" ht="30" x14ac:dyDescent="0.25">
      <c r="A847" s="6">
        <v>44924</v>
      </c>
      <c r="B847" s="2" t="s">
        <v>35</v>
      </c>
      <c r="C847" s="2" t="s">
        <v>36</v>
      </c>
      <c r="D847" s="1" t="s">
        <v>1060</v>
      </c>
      <c r="E847" s="1"/>
      <c r="F847" s="3"/>
      <c r="G847" s="5">
        <v>1325.6</v>
      </c>
      <c r="H847" s="2"/>
      <c r="I847" s="2">
        <v>73.180000000000007</v>
      </c>
      <c r="J847" s="2"/>
      <c r="K847" s="2">
        <v>80</v>
      </c>
      <c r="L847" s="2"/>
      <c r="M847" s="26">
        <f>Таблица2[[#This Row],[Сумма Долл]]*Таблица2[[#This Row],[Курс ДОЛЛ]]</f>
        <v>97007.407999999996</v>
      </c>
      <c r="N84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102861.808</v>
      </c>
      <c r="O84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1342.4977130844782</v>
      </c>
      <c r="P84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5780.7119999999995</v>
      </c>
      <c r="Q847" s="30">
        <v>102861.81</v>
      </c>
      <c r="R847" s="12">
        <f>Таблица2[[#This Row],[Сумма в руб]]-Таблица2[[#This Row],[Оплата от клиента]]</f>
        <v>-1.999999993131496E-3</v>
      </c>
      <c r="S847" s="32">
        <v>44924</v>
      </c>
      <c r="T847" s="32" t="s">
        <v>164</v>
      </c>
      <c r="U847" s="24" t="s">
        <v>31</v>
      </c>
      <c r="V847" s="2"/>
      <c r="W847" s="28">
        <v>72.258899999999997</v>
      </c>
      <c r="X847" s="5">
        <v>1325.6</v>
      </c>
      <c r="Y847" s="16"/>
      <c r="Z847" s="10">
        <v>44924</v>
      </c>
      <c r="AA847" s="26">
        <f>Таблица2[[#This Row],[Сумма перевода Долл/Евро]]*Таблица2[[#This Row],[Курс ДОЛЛ перевод]]+Таблица2[[#This Row],[Сумма за перевод руб]]</f>
        <v>101567.10983999999</v>
      </c>
      <c r="AB84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16.897713084478255</v>
      </c>
      <c r="AC847" s="9" t="s">
        <v>1153</v>
      </c>
      <c r="AD847" s="41"/>
    </row>
    <row r="848" spans="1:30" ht="30" x14ac:dyDescent="0.25">
      <c r="A848" s="6">
        <v>44924</v>
      </c>
      <c r="B848" s="2" t="s">
        <v>35</v>
      </c>
      <c r="C848" s="2" t="s">
        <v>36</v>
      </c>
      <c r="D848" s="1" t="s">
        <v>1061</v>
      </c>
      <c r="E848" s="1"/>
      <c r="F848" s="3"/>
      <c r="G848" s="5">
        <v>1832</v>
      </c>
      <c r="H848" s="2"/>
      <c r="I848" s="2">
        <v>73.180000000000007</v>
      </c>
      <c r="J848" s="2"/>
      <c r="K848" s="2">
        <v>80</v>
      </c>
      <c r="L848" s="2"/>
      <c r="M848" s="26">
        <f>Таблица2[[#This Row],[Сумма Долл]]*Таблица2[[#This Row],[Курс ДОЛЛ]]</f>
        <v>134065.76</v>
      </c>
      <c r="N84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139920.16</v>
      </c>
      <c r="O84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1855.3529046248975</v>
      </c>
      <c r="P84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5780.7119999999995</v>
      </c>
      <c r="Q848" s="30">
        <v>139920.16</v>
      </c>
      <c r="R848" s="12">
        <f>Таблица2[[#This Row],[Сумма в руб]]-Таблица2[[#This Row],[Оплата от клиента]]</f>
        <v>0</v>
      </c>
      <c r="S848" s="32">
        <v>44924</v>
      </c>
      <c r="T848" s="32" t="s">
        <v>164</v>
      </c>
      <c r="U848" s="24" t="s">
        <v>31</v>
      </c>
      <c r="V848" s="2"/>
      <c r="W848" s="28">
        <v>72.258899999999997</v>
      </c>
      <c r="X848" s="5">
        <v>1832</v>
      </c>
      <c r="Y848" s="16"/>
      <c r="Z848" s="10">
        <v>44924</v>
      </c>
      <c r="AA848" s="26">
        <f>Таблица2[[#This Row],[Сумма перевода Долл/Евро]]*Таблица2[[#This Row],[Курс ДОЛЛ перевод]]+Таблица2[[#This Row],[Сумма за перевод руб]]</f>
        <v>138159.01679999998</v>
      </c>
      <c r="AB84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23.352904624897519</v>
      </c>
      <c r="AC848" s="9" t="s">
        <v>1188</v>
      </c>
      <c r="AD848" s="41"/>
    </row>
    <row r="849" spans="1:30" ht="30" x14ac:dyDescent="0.25">
      <c r="A849" s="6">
        <v>44924</v>
      </c>
      <c r="B849" s="2" t="s">
        <v>35</v>
      </c>
      <c r="C849" s="2" t="s">
        <v>36</v>
      </c>
      <c r="D849" s="1" t="s">
        <v>245</v>
      </c>
      <c r="E849" s="1"/>
      <c r="F849" s="3"/>
      <c r="G849" s="5">
        <v>5454</v>
      </c>
      <c r="H849" s="2"/>
      <c r="I849" s="2">
        <v>73.180000000000007</v>
      </c>
      <c r="J849" s="2"/>
      <c r="K849" s="2">
        <v>80</v>
      </c>
      <c r="L849" s="2"/>
      <c r="M849" s="26">
        <f>Таблица2[[#This Row],[Сумма Долл]]*Таблица2[[#This Row],[Курс ДОЛЛ]]</f>
        <v>399123.72000000003</v>
      </c>
      <c r="N84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404978.12000000005</v>
      </c>
      <c r="O84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5476.5407772905155</v>
      </c>
      <c r="P84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5830.3040000000001</v>
      </c>
      <c r="Q849" s="30">
        <v>404978.12</v>
      </c>
      <c r="R849" s="12">
        <f>Таблица2[[#This Row],[Сумма в руб]]-Таблица2[[#This Row],[Оплата от клиента]]</f>
        <v>0</v>
      </c>
      <c r="S849" s="32">
        <v>44924</v>
      </c>
      <c r="T849" s="32" t="s">
        <v>164</v>
      </c>
      <c r="U849" s="24" t="s">
        <v>31</v>
      </c>
      <c r="V849" s="2"/>
      <c r="W849" s="28">
        <v>72.878799999999998</v>
      </c>
      <c r="X849" s="9">
        <v>5454</v>
      </c>
      <c r="Y849" s="16"/>
      <c r="Z849" s="10">
        <v>44924</v>
      </c>
      <c r="AA849" s="26">
        <f>Таблица2[[#This Row],[Сумма перевода Долл/Евро]]*Таблица2[[#This Row],[Курс ДОЛЛ перевод]]+Таблица2[[#This Row],[Сумма за перевод руб]]</f>
        <v>403311.27919999999</v>
      </c>
      <c r="AB84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22.540777290515507</v>
      </c>
      <c r="AC849" s="9" t="s">
        <v>1189</v>
      </c>
      <c r="AD849" s="41"/>
    </row>
    <row r="850" spans="1:30" ht="45" x14ac:dyDescent="0.25">
      <c r="A850" s="6">
        <v>44924</v>
      </c>
      <c r="B850" s="2" t="s">
        <v>35</v>
      </c>
      <c r="C850" s="2" t="s">
        <v>36</v>
      </c>
      <c r="D850" s="1" t="s">
        <v>1062</v>
      </c>
      <c r="E850" s="1"/>
      <c r="F850" s="3"/>
      <c r="G850" s="5">
        <v>4511.28</v>
      </c>
      <c r="H850" s="2"/>
      <c r="I850" s="2">
        <v>73.180000000000007</v>
      </c>
      <c r="J850" s="2"/>
      <c r="K850" s="2">
        <v>80</v>
      </c>
      <c r="L850" s="2"/>
      <c r="M850" s="26">
        <f>Таблица2[[#This Row],[Сумма Долл]]*Таблица2[[#This Row],[Курс ДОЛЛ]]</f>
        <v>330135.47039999999</v>
      </c>
      <c r="N85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335989.87040000001</v>
      </c>
      <c r="O85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4568.7862726944368</v>
      </c>
      <c r="P85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5780.7119999999995</v>
      </c>
      <c r="Q850" s="30">
        <v>335989.87</v>
      </c>
      <c r="R850" s="12">
        <f>Таблица2[[#This Row],[Сумма в руб]]-Таблица2[[#This Row],[Оплата от клиента]]</f>
        <v>4.0000001899898052E-4</v>
      </c>
      <c r="S850" s="32">
        <v>44924</v>
      </c>
      <c r="T850" s="32" t="s">
        <v>164</v>
      </c>
      <c r="U850" s="24" t="s">
        <v>31</v>
      </c>
      <c r="V850" s="2"/>
      <c r="W850" s="28">
        <v>72.258899999999997</v>
      </c>
      <c r="X850" s="5">
        <v>4511.28</v>
      </c>
      <c r="Y850" s="16"/>
      <c r="Z850" s="10">
        <v>44924</v>
      </c>
      <c r="AA850" s="26">
        <f>Таблица2[[#This Row],[Сумма перевода Долл/Евро]]*Таблица2[[#This Row],[Курс ДОЛЛ перевод]]+Таблица2[[#This Row],[Сумма за перевод руб]]</f>
        <v>331760.84239199996</v>
      </c>
      <c r="AB85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57.50627269443703</v>
      </c>
      <c r="AC850" s="9"/>
      <c r="AD850" s="41"/>
    </row>
    <row r="851" spans="1:30" ht="30" x14ac:dyDescent="0.25">
      <c r="A851" s="6">
        <v>44924</v>
      </c>
      <c r="B851" s="2" t="s">
        <v>915</v>
      </c>
      <c r="C851" s="2" t="s">
        <v>1063</v>
      </c>
      <c r="D851" s="1" t="s">
        <v>1064</v>
      </c>
      <c r="E851" s="1"/>
      <c r="F851" s="3"/>
      <c r="G851" s="5">
        <v>9900</v>
      </c>
      <c r="H851" s="2"/>
      <c r="I851" s="2">
        <v>73.180000000000007</v>
      </c>
      <c r="J851" s="2">
        <v>0.99</v>
      </c>
      <c r="K851" s="2"/>
      <c r="L851" s="2"/>
      <c r="M851" s="26">
        <f>Таблица2[[#This Row],[Сумма Долл]]*Таблица2[[#This Row],[Курс ДОЛЛ]]</f>
        <v>724482.00000000012</v>
      </c>
      <c r="N85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731800.00000000012</v>
      </c>
      <c r="O85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9940.9156023425221</v>
      </c>
      <c r="P85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7318</v>
      </c>
      <c r="Q851" s="30">
        <v>731800</v>
      </c>
      <c r="R851" s="12">
        <f>Таблица2[[#This Row],[Сумма в руб]]-Таблица2[[#This Row],[Оплата от клиента]]</f>
        <v>0</v>
      </c>
      <c r="S851" s="32">
        <v>44924</v>
      </c>
      <c r="T851" s="32" t="s">
        <v>164</v>
      </c>
      <c r="U851" s="24" t="s">
        <v>31</v>
      </c>
      <c r="V851" s="2"/>
      <c r="W851" s="28">
        <v>72.878799999999998</v>
      </c>
      <c r="X851" s="9">
        <v>9900</v>
      </c>
      <c r="Y851" s="16"/>
      <c r="Z851" s="10">
        <v>44924</v>
      </c>
      <c r="AA851" s="26">
        <f>Таблица2[[#This Row],[Сумма перевода Долл/Евро]]*Таблица2[[#This Row],[Курс ДОЛЛ перевод]]+Таблица2[[#This Row],[Сумма за перевод руб]]</f>
        <v>728818.12</v>
      </c>
      <c r="AB85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40.915602342522106</v>
      </c>
      <c r="AC851" s="9" t="s">
        <v>1170</v>
      </c>
      <c r="AD851" s="41"/>
    </row>
    <row r="852" spans="1:30" ht="30" x14ac:dyDescent="0.25">
      <c r="A852" s="6">
        <v>44935</v>
      </c>
      <c r="B852" s="38" t="s">
        <v>209</v>
      </c>
      <c r="C852" s="38" t="s">
        <v>210</v>
      </c>
      <c r="D852" s="1" t="s">
        <v>1065</v>
      </c>
      <c r="E852" s="1"/>
      <c r="F852" s="3">
        <v>32260</v>
      </c>
      <c r="G852" s="5"/>
      <c r="H852" s="2">
        <v>10.44</v>
      </c>
      <c r="I852" s="2"/>
      <c r="J852" s="2">
        <v>0.97</v>
      </c>
      <c r="K852" s="2"/>
      <c r="L852" s="2"/>
      <c r="M852" s="26">
        <f>Таблица2[[#This Row],[Сумма ЮА]]*Таблица2[[#This Row],[Курс ЮА]]</f>
        <v>336794.39999999997</v>
      </c>
      <c r="N852" s="24">
        <f>Таблица2[[#This Row],[Сумма ЮА]]*Таблица2[[#This Row],[Курс ЮА]]/Таблица2[[#This Row],[% за перевод]]</f>
        <v>347210.72164948453</v>
      </c>
      <c r="O85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5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10416.321649484569</v>
      </c>
      <c r="Q852" s="30">
        <v>347210.72</v>
      </c>
      <c r="R852" s="12">
        <f>Таблица2[[#This Row],[Сумма в руб]]-Таблица2[[#This Row],[Оплата от клиента]]</f>
        <v>1.6494845622219145E-3</v>
      </c>
      <c r="S852" s="32">
        <v>44935</v>
      </c>
      <c r="T852" s="32" t="s">
        <v>107</v>
      </c>
      <c r="U852" s="24" t="s">
        <v>31</v>
      </c>
      <c r="V852" s="2">
        <v>10.3766</v>
      </c>
      <c r="W852" s="28"/>
      <c r="X852" s="9"/>
      <c r="Y852" s="16">
        <v>32260</v>
      </c>
      <c r="Z852" s="10">
        <v>44936</v>
      </c>
      <c r="AA852" s="26">
        <f>Таблица2[[#This Row],[Сумма перевода Долл/Евро]]*Таблица2[[#This Row],[Курс ДОЛЛ перевод]]+Таблица2[[#This Row],[Сумма за перевод руб]]</f>
        <v>10416.321649484569</v>
      </c>
      <c r="AB85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52" s="9" t="s">
        <v>1143</v>
      </c>
      <c r="AD852" s="41"/>
    </row>
    <row r="853" spans="1:30" ht="30" x14ac:dyDescent="0.25">
      <c r="A853" s="6">
        <v>44935</v>
      </c>
      <c r="B853" s="38" t="s">
        <v>209</v>
      </c>
      <c r="C853" s="38" t="s">
        <v>210</v>
      </c>
      <c r="D853" s="1" t="s">
        <v>998</v>
      </c>
      <c r="E853" s="1"/>
      <c r="F853" s="3">
        <v>103600</v>
      </c>
      <c r="G853" s="5"/>
      <c r="H853" s="2">
        <v>10.44</v>
      </c>
      <c r="I853" s="2"/>
      <c r="J853" s="2">
        <v>0.97</v>
      </c>
      <c r="K853" s="2"/>
      <c r="L853" s="2"/>
      <c r="M853" s="26">
        <f>Таблица2[[#This Row],[Сумма ЮА]]*Таблица2[[#This Row],[Курс ЮА]]</f>
        <v>1081584</v>
      </c>
      <c r="N853" s="24">
        <f>Таблица2[[#This Row],[Сумма ЮА]]*Таблица2[[#This Row],[Курс ЮА]]/Таблица2[[#This Row],[% за перевод]]</f>
        <v>1115035.0515463918</v>
      </c>
      <c r="O85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5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33451.051546391798</v>
      </c>
      <c r="Q853" s="30">
        <v>1115035.05</v>
      </c>
      <c r="R853" s="12">
        <f>Таблица2[[#This Row],[Сумма в руб]]-Таблица2[[#This Row],[Оплата от клиента]]</f>
        <v>1.5463917516171932E-3</v>
      </c>
      <c r="S853" s="32">
        <v>44935</v>
      </c>
      <c r="T853" s="32" t="s">
        <v>107</v>
      </c>
      <c r="U853" s="24" t="s">
        <v>31</v>
      </c>
      <c r="V853" s="2">
        <v>10.3766</v>
      </c>
      <c r="W853" s="28"/>
      <c r="X853" s="9"/>
      <c r="Y853" s="16">
        <v>103600</v>
      </c>
      <c r="Z853" s="10">
        <v>44936</v>
      </c>
      <c r="AA853" s="26">
        <f>Таблица2[[#This Row],[Сумма перевода Долл/Евро]]*Таблица2[[#This Row],[Курс ДОЛЛ перевод]]+Таблица2[[#This Row],[Сумма за перевод руб]]</f>
        <v>33451.051546391798</v>
      </c>
      <c r="AB85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53" s="9" t="s">
        <v>1145</v>
      </c>
      <c r="AD853" s="41"/>
    </row>
    <row r="854" spans="1:30" x14ac:dyDescent="0.25">
      <c r="A854" s="6">
        <v>44936</v>
      </c>
      <c r="B854" s="2" t="s">
        <v>142</v>
      </c>
      <c r="C854" s="2" t="s">
        <v>143</v>
      </c>
      <c r="D854" s="1" t="s">
        <v>801</v>
      </c>
      <c r="E854" s="1"/>
      <c r="F854" s="3"/>
      <c r="G854" s="5">
        <v>5000</v>
      </c>
      <c r="H854" s="2"/>
      <c r="I854" s="2">
        <v>70.959999999999994</v>
      </c>
      <c r="J854" s="2">
        <v>0.97</v>
      </c>
      <c r="K854" s="2"/>
      <c r="L854" s="2"/>
      <c r="M854" s="26">
        <f>Таблица2[[#This Row],[Сумма Долл]]*Таблица2[[#This Row],[Курс ДОЛЛ]]</f>
        <v>354799.99999999994</v>
      </c>
      <c r="N85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365773.19587628864</v>
      </c>
      <c r="O85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5026.0296773736582</v>
      </c>
      <c r="P85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10973.195876288693</v>
      </c>
      <c r="Q854" s="30">
        <v>365773.2</v>
      </c>
      <c r="R854" s="12">
        <f>Таблица2[[#This Row],[Сумма в руб]]-Таблица2[[#This Row],[Оплата от клиента]]</f>
        <v>-4.1237113764509559E-3</v>
      </c>
      <c r="S854" s="32">
        <v>44936</v>
      </c>
      <c r="T854" s="32" t="s">
        <v>164</v>
      </c>
      <c r="U854" s="24" t="s">
        <v>31</v>
      </c>
      <c r="V854" s="2"/>
      <c r="W854" s="28">
        <v>70.592500000000001</v>
      </c>
      <c r="X854" s="9">
        <v>5000</v>
      </c>
      <c r="Y854" s="16"/>
      <c r="Z854" s="10">
        <v>44937</v>
      </c>
      <c r="AA854" s="26">
        <f>Таблица2[[#This Row],[Сумма перевода Долл/Евро]]*Таблица2[[#This Row],[Курс ДОЛЛ перевод]]+Таблица2[[#This Row],[Сумма за перевод руб]]</f>
        <v>363935.69587628869</v>
      </c>
      <c r="AB85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26.02967737365816</v>
      </c>
      <c r="AC854" s="9" t="s">
        <v>1158</v>
      </c>
      <c r="AD854" s="41"/>
    </row>
    <row r="855" spans="1:30" ht="45" x14ac:dyDescent="0.25">
      <c r="A855" s="6">
        <v>44936</v>
      </c>
      <c r="B855" s="2" t="s">
        <v>952</v>
      </c>
      <c r="C855" s="2" t="s">
        <v>953</v>
      </c>
      <c r="D855" s="1" t="s">
        <v>1070</v>
      </c>
      <c r="E855" s="1"/>
      <c r="F855" s="3"/>
      <c r="G855" s="5">
        <v>1000</v>
      </c>
      <c r="H855" s="2"/>
      <c r="I855" s="2">
        <v>70.739999999999995</v>
      </c>
      <c r="J855" s="2"/>
      <c r="K855" s="2">
        <v>80</v>
      </c>
      <c r="L855" s="2"/>
      <c r="M855" s="26">
        <f>Таблица2[[#This Row],[Сумма Долл]]*Таблица2[[#This Row],[Курс ДОЛЛ]]</f>
        <v>70740</v>
      </c>
      <c r="N85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76399.199999999997</v>
      </c>
      <c r="O85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1011.9216211344852</v>
      </c>
      <c r="P85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5592.5280000000002</v>
      </c>
      <c r="Q855" s="30">
        <v>76399.199999999997</v>
      </c>
      <c r="R855" s="12">
        <f>Таблица2[[#This Row],[Сумма в руб]]-Таблица2[[#This Row],[Оплата от клиента]]</f>
        <v>0</v>
      </c>
      <c r="S855" s="32">
        <v>44936</v>
      </c>
      <c r="T855" s="32" t="s">
        <v>164</v>
      </c>
      <c r="U855" s="24" t="s">
        <v>31</v>
      </c>
      <c r="V855" s="2"/>
      <c r="W855" s="28">
        <v>69.906599999999997</v>
      </c>
      <c r="X855" s="9">
        <v>1000</v>
      </c>
      <c r="Y855" s="16"/>
      <c r="Z855" s="10">
        <v>44937</v>
      </c>
      <c r="AA855" s="26">
        <f>Таблица2[[#This Row],[Сумма перевода Долл/Евро]]*Таблица2[[#This Row],[Курс ДОЛЛ перевод]]+Таблица2[[#This Row],[Сумма за перевод руб]]</f>
        <v>75499.127999999997</v>
      </c>
      <c r="AB85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11.921621134485235</v>
      </c>
      <c r="AC855" s="9" t="s">
        <v>1132</v>
      </c>
      <c r="AD855" s="41"/>
    </row>
    <row r="856" spans="1:30" ht="30" x14ac:dyDescent="0.25">
      <c r="A856" s="6">
        <v>44936</v>
      </c>
      <c r="B856" s="29" t="s">
        <v>1044</v>
      </c>
      <c r="C856" s="29" t="s">
        <v>1045</v>
      </c>
      <c r="D856" s="1" t="s">
        <v>1046</v>
      </c>
      <c r="E856" s="1"/>
      <c r="F856" s="3">
        <v>6000</v>
      </c>
      <c r="G856" s="5"/>
      <c r="H856" s="2">
        <v>10.67</v>
      </c>
      <c r="I856" s="2"/>
      <c r="J856" s="2">
        <v>0.85</v>
      </c>
      <c r="K856" s="2"/>
      <c r="L856" s="2"/>
      <c r="M856" s="26">
        <f>Таблица2[[#This Row],[Сумма ЮА]]*Таблица2[[#This Row],[Курс ЮА]]</f>
        <v>64020</v>
      </c>
      <c r="N856" s="24">
        <f>Таблица2[[#This Row],[Сумма ЮА]]*Таблица2[[#This Row],[Курс ЮА]]/Таблица2[[#This Row],[% за перевод]]</f>
        <v>75317.647058823524</v>
      </c>
      <c r="O85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934.17441132566103</v>
      </c>
      <c r="P85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11297.647058823524</v>
      </c>
      <c r="Q856" s="30">
        <v>75317.649999999994</v>
      </c>
      <c r="R856" s="12">
        <f>Таблица2[[#This Row],[Сумма в руб]]-Таблица2[[#This Row],[Оплата от клиента]]</f>
        <v>-2.9411764699034393E-3</v>
      </c>
      <c r="S856" s="32">
        <v>44936</v>
      </c>
      <c r="T856" s="32" t="s">
        <v>720</v>
      </c>
      <c r="U856" s="24" t="s">
        <v>947</v>
      </c>
      <c r="V856" s="2"/>
      <c r="W856" s="28">
        <v>68.531099999999995</v>
      </c>
      <c r="X856" s="9">
        <v>973.09</v>
      </c>
      <c r="Y856" s="16"/>
      <c r="Z856" s="2"/>
      <c r="AA856" s="26">
        <f>Таблица2[[#This Row],[Сумма перевода Долл/Евро]]*Таблица2[[#This Row],[Курс ДОЛЛ перевод]]+Таблица2[[#This Row],[Сумма за перевод руб]]</f>
        <v>77984.575157823521</v>
      </c>
      <c r="AB85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-38.915588674339006</v>
      </c>
      <c r="AC856" s="9"/>
      <c r="AD856" s="41"/>
    </row>
    <row r="857" spans="1:30" ht="60" x14ac:dyDescent="0.25">
      <c r="A857" s="6">
        <v>44936</v>
      </c>
      <c r="B857" s="38" t="s">
        <v>919</v>
      </c>
      <c r="C857" s="38" t="s">
        <v>680</v>
      </c>
      <c r="D857" s="1" t="s">
        <v>980</v>
      </c>
      <c r="E857" s="1"/>
      <c r="F857" s="3">
        <v>29025</v>
      </c>
      <c r="G857" s="5"/>
      <c r="H857" s="2">
        <v>10.67</v>
      </c>
      <c r="I857" s="2"/>
      <c r="J857" s="2">
        <v>0.97</v>
      </c>
      <c r="K857" s="2"/>
      <c r="L857" s="2"/>
      <c r="M857" s="26">
        <f>Таблица2[[#This Row],[Сумма ЮА]]*Таблица2[[#This Row],[Курс ЮА]]</f>
        <v>309696.75</v>
      </c>
      <c r="N857" s="24">
        <f>Таблица2[[#This Row],[Сумма ЮА]]*Таблица2[[#This Row],[Курс ЮА]]/Таблица2[[#This Row],[% за перевод]]</f>
        <v>319275</v>
      </c>
      <c r="O85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5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9578.25</v>
      </c>
      <c r="Q857" s="30">
        <v>319275</v>
      </c>
      <c r="R857" s="12">
        <f>Таблица2[[#This Row],[Сумма в руб]]-Таблица2[[#This Row],[Оплата от клиента]]</f>
        <v>0</v>
      </c>
      <c r="S857" s="32">
        <v>44936</v>
      </c>
      <c r="T857" s="32" t="s">
        <v>107</v>
      </c>
      <c r="U857" s="24" t="s">
        <v>31</v>
      </c>
      <c r="V857" s="2">
        <v>10.3041</v>
      </c>
      <c r="W857" s="28"/>
      <c r="X857" s="9"/>
      <c r="Y857" s="16">
        <v>29025</v>
      </c>
      <c r="Z857" s="10">
        <v>44937</v>
      </c>
      <c r="AA857" s="26">
        <f>Таблица2[[#This Row],[Сумма перевода Долл/Евро]]*Таблица2[[#This Row],[Курс ДОЛЛ перевод]]+Таблица2[[#This Row],[Сумма за перевод руб]]</f>
        <v>9578.25</v>
      </c>
      <c r="AB85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57" s="9" t="s">
        <v>1131</v>
      </c>
      <c r="AD857" s="41"/>
    </row>
    <row r="858" spans="1:30" ht="45" x14ac:dyDescent="0.25">
      <c r="A858" s="6">
        <v>44936</v>
      </c>
      <c r="B858" s="29" t="s">
        <v>1074</v>
      </c>
      <c r="C858" s="29" t="s">
        <v>1073</v>
      </c>
      <c r="D858" s="1" t="s">
        <v>1075</v>
      </c>
      <c r="E858" s="1"/>
      <c r="F858" s="3">
        <v>25384</v>
      </c>
      <c r="G858" s="5"/>
      <c r="H858" s="2">
        <v>10.77</v>
      </c>
      <c r="I858" s="2"/>
      <c r="J858" s="2"/>
      <c r="K858" s="2"/>
      <c r="L858" s="2"/>
      <c r="M858" s="26">
        <f>Таблица2[[#This Row],[Сумма ЮА]]*Таблица2[[#This Row],[Курс ЮА]]</f>
        <v>273385.68</v>
      </c>
      <c r="N858" s="24">
        <f>Таблица2[[#This Row],[Сумма ЮА]]*Таблица2[[#This Row],[Курс ЮА]]</f>
        <v>273385.68</v>
      </c>
      <c r="O858" s="27">
        <f>Таблица2[[#This Row],[Сумма ЮА]]</f>
        <v>25384</v>
      </c>
      <c r="P858" s="12">
        <f>Таблица2[[#This Row],[Сумма в руб]]-Таблица2[[#This Row],[Сумма без %]]</f>
        <v>0</v>
      </c>
      <c r="Q858" s="30">
        <v>273385.68</v>
      </c>
      <c r="R858" s="12">
        <f>Таблица2[[#This Row],[Сумма в руб]]-Таблица2[[#This Row],[Оплата от клиента]]</f>
        <v>0</v>
      </c>
      <c r="S858" s="32">
        <v>44937</v>
      </c>
      <c r="T858" s="32" t="s">
        <v>1072</v>
      </c>
      <c r="U858" s="24" t="s">
        <v>947</v>
      </c>
      <c r="V858" s="2"/>
      <c r="W858" s="28"/>
      <c r="X858" s="9"/>
      <c r="Y858" s="16">
        <v>21041</v>
      </c>
      <c r="Z858" s="10">
        <v>44939</v>
      </c>
      <c r="AA858" s="26">
        <f>Таблица2[[#This Row],[Сумма перевода Долл/Евро]]*Таблица2[[#This Row],[Курс ДОЛЛ перевод]]+Таблица2[[#This Row],[Сумма за перевод руб]]</f>
        <v>0</v>
      </c>
      <c r="AB85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58" s="9"/>
      <c r="AD858" s="41"/>
    </row>
    <row r="859" spans="1:30" ht="45" x14ac:dyDescent="0.25">
      <c r="A859" s="6">
        <v>44938</v>
      </c>
      <c r="B859" s="38" t="s">
        <v>726</v>
      </c>
      <c r="C859" s="38" t="s">
        <v>203</v>
      </c>
      <c r="D859" s="1" t="s">
        <v>1081</v>
      </c>
      <c r="E859" s="1"/>
      <c r="F859" s="3">
        <v>7180</v>
      </c>
      <c r="G859" s="5"/>
      <c r="H859" s="2">
        <v>10.31</v>
      </c>
      <c r="I859" s="2">
        <v>70.239999999999995</v>
      </c>
      <c r="J859" s="2"/>
      <c r="K859" s="2">
        <v>80</v>
      </c>
      <c r="L859" s="2"/>
      <c r="M859" s="26">
        <f>Таблица2[[#This Row],[Сумма ЮА]]*Таблица2[[#This Row],[Курс ЮА]]</f>
        <v>74025.8</v>
      </c>
      <c r="N859" s="24">
        <f>Таблица2[[#This Row],[Сумма ЮА]]*Таблица2[[#This Row],[Курс ЮА]]+Таблица2[[#This Row],[Долл за перевод]]*Таблица2[[#This Row],[Курс ДОЛЛ]]</f>
        <v>79645</v>
      </c>
      <c r="O85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1053.8980637813213</v>
      </c>
      <c r="P859" s="12">
        <f>Таблица2[[#This Row],[Долл за перевод]]*Таблица2[[#This Row],[Курс ДОЛЛ]]</f>
        <v>5619.2</v>
      </c>
      <c r="Q859" s="30">
        <v>79645</v>
      </c>
      <c r="R859" s="12">
        <f>Таблица2[[#This Row],[Сумма в руб]]-Таблица2[[#This Row],[Оплата от клиента]]</f>
        <v>0</v>
      </c>
      <c r="S859" s="32">
        <v>44938</v>
      </c>
      <c r="T859" s="32" t="s">
        <v>107</v>
      </c>
      <c r="U859" s="24" t="s">
        <v>31</v>
      </c>
      <c r="V859" s="2">
        <v>10.1341</v>
      </c>
      <c r="W859" s="28"/>
      <c r="X859" s="9"/>
      <c r="Y859" s="16">
        <v>7180</v>
      </c>
      <c r="Z859" s="10">
        <v>44938</v>
      </c>
      <c r="AA859" s="26">
        <f>Таблица2[[#This Row],[Сумма перевода Долл/Евро]]*Таблица2[[#This Row],[Курс ДОЛЛ перевод]]+Таблица2[[#This Row],[Сумма за перевод руб]]</f>
        <v>5619.2</v>
      </c>
      <c r="AB85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345.39903574725804</v>
      </c>
      <c r="AC859" s="9" t="s">
        <v>1172</v>
      </c>
      <c r="AD859" s="41"/>
    </row>
    <row r="860" spans="1:30" x14ac:dyDescent="0.25">
      <c r="A860" s="6">
        <v>44938</v>
      </c>
      <c r="B860" s="55" t="s">
        <v>298</v>
      </c>
      <c r="C860" s="55" t="s">
        <v>56</v>
      </c>
      <c r="D860" s="1"/>
      <c r="E860" s="1"/>
      <c r="F860" s="3"/>
      <c r="G860" s="5">
        <v>42.6</v>
      </c>
      <c r="H860" s="2"/>
      <c r="I860" s="2">
        <v>70.239999999999995</v>
      </c>
      <c r="J860" s="2"/>
      <c r="K860" s="2">
        <v>80</v>
      </c>
      <c r="L860" s="2"/>
      <c r="M860" s="26">
        <f>Таблица2[[#This Row],[Сумма Долл]]*Таблица2[[#This Row],[Курс ДОЛЛ]]</f>
        <v>2992.2239999999997</v>
      </c>
      <c r="N86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8611.4239999999991</v>
      </c>
      <c r="O86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43.381408862367117</v>
      </c>
      <c r="P86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5517.9840000000004</v>
      </c>
      <c r="Q860" s="30">
        <v>8611.42</v>
      </c>
      <c r="R860" s="12">
        <f>Таблица2[[#This Row],[Сумма в руб]]-Таблица2[[#This Row],[Оплата от клиента]]</f>
        <v>3.9999999989959178E-3</v>
      </c>
      <c r="S860" s="10">
        <v>44939</v>
      </c>
      <c r="T860" s="32" t="s">
        <v>164</v>
      </c>
      <c r="U860" s="24" t="s">
        <v>31</v>
      </c>
      <c r="V860" s="2"/>
      <c r="W860" s="28">
        <v>68.974800000000002</v>
      </c>
      <c r="X860" s="9">
        <v>42.6</v>
      </c>
      <c r="Y860" s="16"/>
      <c r="Z860" s="10">
        <v>44939</v>
      </c>
      <c r="AA860" s="26">
        <f>Таблица2[[#This Row],[Сумма перевода Долл/Евро]]*Таблица2[[#This Row],[Курс ДОЛЛ перевод]]+Таблица2[[#This Row],[Сумма за перевод руб]]</f>
        <v>8456.3104800000001</v>
      </c>
      <c r="AB86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0.78140886236711538</v>
      </c>
      <c r="AC860" s="9"/>
      <c r="AD860" s="41"/>
    </row>
    <row r="861" spans="1:30" ht="30" x14ac:dyDescent="0.25">
      <c r="A861" s="6">
        <v>44938</v>
      </c>
      <c r="B861" s="38" t="s">
        <v>910</v>
      </c>
      <c r="C861" s="38" t="s">
        <v>911</v>
      </c>
      <c r="D861" s="1" t="s">
        <v>1082</v>
      </c>
      <c r="E861" s="1"/>
      <c r="F861" s="3">
        <v>71082</v>
      </c>
      <c r="G861" s="5"/>
      <c r="H861" s="2">
        <v>10.24</v>
      </c>
      <c r="I861" s="2"/>
      <c r="J861" s="2">
        <v>0.97</v>
      </c>
      <c r="K861" s="2"/>
      <c r="L861" s="2"/>
      <c r="M861" s="26">
        <f>Таблица2[[#This Row],[Сумма ЮА]]*Таблица2[[#This Row],[Курс ЮА]]</f>
        <v>727879.68000000005</v>
      </c>
      <c r="N861" s="24">
        <f>Таблица2[[#This Row],[Сумма ЮА]]*Таблица2[[#This Row],[Курс ЮА]]/Таблица2[[#This Row],[% за перевод]]</f>
        <v>750391.42268041242</v>
      </c>
      <c r="O86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6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22511.742680412368</v>
      </c>
      <c r="Q861" s="30">
        <v>750391.42</v>
      </c>
      <c r="R861" s="12">
        <f>Таблица2[[#This Row],[Сумма в руб]]-Таблица2[[#This Row],[Оплата от клиента]]</f>
        <v>2.680412377230823E-3</v>
      </c>
      <c r="S861" s="32">
        <v>44938</v>
      </c>
      <c r="T861" s="32" t="s">
        <v>107</v>
      </c>
      <c r="U861" s="24" t="s">
        <v>31</v>
      </c>
      <c r="V861" s="2">
        <v>10.146599999999999</v>
      </c>
      <c r="W861" s="28"/>
      <c r="X861" s="9"/>
      <c r="Y861" s="16">
        <v>71082</v>
      </c>
      <c r="Z861" s="10">
        <v>44944</v>
      </c>
      <c r="AA861" s="26">
        <f>Таблица2[[#This Row],[Сумма перевода Долл/Евро]]*Таблица2[[#This Row],[Курс ДОЛЛ перевод]]+Таблица2[[#This Row],[Сумма за перевод руб]]</f>
        <v>22511.742680412368</v>
      </c>
      <c r="AB86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61" s="9"/>
      <c r="AD861" s="41"/>
    </row>
    <row r="862" spans="1:30" ht="60" x14ac:dyDescent="0.25">
      <c r="A862" s="6">
        <v>44942</v>
      </c>
      <c r="B862" s="38" t="s">
        <v>117</v>
      </c>
      <c r="C862" s="38" t="s">
        <v>334</v>
      </c>
      <c r="D862" s="1" t="s">
        <v>1084</v>
      </c>
      <c r="E862" s="1"/>
      <c r="F862" s="3">
        <v>51870</v>
      </c>
      <c r="G862" s="5"/>
      <c r="H862" s="2">
        <v>10.37</v>
      </c>
      <c r="I862" s="2"/>
      <c r="J862" s="2">
        <v>0.97</v>
      </c>
      <c r="K862" s="2"/>
      <c r="L862" s="2"/>
      <c r="M862" s="26">
        <f>Таблица2[[#This Row],[Сумма ЮА]]*Таблица2[[#This Row],[Курс ЮА]]</f>
        <v>537891.89999999991</v>
      </c>
      <c r="N862" s="24">
        <f>Таблица2[[#This Row],[Сумма ЮА]]*Таблица2[[#This Row],[Курс ЮА]]/Таблица2[[#This Row],[% за перевод]]</f>
        <v>554527.73195876286</v>
      </c>
      <c r="O86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6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16635.831958762952</v>
      </c>
      <c r="Q862" s="30">
        <v>554527.73</v>
      </c>
      <c r="R862" s="12">
        <f>Таблица2[[#This Row],[Сумма в руб]]-Таблица2[[#This Row],[Оплата от клиента]]</f>
        <v>1.9587628776207566E-3</v>
      </c>
      <c r="S862" s="32">
        <v>44942</v>
      </c>
      <c r="T862" s="32" t="s">
        <v>107</v>
      </c>
      <c r="U862" s="24" t="s">
        <v>31</v>
      </c>
      <c r="V862" s="2">
        <v>10.3089</v>
      </c>
      <c r="W862" s="28"/>
      <c r="X862" s="9"/>
      <c r="Y862" s="16">
        <v>51870</v>
      </c>
      <c r="Z862" s="10">
        <v>44942</v>
      </c>
      <c r="AA862" s="26">
        <f>Таблица2[[#This Row],[Сумма перевода Долл/Евро]]*Таблица2[[#This Row],[Курс ДОЛЛ перевод]]+Таблица2[[#This Row],[Сумма за перевод руб]]</f>
        <v>16635.831958762952</v>
      </c>
      <c r="AB86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62" s="9"/>
      <c r="AD862" s="41"/>
    </row>
    <row r="863" spans="1:30" ht="30" x14ac:dyDescent="0.25">
      <c r="A863" s="6">
        <v>44942</v>
      </c>
      <c r="B863" s="38" t="s">
        <v>452</v>
      </c>
      <c r="C863" s="38" t="s">
        <v>447</v>
      </c>
      <c r="D863" s="1" t="s">
        <v>826</v>
      </c>
      <c r="E863" s="1"/>
      <c r="F863" s="3"/>
      <c r="G863" s="5">
        <v>2675.68</v>
      </c>
      <c r="H863" s="2"/>
      <c r="I863" s="2">
        <v>69.41</v>
      </c>
      <c r="J863" s="2">
        <v>0.9</v>
      </c>
      <c r="K863" s="2"/>
      <c r="L863" s="2"/>
      <c r="M863" s="26">
        <f>Таблица2[[#This Row],[Сумма Долл]]*Таблица2[[#This Row],[Курс ДОЛЛ]]</f>
        <v>185718.94879999998</v>
      </c>
      <c r="N86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206354.38755555553</v>
      </c>
      <c r="O86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2669.4764766505727</v>
      </c>
      <c r="P86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20635.438755555544</v>
      </c>
      <c r="Q863" s="30">
        <v>206354.39</v>
      </c>
      <c r="R863" s="12">
        <f>Таблица2[[#This Row],[Сумма в руб]]-Таблица2[[#This Row],[Оплата от клиента]]</f>
        <v>-2.4444444861728698E-3</v>
      </c>
      <c r="S863" s="32">
        <v>44943</v>
      </c>
      <c r="T863" s="32" t="s">
        <v>720</v>
      </c>
      <c r="U863" s="24" t="s">
        <v>375</v>
      </c>
      <c r="V863" s="2"/>
      <c r="W863" s="28">
        <v>69.571299999999994</v>
      </c>
      <c r="X863" s="9">
        <v>2780.7</v>
      </c>
      <c r="Y863" s="16"/>
      <c r="Z863" s="2"/>
      <c r="AA863" s="26">
        <f>Таблица2[[#This Row],[Сумма перевода Долл/Евро]]*Таблица2[[#This Row],[Курс ДОЛЛ перевод]]+Таблица2[[#This Row],[Сумма за перевод руб]]</f>
        <v>214092.35266555552</v>
      </c>
      <c r="AB86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-111.22352334942707</v>
      </c>
      <c r="AC863" s="9"/>
      <c r="AD863" s="41"/>
    </row>
    <row r="864" spans="1:30" ht="60" x14ac:dyDescent="0.25">
      <c r="A864" s="6">
        <v>44942</v>
      </c>
      <c r="B864" s="38" t="s">
        <v>117</v>
      </c>
      <c r="C864" s="38" t="s">
        <v>334</v>
      </c>
      <c r="D864" s="1" t="s">
        <v>1084</v>
      </c>
      <c r="E864" s="1"/>
      <c r="F864" s="3">
        <v>66151.5</v>
      </c>
      <c r="G864" s="5"/>
      <c r="H864" s="2">
        <v>10.31</v>
      </c>
      <c r="I864" s="2"/>
      <c r="J864" s="2">
        <v>0.94</v>
      </c>
      <c r="K864" s="2"/>
      <c r="L864" s="2"/>
      <c r="M864" s="26">
        <f>Таблица2[[#This Row],[Сумма ЮА]]*Таблица2[[#This Row],[Курс ЮА]]</f>
        <v>682021.96500000008</v>
      </c>
      <c r="N864" s="24">
        <f>Таблица2[[#This Row],[Сумма ЮА]]*Таблица2[[#This Row],[Курс ЮА]]/Таблица2[[#This Row],[% за перевод]]</f>
        <v>725555.28191489377</v>
      </c>
      <c r="O86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9803.2085788248914</v>
      </c>
      <c r="P86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43533.316914893687</v>
      </c>
      <c r="Q864" s="30">
        <v>725555.28</v>
      </c>
      <c r="R864" s="12">
        <f>Таблица2[[#This Row],[Сумма в руб]]-Таблица2[[#This Row],[Оплата от клиента]]</f>
        <v>1.9148937426507473E-3</v>
      </c>
      <c r="S864" s="32">
        <v>44942</v>
      </c>
      <c r="T864" s="32" t="s">
        <v>720</v>
      </c>
      <c r="U864" s="24" t="s">
        <v>375</v>
      </c>
      <c r="V864" s="2"/>
      <c r="W864" s="28">
        <v>69.571299999999994</v>
      </c>
      <c r="X864" s="9">
        <v>10211.68</v>
      </c>
      <c r="Y864" s="16">
        <v>66151.5</v>
      </c>
      <c r="Z864" s="2"/>
      <c r="AA864" s="26">
        <f>Таблица2[[#This Row],[Сумма перевода Долл/Евро]]*Таблица2[[#This Row],[Курс ДОЛЛ перевод]]+Таблица2[[#This Row],[Сумма за перевод руб]]</f>
        <v>753973.16969889367</v>
      </c>
      <c r="AB86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64" s="9"/>
      <c r="AD864" s="41"/>
    </row>
    <row r="865" spans="1:30" ht="30" x14ac:dyDescent="0.25">
      <c r="A865" s="6">
        <v>44943</v>
      </c>
      <c r="B865" s="38" t="s">
        <v>57</v>
      </c>
      <c r="C865" s="38" t="s">
        <v>1005</v>
      </c>
      <c r="D865" s="1" t="s">
        <v>1086</v>
      </c>
      <c r="E865" s="1"/>
      <c r="F865" s="3">
        <v>46801.98</v>
      </c>
      <c r="G865" s="5"/>
      <c r="H865" s="2">
        <v>10.36</v>
      </c>
      <c r="I865" s="2">
        <v>69.81</v>
      </c>
      <c r="J865" s="2"/>
      <c r="K865" s="2">
        <v>80</v>
      </c>
      <c r="L865" s="2"/>
      <c r="M865" s="26">
        <f>Таблица2[[#This Row],[Сумма ЮА]]*Таблица2[[#This Row],[Курс ЮА]]</f>
        <v>484868.51280000003</v>
      </c>
      <c r="N865" s="24">
        <f>Таблица2[[#This Row],[Сумма ЮА]]*Таблица2[[#This Row],[Курс ЮА]]+Таблица2[[#This Row],[Долл за перевод]]*Таблица2[[#This Row],[Курс ДОЛЛ]]</f>
        <v>490453.31280000001</v>
      </c>
      <c r="O86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6945.5452342071339</v>
      </c>
      <c r="P865" s="12">
        <f>Таблица2[[#This Row],[Долл за перевод]]*Таблица2[[#This Row],[Курс ДОЛЛ]]</f>
        <v>5584.8</v>
      </c>
      <c r="Q865" s="30">
        <v>490453.31</v>
      </c>
      <c r="R865" s="12">
        <f>Таблица2[[#This Row],[Сумма в руб]]-Таблица2[[#This Row],[Оплата от клиента]]</f>
        <v>2.8000000165775418E-3</v>
      </c>
      <c r="S865" s="32">
        <v>44943</v>
      </c>
      <c r="T865" s="32" t="s">
        <v>107</v>
      </c>
      <c r="U865" s="24" t="s">
        <v>31</v>
      </c>
      <c r="V865" s="2">
        <v>10.314500000000001</v>
      </c>
      <c r="W865" s="28"/>
      <c r="X865" s="9"/>
      <c r="Y865" s="16">
        <v>46801.98</v>
      </c>
      <c r="Z865" s="10">
        <v>44944</v>
      </c>
      <c r="AA865" s="26">
        <f>Таблица2[[#This Row],[Сумма перевода Долл/Евро]]*Таблица2[[#This Row],[Курс ДОЛЛ перевод]]+Таблица2[[#This Row],[Сумма за перевод руб]]</f>
        <v>5584.8</v>
      </c>
      <c r="AB86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2408.0514148266502</v>
      </c>
      <c r="AC865" s="9"/>
      <c r="AD865" s="41"/>
    </row>
    <row r="866" spans="1:30" x14ac:dyDescent="0.25">
      <c r="A866" s="6">
        <v>44945</v>
      </c>
      <c r="B866" s="38" t="s">
        <v>220</v>
      </c>
      <c r="C866" s="38" t="s">
        <v>221</v>
      </c>
      <c r="D866" s="1"/>
      <c r="E866" s="1"/>
      <c r="F866" s="3">
        <v>112512.39</v>
      </c>
      <c r="G866" s="5"/>
      <c r="H866" s="2">
        <v>10.37</v>
      </c>
      <c r="I866" s="2"/>
      <c r="J866" s="2">
        <v>0.97</v>
      </c>
      <c r="K866" s="2"/>
      <c r="L866" s="2"/>
      <c r="M866" s="26">
        <f>Таблица2[[#This Row],[Сумма ЮА]]*Таблица2[[#This Row],[Курс ЮА]]</f>
        <v>1166753.4842999999</v>
      </c>
      <c r="N866" s="24">
        <f>Таблица2[[#This Row],[Сумма ЮА]]*Таблица2[[#This Row],[Курс ЮА]]/Таблица2[[#This Row],[% за перевод]]</f>
        <v>1202838.6436082474</v>
      </c>
      <c r="O86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6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36085.159308247501</v>
      </c>
      <c r="Q866" s="30">
        <v>1202838.6399999999</v>
      </c>
      <c r="R866" s="12">
        <f>Таблица2[[#This Row],[Сумма в руб]]-Таблица2[[#This Row],[Оплата от клиента]]</f>
        <v>3.6082474980503321E-3</v>
      </c>
      <c r="S866" s="32">
        <v>44945</v>
      </c>
      <c r="T866" s="32" t="s">
        <v>107</v>
      </c>
      <c r="U866" s="24" t="s">
        <v>31</v>
      </c>
      <c r="V866" s="2">
        <v>10.254099999999999</v>
      </c>
      <c r="W866" s="28"/>
      <c r="X866" s="9"/>
      <c r="Y866" s="16">
        <v>112512.39</v>
      </c>
      <c r="Z866" s="10">
        <v>44977</v>
      </c>
      <c r="AA866" s="26">
        <f>Таблица2[[#This Row],[Сумма перевода Долл/Евро]]*Таблица2[[#This Row],[Курс ДОЛЛ перевод]]+Таблица2[[#This Row],[Сумма за перевод руб]]</f>
        <v>36085.159308247501</v>
      </c>
      <c r="AB86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66" s="9"/>
      <c r="AD866" s="41"/>
    </row>
    <row r="867" spans="1:30" ht="30" x14ac:dyDescent="0.25">
      <c r="A867" s="6">
        <v>44945</v>
      </c>
      <c r="B867" s="28" t="s">
        <v>783</v>
      </c>
      <c r="C867" s="28" t="s">
        <v>784</v>
      </c>
      <c r="D867" s="1" t="s">
        <v>853</v>
      </c>
      <c r="E867" s="1"/>
      <c r="F867" s="3"/>
      <c r="G867" s="5">
        <v>16000</v>
      </c>
      <c r="H867" s="2"/>
      <c r="I867" s="2">
        <v>75.53</v>
      </c>
      <c r="J867" s="2">
        <v>0.99</v>
      </c>
      <c r="K867" s="2"/>
      <c r="L867" s="2"/>
      <c r="M867" s="26">
        <f>Таблица2[[#This Row],[Сумма Долл]]*Таблица2[[#This Row],[Курс ДОЛЛ]]</f>
        <v>1208480</v>
      </c>
      <c r="N86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1220686.8686868688</v>
      </c>
      <c r="O86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16051.322579145553</v>
      </c>
      <c r="P86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12206.868686868809</v>
      </c>
      <c r="Q867" s="30">
        <v>1220686.8700000001</v>
      </c>
      <c r="R867" s="12">
        <f>Таблица2[[#This Row],[Сумма в руб]]-Таблица2[[#This Row],[Оплата от клиента]]</f>
        <v>-1.3131313025951385E-3</v>
      </c>
      <c r="S867" s="32">
        <v>44945</v>
      </c>
      <c r="T867" s="32" t="s">
        <v>277</v>
      </c>
      <c r="U867" s="24" t="s">
        <v>31</v>
      </c>
      <c r="V867" s="2"/>
      <c r="W867" s="28">
        <v>75.288499999999999</v>
      </c>
      <c r="X867" s="9">
        <v>16000</v>
      </c>
      <c r="Y867" s="16"/>
      <c r="Z867" s="10">
        <v>44946</v>
      </c>
      <c r="AA867" s="26">
        <f>Таблица2[[#This Row],[Сумма перевода Долл/Евро]]*Таблица2[[#This Row],[Курс ДОЛЛ перевод]]+Таблица2[[#This Row],[Сумма за перевод руб]]</f>
        <v>1216822.8686868688</v>
      </c>
      <c r="AB86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51.322579145553391</v>
      </c>
      <c r="AC867" s="9"/>
      <c r="AD867" s="41"/>
    </row>
    <row r="868" spans="1:30" x14ac:dyDescent="0.25">
      <c r="A868" s="6">
        <v>44946</v>
      </c>
      <c r="B868" s="2" t="s">
        <v>298</v>
      </c>
      <c r="C868" s="2" t="s">
        <v>56</v>
      </c>
      <c r="D868" s="1"/>
      <c r="E868" s="1"/>
      <c r="F868" s="3"/>
      <c r="G868" s="5">
        <v>2227.85</v>
      </c>
      <c r="H868" s="2"/>
      <c r="I868" s="2">
        <v>70.94</v>
      </c>
      <c r="J868" s="2"/>
      <c r="K868" s="2">
        <v>80</v>
      </c>
      <c r="L868" s="2"/>
      <c r="M868" s="26">
        <f>Таблица2[[#This Row],[Сумма Долл]]*Таблица2[[#This Row],[Курс ДОЛЛ]]</f>
        <v>158043.67899999997</v>
      </c>
      <c r="N86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163718.87899999999</v>
      </c>
      <c r="O86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2227.85</v>
      </c>
      <c r="P86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5675.2</v>
      </c>
      <c r="Q868" s="30">
        <v>163718.88</v>
      </c>
      <c r="R868" s="12">
        <f>Таблица2[[#This Row],[Сумма в руб]]-Таблица2[[#This Row],[Оплата от клиента]]</f>
        <v>-1.0000000183936208E-3</v>
      </c>
      <c r="S868" s="32">
        <v>44946</v>
      </c>
      <c r="T868" s="32" t="s">
        <v>164</v>
      </c>
      <c r="U868" s="24" t="s">
        <v>31</v>
      </c>
      <c r="V868" s="2"/>
      <c r="W868" s="28"/>
      <c r="X868" s="9">
        <v>2227.85</v>
      </c>
      <c r="Y868" s="16"/>
      <c r="Z868" s="10">
        <v>44946</v>
      </c>
      <c r="AA868" s="26">
        <f>Таблица2[[#This Row],[Сумма перевода Долл/Евро]]*Таблица2[[#This Row],[Курс ДОЛЛ перевод]]+Таблица2[[#This Row],[Сумма за перевод руб]]</f>
        <v>5675.2</v>
      </c>
      <c r="AB86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</v>
      </c>
      <c r="AC868" s="9" t="s">
        <v>1176</v>
      </c>
      <c r="AD868" s="41"/>
    </row>
    <row r="869" spans="1:30" ht="30" x14ac:dyDescent="0.25">
      <c r="A869" s="6">
        <v>44949</v>
      </c>
      <c r="B869" s="2" t="s">
        <v>783</v>
      </c>
      <c r="C869" s="2" t="s">
        <v>784</v>
      </c>
      <c r="D869" s="1" t="s">
        <v>853</v>
      </c>
      <c r="E869" s="1"/>
      <c r="F869" s="3"/>
      <c r="G869" s="5">
        <v>4895</v>
      </c>
      <c r="H869" s="2"/>
      <c r="I869" s="2">
        <v>69.84</v>
      </c>
      <c r="J869" s="2">
        <v>0.97</v>
      </c>
      <c r="K869" s="2"/>
      <c r="L869" s="2"/>
      <c r="M869" s="26">
        <f>Таблица2[[#This Row],[Сумма Долл]]*Таблица2[[#This Row],[Курс ДОЛЛ]]</f>
        <v>341866.8</v>
      </c>
      <c r="N86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352440</v>
      </c>
      <c r="O86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4901.5339749867017</v>
      </c>
      <c r="P86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10573.200000000012</v>
      </c>
      <c r="Q869" s="30">
        <v>352440</v>
      </c>
      <c r="R869" s="12">
        <f>Таблица2[[#This Row],[Сумма в руб]]-Таблица2[[#This Row],[Оплата от клиента]]</f>
        <v>0</v>
      </c>
      <c r="S869" s="32">
        <v>44949</v>
      </c>
      <c r="T869" s="32" t="s">
        <v>164</v>
      </c>
      <c r="U869" s="24" t="s">
        <v>31</v>
      </c>
      <c r="V869" s="2"/>
      <c r="W869" s="28">
        <v>69.746899999999997</v>
      </c>
      <c r="X869" s="9">
        <v>4895</v>
      </c>
      <c r="Y869" s="16"/>
      <c r="Z869" s="10">
        <v>44951</v>
      </c>
      <c r="AA869" s="26">
        <f>Таблица2[[#This Row],[Сумма перевода Долл/Евро]]*Таблица2[[#This Row],[Курс ДОЛЛ перевод]]+Таблица2[[#This Row],[Сумма за перевод руб]]</f>
        <v>351984.27549999999</v>
      </c>
      <c r="AB86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6.5339749867016508</v>
      </c>
      <c r="AC869" s="9"/>
      <c r="AD869" s="41"/>
    </row>
    <row r="870" spans="1:30" ht="45" x14ac:dyDescent="0.25">
      <c r="A870" s="6">
        <v>44951</v>
      </c>
      <c r="B870" s="38" t="s">
        <v>139</v>
      </c>
      <c r="C870" s="38" t="s">
        <v>140</v>
      </c>
      <c r="D870" s="1" t="s">
        <v>1088</v>
      </c>
      <c r="E870" s="1"/>
      <c r="F870" s="3">
        <v>30000</v>
      </c>
      <c r="G870" s="5"/>
      <c r="H870" s="2">
        <v>10.54</v>
      </c>
      <c r="I870" s="2"/>
      <c r="J870" s="2">
        <v>0.93</v>
      </c>
      <c r="K870" s="2"/>
      <c r="L870" s="2"/>
      <c r="M870" s="26">
        <f>Таблица2[[#This Row],[Сумма ЮА]]*Таблица2[[#This Row],[Курс ЮА]]</f>
        <v>316200</v>
      </c>
      <c r="N870" s="24">
        <f>Таблица2[[#This Row],[Сумма ЮА]]*Таблица2[[#This Row],[Курс ЮА]]/Таблица2[[#This Row],[% за перевод]]</f>
        <v>340000</v>
      </c>
      <c r="O87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4401.1107167463515</v>
      </c>
      <c r="P87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23800</v>
      </c>
      <c r="Q870" s="30">
        <v>334838.71000000002</v>
      </c>
      <c r="R870" s="12">
        <f>Таблица2[[#This Row],[Сумма в руб]]-Таблица2[[#This Row],[Оплата от клиента]]</f>
        <v>5161.289999999979</v>
      </c>
      <c r="S870" s="32">
        <v>44951</v>
      </c>
      <c r="T870" s="32" t="s">
        <v>720</v>
      </c>
      <c r="U870" s="24" t="s">
        <v>375</v>
      </c>
      <c r="V870" s="2"/>
      <c r="W870" s="28">
        <v>71.845500000000001</v>
      </c>
      <c r="X870" s="9">
        <v>4584.49</v>
      </c>
      <c r="Y870" s="16"/>
      <c r="Z870" s="2"/>
      <c r="AA870" s="26">
        <f>Таблица2[[#This Row],[Сумма перевода Долл/Евро]]*Таблица2[[#This Row],[Курс ДОЛЛ перевод]]+Таблица2[[#This Row],[Сумма за перевод руб]]</f>
        <v>353174.976295</v>
      </c>
      <c r="AB87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-183.37928325364828</v>
      </c>
      <c r="AC870" s="9"/>
      <c r="AD870" s="41"/>
    </row>
    <row r="871" spans="1:30" ht="30" x14ac:dyDescent="0.25">
      <c r="A871" s="6">
        <v>44958</v>
      </c>
      <c r="B871" s="38" t="s">
        <v>1097</v>
      </c>
      <c r="C871" s="38" t="s">
        <v>1098</v>
      </c>
      <c r="D871" s="1" t="s">
        <v>1099</v>
      </c>
      <c r="E871" s="1"/>
      <c r="F871" s="3">
        <v>13262.5</v>
      </c>
      <c r="G871" s="5"/>
      <c r="H871" s="2">
        <v>10.64</v>
      </c>
      <c r="I871" s="2"/>
      <c r="J871" s="2"/>
      <c r="K871" s="2"/>
      <c r="L871" s="2">
        <v>5000</v>
      </c>
      <c r="M871" s="26">
        <f>Таблица2[[#This Row],[Сумма ЮА]]*Таблица2[[#This Row],[Курс ЮА]]</f>
        <v>141113</v>
      </c>
      <c r="N871" s="24">
        <f>Таблица2[[#This Row],[Сумма ЮА]]*Таблица2[[#This Row],[Курс ЮА]]+Таблица2[[#This Row],[Руб за перевод]]</f>
        <v>146113</v>
      </c>
      <c r="O87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7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5000</v>
      </c>
      <c r="Q871" s="30">
        <f>113000+33113</f>
        <v>146113</v>
      </c>
      <c r="R871" s="12">
        <f>Таблица2[[#This Row],[Сумма в руб]]-Таблица2[[#This Row],[Оплата от клиента]]</f>
        <v>0</v>
      </c>
      <c r="S871" s="32">
        <v>44958</v>
      </c>
      <c r="T871" s="32" t="s">
        <v>730</v>
      </c>
      <c r="U871" s="24" t="s">
        <v>31</v>
      </c>
      <c r="V871" s="2">
        <v>10.534700000000001</v>
      </c>
      <c r="W871" s="28"/>
      <c r="X871" s="9"/>
      <c r="Y871" s="16">
        <v>13262.5</v>
      </c>
      <c r="Z871" s="10">
        <v>44959</v>
      </c>
      <c r="AA871" s="26">
        <f>Таблица2[[#This Row],[Сумма перевода Долл/Евро]]*Таблица2[[#This Row],[Курс ДОЛЛ перевод]]+Таблица2[[#This Row],[Сумма за перевод руб]]</f>
        <v>5000</v>
      </c>
      <c r="AB87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71" s="9"/>
      <c r="AD871" s="41"/>
    </row>
    <row r="872" spans="1:30" ht="30" x14ac:dyDescent="0.25">
      <c r="A872" s="6">
        <v>44959</v>
      </c>
      <c r="B872" s="38" t="s">
        <v>1102</v>
      </c>
      <c r="C872" s="38" t="s">
        <v>33</v>
      </c>
      <c r="D872" s="1" t="s">
        <v>1103</v>
      </c>
      <c r="E872" s="1"/>
      <c r="F872" s="3">
        <v>119620</v>
      </c>
      <c r="G872" s="5"/>
      <c r="H872" s="2">
        <v>10.72</v>
      </c>
      <c r="I872" s="2"/>
      <c r="J872" s="2">
        <v>0.97</v>
      </c>
      <c r="K872" s="2"/>
      <c r="L872" s="2"/>
      <c r="M872" s="26">
        <f>Таблица2[[#This Row],[Сумма ЮА]]*Таблица2[[#This Row],[Курс ЮА]]</f>
        <v>1282326.4000000001</v>
      </c>
      <c r="N872" s="24">
        <f>Таблица2[[#This Row],[Сумма ЮА]]*Таблица2[[#This Row],[Курс ЮА]]/Таблица2[[#This Row],[% за перевод]]</f>
        <v>1321985.9793814435</v>
      </c>
      <c r="O87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7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39659.579381443327</v>
      </c>
      <c r="Q872" s="30">
        <v>1321985.98</v>
      </c>
      <c r="R872" s="12">
        <f>Таблица2[[#This Row],[Сумма в руб]]-Таблица2[[#This Row],[Оплата от клиента]]</f>
        <v>-6.1855651438236237E-4</v>
      </c>
      <c r="S872" s="32">
        <v>44960</v>
      </c>
      <c r="T872" s="32" t="s">
        <v>107</v>
      </c>
      <c r="U872" s="24" t="s">
        <v>31</v>
      </c>
      <c r="V872" s="2">
        <v>10.5581</v>
      </c>
      <c r="W872" s="28"/>
      <c r="X872" s="9"/>
      <c r="Y872" s="16">
        <v>119620</v>
      </c>
      <c r="Z872" s="10">
        <v>44960</v>
      </c>
      <c r="AA872" s="26">
        <f>Таблица2[[#This Row],[Сумма перевода Долл/Евро]]*Таблица2[[#This Row],[Курс ДОЛЛ перевод]]+Таблица2[[#This Row],[Сумма за перевод руб]]</f>
        <v>39659.579381443327</v>
      </c>
      <c r="AB87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72" s="9"/>
      <c r="AD872" s="41"/>
    </row>
    <row r="873" spans="1:30" x14ac:dyDescent="0.25">
      <c r="A873" s="6">
        <v>44960</v>
      </c>
      <c r="B873" s="38" t="s">
        <v>158</v>
      </c>
      <c r="C873" s="38" t="s">
        <v>322</v>
      </c>
      <c r="D873" s="1" t="s">
        <v>1105</v>
      </c>
      <c r="E873" s="1"/>
      <c r="F873" s="3">
        <v>10800</v>
      </c>
      <c r="G873" s="5"/>
      <c r="H873" s="2">
        <v>10.68</v>
      </c>
      <c r="I873" s="2">
        <v>71.38</v>
      </c>
      <c r="J873" s="2"/>
      <c r="K873" s="2">
        <v>80</v>
      </c>
      <c r="L873" s="2"/>
      <c r="M873" s="26">
        <f>Таблица2[[#This Row],[Сумма ЮА]]*Таблица2[[#This Row],[Курс ЮА]]</f>
        <v>115344</v>
      </c>
      <c r="N873" s="24">
        <f>Таблица2[[#This Row],[Сумма ЮА]]*Таблица2[[#This Row],[Курс ЮА]]+Таблица2[[#This Row],[Долл за перевод]]*Таблица2[[#This Row],[Курс ДОЛЛ]]</f>
        <v>121054.39999999999</v>
      </c>
      <c r="O87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1615.9148220790139</v>
      </c>
      <c r="P873" s="12">
        <f>Таблица2[[#This Row],[Долл за перевод]]*Таблица2[[#This Row],[Курс ДОЛЛ]]</f>
        <v>5710.4</v>
      </c>
      <c r="Q873" s="30">
        <v>121054.39999999999</v>
      </c>
      <c r="R873" s="12">
        <f>Таблица2[[#This Row],[Сумма в руб]]-Таблица2[[#This Row],[Оплата от клиента]]</f>
        <v>0</v>
      </c>
      <c r="S873" s="32">
        <v>44960</v>
      </c>
      <c r="T873" s="32" t="s">
        <v>107</v>
      </c>
      <c r="U873" s="24" t="s">
        <v>31</v>
      </c>
      <c r="V873" s="2">
        <v>10.5785</v>
      </c>
      <c r="W873" s="28"/>
      <c r="X873" s="9"/>
      <c r="Y873" s="16">
        <v>10800</v>
      </c>
      <c r="Z873" s="10">
        <v>44960</v>
      </c>
      <c r="AA873" s="26">
        <f>Таблица2[[#This Row],[Сумма перевода Долл/Евро]]*Таблица2[[#This Row],[Курс ДОЛЛ перевод]]+Таблица2[[#This Row],[Сумма за перевод руб]]</f>
        <v>5710.4</v>
      </c>
      <c r="AB87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594.97612566647899</v>
      </c>
      <c r="AC873" s="9"/>
      <c r="AD873" s="41"/>
    </row>
    <row r="874" spans="1:30" ht="60" x14ac:dyDescent="0.25">
      <c r="A874" s="6">
        <v>44960</v>
      </c>
      <c r="B874" s="38" t="s">
        <v>726</v>
      </c>
      <c r="C874" s="38" t="s">
        <v>203</v>
      </c>
      <c r="D874" s="1" t="s">
        <v>1104</v>
      </c>
      <c r="E874" s="1"/>
      <c r="F874" s="3">
        <v>27040</v>
      </c>
      <c r="G874" s="5"/>
      <c r="H874" s="2">
        <v>10.68</v>
      </c>
      <c r="I874" s="2"/>
      <c r="J874" s="2">
        <v>0.97</v>
      </c>
      <c r="K874" s="2"/>
      <c r="L874" s="2"/>
      <c r="M874" s="26">
        <f>Таблица2[[#This Row],[Сумма ЮА]]*Таблица2[[#This Row],[Курс ЮА]]</f>
        <v>288787.20000000001</v>
      </c>
      <c r="N874" s="24">
        <f>Таблица2[[#This Row],[Сумма ЮА]]*Таблица2[[#This Row],[Курс ЮА]]/Таблица2[[#This Row],[% за перевод]]</f>
        <v>297718.76288659795</v>
      </c>
      <c r="O87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7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8931.5628865979379</v>
      </c>
      <c r="Q874" s="30">
        <v>297718.76</v>
      </c>
      <c r="R874" s="12">
        <f>Таблица2[[#This Row],[Сумма в руб]]-Таблица2[[#This Row],[Оплата от клиента]]</f>
        <v>2.8865979402326047E-3</v>
      </c>
      <c r="S874" s="32">
        <v>44960</v>
      </c>
      <c r="T874" s="32" t="s">
        <v>107</v>
      </c>
      <c r="U874" s="24" t="s">
        <v>31</v>
      </c>
      <c r="V874" s="2">
        <v>10.5785</v>
      </c>
      <c r="W874" s="28"/>
      <c r="X874" s="9"/>
      <c r="Y874" s="16">
        <v>27040</v>
      </c>
      <c r="Z874" s="10">
        <v>44960</v>
      </c>
      <c r="AA874" s="26">
        <f>Таблица2[[#This Row],[Сумма перевода Долл/Евро]]*Таблица2[[#This Row],[Курс ДОЛЛ перевод]]+Таблица2[[#This Row],[Сумма за перевод руб]]</f>
        <v>8931.5628865979379</v>
      </c>
      <c r="AB87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74" s="9"/>
      <c r="AD874" s="41"/>
    </row>
    <row r="875" spans="1:30" x14ac:dyDescent="0.25">
      <c r="A875" s="6">
        <v>44960</v>
      </c>
      <c r="B875" s="38" t="s">
        <v>139</v>
      </c>
      <c r="C875" s="38" t="s">
        <v>140</v>
      </c>
      <c r="D875" s="1" t="s">
        <v>986</v>
      </c>
      <c r="E875" s="1"/>
      <c r="F875" s="3">
        <v>91500</v>
      </c>
      <c r="G875" s="5"/>
      <c r="H875" s="2">
        <v>10.68</v>
      </c>
      <c r="I875" s="2"/>
      <c r="J875" s="2">
        <v>0.93</v>
      </c>
      <c r="K875" s="2"/>
      <c r="L875" s="2"/>
      <c r="M875" s="26">
        <f>Таблица2[[#This Row],[Сумма ЮА]]*Таблица2[[#This Row],[Курс ЮА]]</f>
        <v>977220</v>
      </c>
      <c r="N875" s="24">
        <f>Таблица2[[#This Row],[Сумма ЮА]]*Таблица2[[#This Row],[Курс ЮА]]/Таблица2[[#This Row],[% за перевод]]</f>
        <v>1050774.1935483871</v>
      </c>
      <c r="O87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13695.128462777117</v>
      </c>
      <c r="P87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73554.193548387149</v>
      </c>
      <c r="Q875" s="30">
        <v>1050774.19</v>
      </c>
      <c r="R875" s="12">
        <f>Таблица2[[#This Row],[Сумма в руб]]-Таблица2[[#This Row],[Оплата от клиента]]</f>
        <v>3.5483872052282095E-3</v>
      </c>
      <c r="S875" s="32">
        <v>44960</v>
      </c>
      <c r="T875" s="32" t="s">
        <v>720</v>
      </c>
      <c r="U875" s="24" t="s">
        <v>375</v>
      </c>
      <c r="V875" s="2"/>
      <c r="W875" s="28">
        <v>71.3553</v>
      </c>
      <c r="X875" s="9">
        <v>14265.75</v>
      </c>
      <c r="Y875" s="16"/>
      <c r="Z875" s="2"/>
      <c r="AA875" s="26">
        <f>Таблица2[[#This Row],[Сумма перевода Долл/Евро]]*Таблица2[[#This Row],[Курс ДОЛЛ перевод]]+Таблица2[[#This Row],[Сумма за перевод руб]]</f>
        <v>1091491.0645233872</v>
      </c>
      <c r="AB87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-570.62153722288349</v>
      </c>
      <c r="AC875" s="9"/>
      <c r="AD875" s="41"/>
    </row>
    <row r="876" spans="1:30" ht="30" x14ac:dyDescent="0.25">
      <c r="A876" s="6">
        <v>44960</v>
      </c>
      <c r="B876" s="38" t="s">
        <v>1106</v>
      </c>
      <c r="C876" s="38" t="s">
        <v>1107</v>
      </c>
      <c r="D876" s="1" t="s">
        <v>1108</v>
      </c>
      <c r="E876" s="1"/>
      <c r="F876" s="3">
        <v>15850</v>
      </c>
      <c r="G876" s="5"/>
      <c r="H876" s="2">
        <v>10.68</v>
      </c>
      <c r="I876" s="2"/>
      <c r="J876" s="2">
        <v>0.97</v>
      </c>
      <c r="K876" s="2"/>
      <c r="L876" s="2"/>
      <c r="M876" s="26">
        <f>Таблица2[[#This Row],[Сумма ЮА]]*Таблица2[[#This Row],[Курс ЮА]]</f>
        <v>169278</v>
      </c>
      <c r="N876" s="24">
        <f>Таблица2[[#This Row],[Сумма ЮА]]*Таблица2[[#This Row],[Курс ЮА]]/Таблица2[[#This Row],[% за перевод]]</f>
        <v>174513.40206185568</v>
      </c>
      <c r="O87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7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5235.4020618556824</v>
      </c>
      <c r="Q876" s="30"/>
      <c r="R876" s="12">
        <f>Таблица2[[#This Row],[Сумма в руб]]-Таблица2[[#This Row],[Оплата от клиента]]</f>
        <v>174513.40206185568</v>
      </c>
      <c r="S876" s="32"/>
      <c r="T876" s="32" t="s">
        <v>107</v>
      </c>
      <c r="U876" s="24"/>
      <c r="V876" s="2"/>
      <c r="W876" s="28"/>
      <c r="X876" s="9"/>
      <c r="Y876" s="16"/>
      <c r="Z876" s="2"/>
      <c r="AA876" s="26">
        <f>Таблица2[[#This Row],[Сумма перевода Долл/Евро]]*Таблица2[[#This Row],[Курс ДОЛЛ перевод]]+Таблица2[[#This Row],[Сумма за перевод руб]]</f>
        <v>5235.4020618556824</v>
      </c>
      <c r="AB87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76" s="9"/>
      <c r="AD876" s="41"/>
    </row>
    <row r="877" spans="1:30" ht="45" x14ac:dyDescent="0.25">
      <c r="A877" s="6">
        <v>44960</v>
      </c>
      <c r="B877" s="38" t="s">
        <v>726</v>
      </c>
      <c r="C877" s="38" t="s">
        <v>203</v>
      </c>
      <c r="D877" s="1" t="s">
        <v>1109</v>
      </c>
      <c r="E877" s="1"/>
      <c r="F877" s="3">
        <v>36950</v>
      </c>
      <c r="G877" s="5"/>
      <c r="H877" s="2">
        <v>10.67</v>
      </c>
      <c r="I877" s="2"/>
      <c r="J877" s="2">
        <v>0.97</v>
      </c>
      <c r="K877" s="2"/>
      <c r="L877" s="2"/>
      <c r="M877" s="26">
        <f>Таблица2[[#This Row],[Сумма ЮА]]*Таблица2[[#This Row],[Курс ЮА]]</f>
        <v>394256.5</v>
      </c>
      <c r="N877" s="24">
        <f>Таблица2[[#This Row],[Сумма ЮА]]*Таблица2[[#This Row],[Курс ЮА]]/Таблица2[[#This Row],[% за перевод]]</f>
        <v>406450</v>
      </c>
      <c r="O87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7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12193.5</v>
      </c>
      <c r="Q877" s="30">
        <v>406450</v>
      </c>
      <c r="R877" s="12">
        <f>Таблица2[[#This Row],[Сумма в руб]]-Таблица2[[#This Row],[Оплата от клиента]]</f>
        <v>0</v>
      </c>
      <c r="S877" s="32">
        <v>44963</v>
      </c>
      <c r="T877" s="32" t="s">
        <v>107</v>
      </c>
      <c r="U877" s="24" t="s">
        <v>31</v>
      </c>
      <c r="V877" s="2">
        <v>10.5198</v>
      </c>
      <c r="W877" s="28"/>
      <c r="X877" s="9"/>
      <c r="Y877" s="16">
        <v>36950</v>
      </c>
      <c r="Z877" s="10">
        <v>44963</v>
      </c>
      <c r="AA877" s="26">
        <f>Таблица2[[#This Row],[Сумма перевода Долл/Евро]]*Таблица2[[#This Row],[Курс ДОЛЛ перевод]]+Таблица2[[#This Row],[Сумма за перевод руб]]</f>
        <v>12193.5</v>
      </c>
      <c r="AB87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77" s="9"/>
      <c r="AD877" s="41"/>
    </row>
    <row r="878" spans="1:30" ht="30" x14ac:dyDescent="0.25">
      <c r="A878" s="6">
        <v>44960</v>
      </c>
      <c r="B878" s="28" t="s">
        <v>783</v>
      </c>
      <c r="C878" s="28" t="s">
        <v>784</v>
      </c>
      <c r="D878" s="1" t="s">
        <v>853</v>
      </c>
      <c r="E878" s="1"/>
      <c r="F878" s="3"/>
      <c r="G878" s="5">
        <v>6000</v>
      </c>
      <c r="H878" s="2"/>
      <c r="I878" s="2">
        <v>78.010000000000005</v>
      </c>
      <c r="J878" s="2">
        <v>0.99</v>
      </c>
      <c r="K878" s="2"/>
      <c r="L878" s="2"/>
      <c r="M878" s="26">
        <f>Таблица2[[#This Row],[Сумма Долл]]*Таблица2[[#This Row],[Курс ДОЛЛ]]</f>
        <v>468060.00000000006</v>
      </c>
      <c r="N87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472787.87878787884</v>
      </c>
      <c r="O87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6078.9460354897419</v>
      </c>
      <c r="P87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4727.8787878787844</v>
      </c>
      <c r="Q878" s="30">
        <v>472787.88</v>
      </c>
      <c r="R878" s="12">
        <f>Таблица2[[#This Row],[Сумма в руб]]-Таблица2[[#This Row],[Оплата от клиента]]</f>
        <v>-1.2121211620979011E-3</v>
      </c>
      <c r="S878" s="32">
        <v>44960</v>
      </c>
      <c r="T878" s="32" t="s">
        <v>277</v>
      </c>
      <c r="U878" s="24" t="s">
        <v>31</v>
      </c>
      <c r="V878" s="2"/>
      <c r="W878" s="28">
        <v>76.996899999999997</v>
      </c>
      <c r="X878" s="9">
        <v>6000</v>
      </c>
      <c r="Y878" s="16"/>
      <c r="Z878" s="10">
        <v>44964</v>
      </c>
      <c r="AA878" s="26">
        <f>Таблица2[[#This Row],[Сумма перевода Долл/Евро]]*Таблица2[[#This Row],[Курс ДОЛЛ перевод]]+Таблица2[[#This Row],[Сумма за перевод руб]]</f>
        <v>466709.27878787875</v>
      </c>
      <c r="AB87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78.946035489741917</v>
      </c>
      <c r="AC878" s="9"/>
      <c r="AD878" s="41"/>
    </row>
    <row r="879" spans="1:30" ht="30" x14ac:dyDescent="0.25">
      <c r="A879" s="6">
        <v>44963</v>
      </c>
      <c r="B879" s="38" t="s">
        <v>804</v>
      </c>
      <c r="C879" s="38" t="s">
        <v>805</v>
      </c>
      <c r="D879" s="1" t="s">
        <v>1028</v>
      </c>
      <c r="E879" s="1"/>
      <c r="F879" s="3">
        <v>133094</v>
      </c>
      <c r="G879" s="5"/>
      <c r="H879" s="2">
        <v>10.68</v>
      </c>
      <c r="I879" s="2"/>
      <c r="J879" s="2">
        <v>0.97</v>
      </c>
      <c r="K879" s="2"/>
      <c r="L879" s="2"/>
      <c r="M879" s="26">
        <f>Таблица2[[#This Row],[Сумма ЮА]]*Таблица2[[#This Row],[Курс ЮА]]</f>
        <v>1421443.92</v>
      </c>
      <c r="N879" s="24">
        <f>Таблица2[[#This Row],[Сумма ЮА]]*Таблица2[[#This Row],[Курс ЮА]]/Таблица2[[#This Row],[% за перевод]]</f>
        <v>1465406.1030927834</v>
      </c>
      <c r="O87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7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43962.183092783438</v>
      </c>
      <c r="Q879" s="30">
        <v>1465406.1</v>
      </c>
      <c r="R879" s="12">
        <f>Таблица2[[#This Row],[Сумма в руб]]-Таблица2[[#This Row],[Оплата от клиента]]</f>
        <v>3.0927832704037428E-3</v>
      </c>
      <c r="S879" s="32">
        <v>44965</v>
      </c>
      <c r="T879" s="32" t="s">
        <v>107</v>
      </c>
      <c r="U879" s="24" t="s">
        <v>31</v>
      </c>
      <c r="V879" s="2">
        <v>10.670999999999999</v>
      </c>
      <c r="W879" s="28"/>
      <c r="X879" s="9"/>
      <c r="Y879" s="16">
        <v>133094</v>
      </c>
      <c r="Z879" s="10">
        <v>44965</v>
      </c>
      <c r="AA879" s="26">
        <f>Таблица2[[#This Row],[Сумма перевода Долл/Евро]]*Таблица2[[#This Row],[Курс ДОЛЛ перевод]]+Таблица2[[#This Row],[Сумма за перевод руб]]</f>
        <v>43962.183092783438</v>
      </c>
      <c r="AB87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79" s="9"/>
      <c r="AD879" s="41"/>
    </row>
    <row r="880" spans="1:30" ht="15" customHeight="1" x14ac:dyDescent="0.25">
      <c r="A880" s="6">
        <v>44963</v>
      </c>
      <c r="B880" s="38" t="s">
        <v>158</v>
      </c>
      <c r="C880" s="38" t="s">
        <v>322</v>
      </c>
      <c r="D880" s="1" t="s">
        <v>1110</v>
      </c>
      <c r="E880" s="1"/>
      <c r="F880" s="3">
        <v>21400</v>
      </c>
      <c r="G880" s="5"/>
      <c r="H880" s="2">
        <v>10.68</v>
      </c>
      <c r="I880" s="2"/>
      <c r="J880" s="2">
        <v>0.97</v>
      </c>
      <c r="K880" s="2"/>
      <c r="L880" s="2"/>
      <c r="M880" s="26">
        <f>Таблица2[[#This Row],[Сумма ЮА]]*Таблица2[[#This Row],[Курс ЮА]]</f>
        <v>228552</v>
      </c>
      <c r="N880" s="24">
        <f>Таблица2[[#This Row],[Сумма ЮА]]*Таблица2[[#This Row],[Курс ЮА]]/Таблица2[[#This Row],[% за перевод]]</f>
        <v>235620.61855670103</v>
      </c>
      <c r="O88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8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7068.6185567010252</v>
      </c>
      <c r="Q880" s="30">
        <v>235620.62</v>
      </c>
      <c r="R880" s="12">
        <f>Таблица2[[#This Row],[Сумма в руб]]-Таблица2[[#This Row],[Оплата от клиента]]</f>
        <v>-1.4432989701163024E-3</v>
      </c>
      <c r="S880" s="32">
        <v>44963</v>
      </c>
      <c r="T880" s="32" t="s">
        <v>730</v>
      </c>
      <c r="U880" s="24" t="s">
        <v>31</v>
      </c>
      <c r="V880" s="2">
        <v>10.534700000000001</v>
      </c>
      <c r="W880" s="28"/>
      <c r="X880" s="9"/>
      <c r="Y880" s="16">
        <v>21400</v>
      </c>
      <c r="Z880" s="2"/>
      <c r="AA880" s="26">
        <f>Таблица2[[#This Row],[Сумма перевода Долл/Евро]]*Таблица2[[#This Row],[Курс ДОЛЛ перевод]]+Таблица2[[#This Row],[Сумма за перевод руб]]</f>
        <v>7068.6185567010252</v>
      </c>
      <c r="AB88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80" s="9"/>
      <c r="AD880" s="41"/>
    </row>
    <row r="881" spans="1:30" ht="75" x14ac:dyDescent="0.25">
      <c r="A881" s="6">
        <v>44964</v>
      </c>
      <c r="B881" s="38" t="s">
        <v>919</v>
      </c>
      <c r="C881" s="38" t="s">
        <v>680</v>
      </c>
      <c r="D881" s="1" t="s">
        <v>1111</v>
      </c>
      <c r="E881" s="1"/>
      <c r="F881" s="3">
        <v>65300</v>
      </c>
      <c r="G881" s="5"/>
      <c r="H881" s="2">
        <v>10.68</v>
      </c>
      <c r="I881" s="2"/>
      <c r="J881" s="2">
        <v>0.97</v>
      </c>
      <c r="K881" s="2"/>
      <c r="L881" s="2"/>
      <c r="M881" s="26">
        <f>Таблица2[[#This Row],[Сумма ЮА]]*Таблица2[[#This Row],[Курс ЮА]]</f>
        <v>697404</v>
      </c>
      <c r="N881" s="24">
        <f>Таблица2[[#This Row],[Сумма ЮА]]*Таблица2[[#This Row],[Курс ЮА]]/Таблица2[[#This Row],[% за перевод]]</f>
        <v>718973.19587628869</v>
      </c>
      <c r="O88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8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21569.195876288693</v>
      </c>
      <c r="Q881" s="30">
        <v>718973.2</v>
      </c>
      <c r="R881" s="12">
        <f>Таблица2[[#This Row],[Сумма в руб]]-Таблица2[[#This Row],[Оплата от клиента]]</f>
        <v>-4.123711260035634E-3</v>
      </c>
      <c r="S881" s="32">
        <v>44966</v>
      </c>
      <c r="T881" s="32" t="s">
        <v>107</v>
      </c>
      <c r="U881" s="24" t="s">
        <v>31</v>
      </c>
      <c r="V881" s="2">
        <v>10.876899999999999</v>
      </c>
      <c r="W881" s="28"/>
      <c r="X881" s="9"/>
      <c r="Y881" s="16">
        <v>65300</v>
      </c>
      <c r="Z881" s="10">
        <v>44967</v>
      </c>
      <c r="AA881" s="26">
        <f>Таблица2[[#This Row],[Сумма перевода Долл/Евро]]*Таблица2[[#This Row],[Курс ДОЛЛ перевод]]+Таблица2[[#This Row],[Сумма за перевод руб]]</f>
        <v>21569.195876288693</v>
      </c>
      <c r="AB88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81" s="9"/>
      <c r="AD881" s="41"/>
    </row>
    <row r="882" spans="1:30" ht="45" x14ac:dyDescent="0.25">
      <c r="A882" s="6">
        <v>44964</v>
      </c>
      <c r="B882" s="38" t="s">
        <v>726</v>
      </c>
      <c r="C882" s="38" t="s">
        <v>203</v>
      </c>
      <c r="D882" s="1" t="s">
        <v>1112</v>
      </c>
      <c r="E882" s="1"/>
      <c r="F882" s="3">
        <v>26532</v>
      </c>
      <c r="G882" s="5"/>
      <c r="H882" s="2">
        <v>10.68</v>
      </c>
      <c r="I882" s="2"/>
      <c r="J882" s="2">
        <v>0.97</v>
      </c>
      <c r="K882" s="2"/>
      <c r="L882" s="2"/>
      <c r="M882" s="26">
        <f>Таблица2[[#This Row],[Сумма ЮА]]*Таблица2[[#This Row],[Курс ЮА]]</f>
        <v>283361.76</v>
      </c>
      <c r="N882" s="24">
        <f>Таблица2[[#This Row],[Сумма ЮА]]*Таблица2[[#This Row],[Курс ЮА]]/Таблица2[[#This Row],[% за перевод]]</f>
        <v>292125.5257731959</v>
      </c>
      <c r="O88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8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8763.7657731958898</v>
      </c>
      <c r="Q882" s="30">
        <v>292125.53000000003</v>
      </c>
      <c r="R882" s="12">
        <f>Таблица2[[#This Row],[Сумма в руб]]-Таблица2[[#This Row],[Оплата от клиента]]</f>
        <v>-4.2268041288480163E-3</v>
      </c>
      <c r="S882" s="32">
        <v>44964</v>
      </c>
      <c r="T882" s="32" t="s">
        <v>107</v>
      </c>
      <c r="U882" s="24" t="s">
        <v>31</v>
      </c>
      <c r="V882" s="2">
        <v>10.5876</v>
      </c>
      <c r="W882" s="28"/>
      <c r="X882" s="9"/>
      <c r="Y882" s="16">
        <v>26532</v>
      </c>
      <c r="Z882" s="10">
        <v>44984</v>
      </c>
      <c r="AA882" s="26">
        <f>Таблица2[[#This Row],[Сумма перевода Долл/Евро]]*Таблица2[[#This Row],[Курс ДОЛЛ перевод]]+Таблица2[[#This Row],[Сумма за перевод руб]]</f>
        <v>8763.7657731958898</v>
      </c>
      <c r="AB88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82" s="9"/>
      <c r="AD882" s="41"/>
    </row>
    <row r="883" spans="1:30" x14ac:dyDescent="0.25">
      <c r="A883" s="6">
        <v>44964</v>
      </c>
      <c r="B883" s="38" t="s">
        <v>1106</v>
      </c>
      <c r="C883" s="38" t="s">
        <v>1107</v>
      </c>
      <c r="D883" s="1" t="s">
        <v>1115</v>
      </c>
      <c r="E883" s="1"/>
      <c r="F883" s="3">
        <v>7905</v>
      </c>
      <c r="G883" s="5"/>
      <c r="H883" s="2">
        <v>10.68</v>
      </c>
      <c r="I883" s="2">
        <v>71.95</v>
      </c>
      <c r="J883" s="2"/>
      <c r="K883" s="2">
        <v>80</v>
      </c>
      <c r="L883" s="2"/>
      <c r="M883" s="26">
        <f>Таблица2[[#This Row],[Сумма ЮА]]*Таблица2[[#This Row],[Курс ЮА]]</f>
        <v>84425.4</v>
      </c>
      <c r="N883" s="24">
        <f>Таблица2[[#This Row],[Сумма ЮА]]*Таблица2[[#This Row],[Курс ЮА]]+Таблица2[[#This Row],[Долл за перевод]]*Таблица2[[#This Row],[Курс ДОЛЛ]]</f>
        <v>90181.4</v>
      </c>
      <c r="O88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1173.3898540653231</v>
      </c>
      <c r="P883" s="12">
        <f>Таблица2[[#This Row],[Долл за перевод]]*Таблица2[[#This Row],[Курс ДОЛЛ]]</f>
        <v>5756</v>
      </c>
      <c r="Q883" s="30">
        <v>90181.4</v>
      </c>
      <c r="R883" s="12">
        <f>Таблица2[[#This Row],[Сумма в руб]]-Таблица2[[#This Row],[Оплата от клиента]]</f>
        <v>0</v>
      </c>
      <c r="S883" s="32">
        <v>44964</v>
      </c>
      <c r="T883" s="32" t="s">
        <v>107</v>
      </c>
      <c r="U883" s="24" t="s">
        <v>31</v>
      </c>
      <c r="V883" s="2">
        <v>10.670999999999999</v>
      </c>
      <c r="W883" s="28"/>
      <c r="X883" s="9"/>
      <c r="Y883" s="16">
        <v>7905</v>
      </c>
      <c r="Z883" s="10">
        <v>44965</v>
      </c>
      <c r="AA883" s="26">
        <f>Таблица2[[#This Row],[Сумма перевода Долл/Евро]]*Таблица2[[#This Row],[Курс ДОЛЛ перевод]]+Таблица2[[#This Row],[Сумма за перевод руб]]</f>
        <v>5756</v>
      </c>
      <c r="AB88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432.59705114151086</v>
      </c>
      <c r="AC883" s="9"/>
      <c r="AD883" s="41"/>
    </row>
    <row r="884" spans="1:30" ht="30" x14ac:dyDescent="0.25">
      <c r="A884" s="6">
        <v>44964</v>
      </c>
      <c r="B884" s="38" t="s">
        <v>1106</v>
      </c>
      <c r="C884" s="38" t="s">
        <v>1107</v>
      </c>
      <c r="D884" s="1" t="s">
        <v>1114</v>
      </c>
      <c r="E884" s="1"/>
      <c r="F884" s="3">
        <v>2655</v>
      </c>
      <c r="G884" s="5"/>
      <c r="H884" s="2">
        <v>10.68</v>
      </c>
      <c r="I884" s="2">
        <v>71.95</v>
      </c>
      <c r="J884" s="2"/>
      <c r="K884" s="2">
        <v>80</v>
      </c>
      <c r="L884" s="2"/>
      <c r="M884" s="26">
        <f>Таблица2[[#This Row],[Сумма ЮА]]*Таблица2[[#This Row],[Курс ЮА]]</f>
        <v>28355.399999999998</v>
      </c>
      <c r="N884" s="24">
        <f>Таблица2[[#This Row],[Сумма ЮА]]*Таблица2[[#This Row],[Курс ЮА]]+Таблица2[[#This Row],[Долл за перевод]]*Таблица2[[#This Row],[Курс ДОЛЛ]]</f>
        <v>34111.399999999994</v>
      </c>
      <c r="O88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394.09867963863792</v>
      </c>
      <c r="P884" s="12">
        <f>Таблица2[[#This Row],[Долл за перевод]]*Таблица2[[#This Row],[Курс ДОЛЛ]]</f>
        <v>5756</v>
      </c>
      <c r="Q884" s="30">
        <v>34111.4</v>
      </c>
      <c r="R884" s="12">
        <f>Таблица2[[#This Row],[Сумма в руб]]-Таблица2[[#This Row],[Оплата от клиента]]</f>
        <v>0</v>
      </c>
      <c r="S884" s="32">
        <v>44966</v>
      </c>
      <c r="T884" s="32" t="s">
        <v>107</v>
      </c>
      <c r="U884" s="24" t="s">
        <v>31</v>
      </c>
      <c r="V884" s="2">
        <v>10.876899999999999</v>
      </c>
      <c r="W884" s="28"/>
      <c r="X884" s="9"/>
      <c r="Y884" s="16">
        <v>2655</v>
      </c>
      <c r="Z884" s="10">
        <v>44967</v>
      </c>
      <c r="AA884" s="26">
        <f>Таблица2[[#This Row],[Сумма перевода Долл/Евро]]*Таблица2[[#This Row],[Курс ДОЛЛ перевод]]+Таблица2[[#This Row],[Сумма за перевод руб]]</f>
        <v>5756</v>
      </c>
      <c r="AB88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150.00339513661987</v>
      </c>
      <c r="AC884" s="9"/>
      <c r="AD884" s="41"/>
    </row>
    <row r="885" spans="1:30" ht="45" x14ac:dyDescent="0.25">
      <c r="A885" s="6">
        <v>44964</v>
      </c>
      <c r="B885" s="38" t="s">
        <v>1106</v>
      </c>
      <c r="C885" s="38" t="s">
        <v>1107</v>
      </c>
      <c r="D885" s="1" t="s">
        <v>1113</v>
      </c>
      <c r="E885" s="1"/>
      <c r="F885" s="3">
        <v>27040</v>
      </c>
      <c r="G885" s="5"/>
      <c r="H885" s="2">
        <v>10.68</v>
      </c>
      <c r="I885" s="2"/>
      <c r="J885" s="2">
        <v>0.97</v>
      </c>
      <c r="K885" s="2"/>
      <c r="L885" s="2"/>
      <c r="M885" s="26">
        <f>Таблица2[[#This Row],[Сумма ЮА]]*Таблица2[[#This Row],[Курс ЮА]]</f>
        <v>288787.20000000001</v>
      </c>
      <c r="N885" s="24">
        <f>Таблица2[[#This Row],[Сумма ЮА]]*Таблица2[[#This Row],[Курс ЮА]]/Таблица2[[#This Row],[% за перевод]]</f>
        <v>297718.76288659795</v>
      </c>
      <c r="O88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8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8931.5628865979379</v>
      </c>
      <c r="Q885" s="30"/>
      <c r="R885" s="12">
        <f>Таблица2[[#This Row],[Сумма в руб]]-Таблица2[[#This Row],[Оплата от клиента]]</f>
        <v>297718.76288659795</v>
      </c>
      <c r="S885" s="32"/>
      <c r="T885" s="32" t="s">
        <v>107</v>
      </c>
      <c r="U885" s="24"/>
      <c r="V885" s="2"/>
      <c r="W885" s="28"/>
      <c r="X885" s="9"/>
      <c r="Y885" s="16"/>
      <c r="Z885" s="2"/>
      <c r="AA885" s="26">
        <f>Таблица2[[#This Row],[Сумма перевода Долл/Евро]]*Таблица2[[#This Row],[Курс ДОЛЛ перевод]]+Таблица2[[#This Row],[Сумма за перевод руб]]</f>
        <v>8931.5628865979379</v>
      </c>
      <c r="AB88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85" s="9"/>
      <c r="AD885" s="41"/>
    </row>
    <row r="886" spans="1:30" x14ac:dyDescent="0.25">
      <c r="A886" s="6">
        <v>44964</v>
      </c>
      <c r="B886" s="38" t="s">
        <v>1116</v>
      </c>
      <c r="C886" s="38" t="s">
        <v>1017</v>
      </c>
      <c r="D886" s="1"/>
      <c r="E886" s="1"/>
      <c r="F886" s="3">
        <v>3060</v>
      </c>
      <c r="G886" s="5"/>
      <c r="H886" s="2">
        <v>10.68</v>
      </c>
      <c r="I886" s="2">
        <v>71.95</v>
      </c>
      <c r="J886" s="2"/>
      <c r="K886" s="2">
        <v>80</v>
      </c>
      <c r="L886" s="2"/>
      <c r="M886" s="26">
        <f>Таблица2[[#This Row],[Сумма ЮА]]*Таблица2[[#This Row],[Курс ЮА]]</f>
        <v>32680.799999999999</v>
      </c>
      <c r="N886" s="24">
        <f>Таблица2[[#This Row],[Сумма ЮА]]*Таблица2[[#This Row],[Курс ЮА]]+Таблица2[[#This Row],[Долл за перевод]]*Таблица2[[#This Row],[Курс ДОЛЛ]]</f>
        <v>38436.800000000003</v>
      </c>
      <c r="O88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454.21542738012505</v>
      </c>
      <c r="P886" s="12">
        <f>Таблица2[[#This Row],[Долл за перевод]]*Таблица2[[#This Row],[Курс ДОЛЛ]]</f>
        <v>5756</v>
      </c>
      <c r="Q886" s="30"/>
      <c r="R886" s="12">
        <f>Таблица2[[#This Row],[Сумма в руб]]-Таблица2[[#This Row],[Оплата от клиента]]</f>
        <v>38436.800000000003</v>
      </c>
      <c r="S886" s="32"/>
      <c r="T886" s="32" t="s">
        <v>107</v>
      </c>
      <c r="U886" s="24"/>
      <c r="V886" s="2"/>
      <c r="W886" s="28"/>
      <c r="X886" s="9"/>
      <c r="Y886" s="16"/>
      <c r="Z886" s="2"/>
      <c r="AA886" s="26">
        <f>Таблица2[[#This Row],[Сумма перевода Долл/Евро]]*Таблица2[[#This Row],[Курс ДОЛЛ перевод]]+Таблица2[[#This Row],[Сумма за перевод руб]]</f>
        <v>5756</v>
      </c>
      <c r="AB88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454.21542738012505</v>
      </c>
      <c r="AC886" s="9"/>
      <c r="AD886" s="41"/>
    </row>
    <row r="887" spans="1:30" ht="45" x14ac:dyDescent="0.25">
      <c r="A887" s="6">
        <v>44964</v>
      </c>
      <c r="B887" s="29" t="s">
        <v>1074</v>
      </c>
      <c r="C887" s="29" t="s">
        <v>1117</v>
      </c>
      <c r="D887" s="1" t="s">
        <v>1075</v>
      </c>
      <c r="E887" s="1"/>
      <c r="F887" s="3">
        <v>58500</v>
      </c>
      <c r="G887" s="5"/>
      <c r="H887" s="2">
        <v>10.68</v>
      </c>
      <c r="I887" s="2"/>
      <c r="J887" s="2"/>
      <c r="K887" s="2"/>
      <c r="L887" s="2"/>
      <c r="M887" s="26">
        <f>Таблица2[[#This Row],[Сумма ЮА]]*Таблица2[[#This Row],[Курс ЮА]]</f>
        <v>624780</v>
      </c>
      <c r="N887" s="24">
        <f>Таблица2[[#This Row],[Сумма ЮА]]*Таблица2[[#This Row],[Курс ЮА]]+Таблица2[[#This Row],[Долл за перевод]]*Таблица2[[#This Row],[Курс ДОЛЛ]]</f>
        <v>624780</v>
      </c>
      <c r="O88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87" s="12">
        <f>Таблица2[[#This Row],[Долл за перевод]]*Таблица2[[#This Row],[Курс ДОЛЛ]]</f>
        <v>0</v>
      </c>
      <c r="Q887" s="30">
        <v>624780</v>
      </c>
      <c r="R887" s="12">
        <f>Таблица2[[#This Row],[Сумма в руб]]-Таблица2[[#This Row],[Оплата от клиента]]</f>
        <v>0</v>
      </c>
      <c r="S887" s="32">
        <v>44967</v>
      </c>
      <c r="T887" s="32" t="s">
        <v>107</v>
      </c>
      <c r="U887" s="24" t="s">
        <v>947</v>
      </c>
      <c r="V887" s="2">
        <v>11.025</v>
      </c>
      <c r="W887" s="28"/>
      <c r="X887" s="9"/>
      <c r="Y887" s="16">
        <v>49095</v>
      </c>
      <c r="Z887" s="10">
        <v>44973</v>
      </c>
      <c r="AA887" s="26">
        <f>Таблица2[[#This Row],[Сумма перевода Долл/Евро]]*Таблица2[[#This Row],[Курс ДОЛЛ перевод]]+Таблица2[[#This Row],[Сумма за перевод руб]]</f>
        <v>0</v>
      </c>
      <c r="AB88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87" s="9"/>
      <c r="AD887" s="41" t="s">
        <v>1164</v>
      </c>
    </row>
    <row r="888" spans="1:30" ht="30" x14ac:dyDescent="0.25">
      <c r="A888" s="6">
        <v>44964</v>
      </c>
      <c r="B888" s="28" t="s">
        <v>1118</v>
      </c>
      <c r="C888" s="28" t="s">
        <v>1119</v>
      </c>
      <c r="D888" s="1" t="s">
        <v>1120</v>
      </c>
      <c r="E888" s="1"/>
      <c r="F888" s="3"/>
      <c r="G888" s="5">
        <v>6745</v>
      </c>
      <c r="H888" s="2"/>
      <c r="I888" s="2">
        <v>77.23</v>
      </c>
      <c r="J888" s="2"/>
      <c r="K888" s="2"/>
      <c r="L888" s="2"/>
      <c r="M888" s="26">
        <f>Таблица2[[#This Row],[Сумма Долл]]*Таблица2[[#This Row],[Курс ДОЛЛ]]</f>
        <v>520916.35000000003</v>
      </c>
      <c r="N88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520916.35000000003</v>
      </c>
      <c r="O88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6431.6695146705124</v>
      </c>
      <c r="P88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888" s="30">
        <v>520916.35</v>
      </c>
      <c r="R888" s="12">
        <f>Таблица2[[#This Row],[Сумма в руб]]-Таблица2[[#This Row],[Оплата от клиента]]</f>
        <v>0</v>
      </c>
      <c r="S888" s="32">
        <v>44964</v>
      </c>
      <c r="T888" s="32" t="s">
        <v>277</v>
      </c>
      <c r="U888" s="24" t="s">
        <v>947</v>
      </c>
      <c r="V888" s="2"/>
      <c r="W888" s="28">
        <v>80.992400000000004</v>
      </c>
      <c r="X888" s="9"/>
      <c r="Y888" s="16"/>
      <c r="Z888" s="2"/>
      <c r="AA888" s="26">
        <f>Таблица2[[#This Row],[Сумма перевода Долл/Евро]]*Таблица2[[#This Row],[Курс ДОЛЛ перевод]]+Таблица2[[#This Row],[Сумма за перевод руб]]</f>
        <v>0</v>
      </c>
      <c r="AB88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6431.6695146705124</v>
      </c>
      <c r="AC888" s="9"/>
      <c r="AD888" s="41"/>
    </row>
    <row r="889" spans="1:30" ht="30" x14ac:dyDescent="0.25">
      <c r="A889" s="6">
        <v>44964</v>
      </c>
      <c r="B889" s="2" t="s">
        <v>1047</v>
      </c>
      <c r="C889" s="2" t="s">
        <v>1048</v>
      </c>
      <c r="D889" s="1" t="s">
        <v>1049</v>
      </c>
      <c r="E889" s="1"/>
      <c r="F889" s="3"/>
      <c r="G889" s="5">
        <v>4329</v>
      </c>
      <c r="H889" s="2"/>
      <c r="I889" s="2">
        <v>76.040000000000006</v>
      </c>
      <c r="J889" s="2"/>
      <c r="K889" s="2"/>
      <c r="L889" s="2"/>
      <c r="M889" s="26">
        <f>Таблица2[[#This Row],[Сумма Долл]]*Таблица2[[#This Row],[Курс ДОЛЛ]]</f>
        <v>329177.16000000003</v>
      </c>
      <c r="N88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329177.16000000003</v>
      </c>
      <c r="O88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4544.8756147467429</v>
      </c>
      <c r="P88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889" s="30">
        <v>301180.53000000003</v>
      </c>
      <c r="R889" s="12">
        <f>Таблица2[[#This Row],[Сумма в руб]]-Таблица2[[#This Row],[Оплата от клиента]]</f>
        <v>27996.630000000005</v>
      </c>
      <c r="S889" s="32">
        <v>44965</v>
      </c>
      <c r="T889" s="32" t="s">
        <v>164</v>
      </c>
      <c r="U889" s="24" t="s">
        <v>31</v>
      </c>
      <c r="V889" s="2"/>
      <c r="W889" s="28">
        <v>72.428200000000004</v>
      </c>
      <c r="X889" s="9">
        <v>3970</v>
      </c>
      <c r="Y889" s="16"/>
      <c r="Z889" s="10">
        <v>44974</v>
      </c>
      <c r="AA889" s="26">
        <f>Таблица2[[#This Row],[Сумма перевода Долл/Евро]]*Таблица2[[#This Row],[Курс ДОЛЛ перевод]]+Таблица2[[#This Row],[Сумма за перевод руб]]</f>
        <v>287539.95400000003</v>
      </c>
      <c r="AB88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574.87561474674294</v>
      </c>
      <c r="AC889" s="9"/>
      <c r="AD889" s="41"/>
    </row>
    <row r="890" spans="1:30" ht="30" x14ac:dyDescent="0.25">
      <c r="A890" s="6">
        <v>44964</v>
      </c>
      <c r="B890" s="38" t="s">
        <v>762</v>
      </c>
      <c r="C890" s="38" t="s">
        <v>816</v>
      </c>
      <c r="D890" s="1" t="s">
        <v>1040</v>
      </c>
      <c r="E890" s="1"/>
      <c r="F890" s="3">
        <f>38298-6773.27</f>
        <v>31524.73</v>
      </c>
      <c r="G890" s="5"/>
      <c r="H890" s="2">
        <v>10.68</v>
      </c>
      <c r="I890" s="2">
        <v>71.95</v>
      </c>
      <c r="J890" s="2"/>
      <c r="K890" s="2">
        <v>80</v>
      </c>
      <c r="L890" s="2"/>
      <c r="M890" s="26">
        <f>Таблица2[[#This Row],[Сумма ЮА]]*Таблица2[[#This Row],[Курс ЮА]]</f>
        <v>336684.1164</v>
      </c>
      <c r="N890" s="24">
        <f>Таблица2[[#This Row],[Сумма ЮА]]*Таблица2[[#This Row],[Курс ЮА]]+Таблица2[[#This Row],[Долл за перевод]]*Таблица2[[#This Row],[Курс ДОЛЛ]]</f>
        <v>342440.1164</v>
      </c>
      <c r="O89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4679.4178790826963</v>
      </c>
      <c r="P890" s="12">
        <f>Таблица2[[#This Row],[Долл за перевод]]*Таблица2[[#This Row],[Курс ДОЛЛ]]</f>
        <v>5756</v>
      </c>
      <c r="Q890" s="30">
        <v>342440.12</v>
      </c>
      <c r="R890" s="12">
        <f>Таблица2[[#This Row],[Сумма в руб]]-Таблица2[[#This Row],[Оплата от клиента]]</f>
        <v>-3.599999996367842E-3</v>
      </c>
      <c r="S890" s="32">
        <v>44965</v>
      </c>
      <c r="T890" s="32" t="s">
        <v>107</v>
      </c>
      <c r="U890" s="24" t="s">
        <v>31</v>
      </c>
      <c r="V890" s="2">
        <v>10.670999999999999</v>
      </c>
      <c r="W890" s="28"/>
      <c r="X890" s="9"/>
      <c r="Y890" s="16">
        <v>38298</v>
      </c>
      <c r="Z890" s="10">
        <v>44965</v>
      </c>
      <c r="AA890" s="26">
        <f>Таблица2[[#This Row],[Сумма перевода Долл/Евро]]*Таблица2[[#This Row],[Курс ДОЛЛ перевод]]+Таблица2[[#This Row],[Сумма за перевод руб]]</f>
        <v>5756</v>
      </c>
      <c r="AB89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1090.4384019952631</v>
      </c>
      <c r="AC890" s="9"/>
      <c r="AD890" s="41"/>
    </row>
    <row r="891" spans="1:30" ht="30" x14ac:dyDescent="0.25">
      <c r="A891" s="6">
        <v>44964</v>
      </c>
      <c r="B891" s="2" t="s">
        <v>35</v>
      </c>
      <c r="C891" s="2" t="s">
        <v>36</v>
      </c>
      <c r="D891" s="1" t="s">
        <v>1022</v>
      </c>
      <c r="E891" s="1"/>
      <c r="F891" s="3"/>
      <c r="G891" s="5">
        <v>7101.36</v>
      </c>
      <c r="H891" s="2"/>
      <c r="I891" s="2">
        <v>72.069999999999993</v>
      </c>
      <c r="J891" s="2">
        <v>0.97</v>
      </c>
      <c r="K891" s="2"/>
      <c r="L891" s="2"/>
      <c r="M891" s="26">
        <f>Таблица2[[#This Row],[Сумма Долл]]*Таблица2[[#This Row],[Курс ДОЛЛ]]</f>
        <v>511795.01519999991</v>
      </c>
      <c r="N89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527623.72701030923</v>
      </c>
      <c r="O89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7066.2396028066396</v>
      </c>
      <c r="P89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15828.711810309323</v>
      </c>
      <c r="Q891" s="30">
        <v>527623.73</v>
      </c>
      <c r="R891" s="12">
        <f>Таблица2[[#This Row],[Сумма в руб]]-Таблица2[[#This Row],[Оплата от клиента]]</f>
        <v>-2.989690750837326E-3</v>
      </c>
      <c r="S891" s="32">
        <v>44964</v>
      </c>
      <c r="T891" s="32" t="s">
        <v>164</v>
      </c>
      <c r="U891" s="24" t="s">
        <v>31</v>
      </c>
      <c r="V891" s="2"/>
      <c r="W891" s="28">
        <v>72.428200000000004</v>
      </c>
      <c r="X891" s="9">
        <v>7101.36</v>
      </c>
      <c r="Y891" s="16"/>
      <c r="Z891" s="10">
        <v>44965</v>
      </c>
      <c r="AA891" s="26">
        <f>Таблица2[[#This Row],[Сумма перевода Долл/Евро]]*Таблица2[[#This Row],[Курс ДОЛЛ перевод]]+Таблица2[[#This Row],[Сумма за перевод руб]]</f>
        <v>530167.43416230939</v>
      </c>
      <c r="AB89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-35.120397193360077</v>
      </c>
      <c r="AC891" s="9"/>
      <c r="AD891" s="41"/>
    </row>
    <row r="892" spans="1:30" ht="75" x14ac:dyDescent="0.25">
      <c r="A892" s="6">
        <v>44964</v>
      </c>
      <c r="B892" s="38" t="s">
        <v>1122</v>
      </c>
      <c r="C892" s="38" t="s">
        <v>1123</v>
      </c>
      <c r="D892" s="1" t="s">
        <v>1124</v>
      </c>
      <c r="E892" s="1"/>
      <c r="F892" s="3">
        <v>28500</v>
      </c>
      <c r="G892" s="5"/>
      <c r="H892" s="2">
        <v>10.68</v>
      </c>
      <c r="I892" s="2"/>
      <c r="J892" s="2">
        <v>0.94</v>
      </c>
      <c r="K892" s="2"/>
      <c r="L892" s="2"/>
      <c r="M892" s="26">
        <f>Таблица2[[#This Row],[Сумма ЮА]]*Таблица2[[#This Row],[Курс ЮА]]</f>
        <v>304380</v>
      </c>
      <c r="N892" s="24">
        <f>Таблица2[[#This Row],[Сумма ЮА]]*Таблица2[[#This Row],[Курс ЮА]]/Таблица2[[#This Row],[% за перевод]]</f>
        <v>323808.51063829788</v>
      </c>
      <c r="O89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9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19428.510638297885</v>
      </c>
      <c r="Q892" s="30">
        <v>323808.51</v>
      </c>
      <c r="R892" s="12">
        <f>Таблица2[[#This Row],[Сумма в руб]]-Таблица2[[#This Row],[Оплата от клиента]]</f>
        <v>6.3829787541180849E-4</v>
      </c>
      <c r="S892" s="32">
        <v>44964</v>
      </c>
      <c r="T892" s="32" t="s">
        <v>107</v>
      </c>
      <c r="U892" s="24" t="s">
        <v>31</v>
      </c>
      <c r="V892" s="2">
        <v>10.670999999999999</v>
      </c>
      <c r="W892" s="28"/>
      <c r="X892" s="9"/>
      <c r="Y892" s="16">
        <v>28500</v>
      </c>
      <c r="Z892" s="10">
        <v>44965</v>
      </c>
      <c r="AA892" s="26">
        <f>Таблица2[[#This Row],[Сумма перевода Долл/Евро]]*Таблица2[[#This Row],[Курс ДОЛЛ перевод]]+Таблица2[[#This Row],[Сумма за перевод руб]]</f>
        <v>19428.510638297885</v>
      </c>
      <c r="AB89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92" s="9"/>
      <c r="AD892" s="41"/>
    </row>
    <row r="893" spans="1:30" x14ac:dyDescent="0.25">
      <c r="A893" s="6">
        <v>44965</v>
      </c>
      <c r="B893" s="38" t="s">
        <v>1106</v>
      </c>
      <c r="C893" s="38" t="s">
        <v>1107</v>
      </c>
      <c r="D893" s="1" t="s">
        <v>872</v>
      </c>
      <c r="E893" s="1"/>
      <c r="F893" s="3">
        <v>9189.2999999999993</v>
      </c>
      <c r="G893" s="5"/>
      <c r="H893" s="2">
        <v>10.91</v>
      </c>
      <c r="I893" s="2"/>
      <c r="J893" s="2">
        <v>0.9</v>
      </c>
      <c r="K893" s="2"/>
      <c r="L893" s="2"/>
      <c r="M893" s="26">
        <f>Таблица2[[#This Row],[Сумма ЮА]]*Таблица2[[#This Row],[Курс ЮА]]</f>
        <v>100255.26299999999</v>
      </c>
      <c r="N893" s="24">
        <f>Таблица2[[#This Row],[Сумма ЮА]]*Таблица2[[#This Row],[Курс ЮА]]/Таблица2[[#This Row],[% за перевод]]</f>
        <v>111394.73666666665</v>
      </c>
      <c r="O89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1360.4060921282419</v>
      </c>
      <c r="P89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11139.473666666658</v>
      </c>
      <c r="Q893" s="30">
        <v>110067.39</v>
      </c>
      <c r="R893" s="12">
        <f>Таблица2[[#This Row],[Сумма в руб]]-Таблица2[[#This Row],[Оплата от клиента]]</f>
        <v>1327.34666666665</v>
      </c>
      <c r="S893" s="32">
        <v>44966</v>
      </c>
      <c r="T893" s="32" t="s">
        <v>720</v>
      </c>
      <c r="U893" s="24" t="s">
        <v>375</v>
      </c>
      <c r="V893" s="2"/>
      <c r="W893" s="28">
        <v>73.695099999999996</v>
      </c>
      <c r="X893" s="9">
        <v>1417.08</v>
      </c>
      <c r="Y893" s="16"/>
      <c r="Z893" s="2"/>
      <c r="AA893" s="26">
        <f>Таблица2[[#This Row],[Сумма перевода Долл/Евро]]*Таблица2[[#This Row],[Курс ДОЛЛ перевод]]+Таблица2[[#This Row],[Сумма за перевод руб]]</f>
        <v>115571.32597466664</v>
      </c>
      <c r="AB89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-56.673907871758047</v>
      </c>
      <c r="AC893" s="9"/>
      <c r="AD893" s="41"/>
    </row>
    <row r="894" spans="1:30" ht="45" x14ac:dyDescent="0.25">
      <c r="A894" s="6">
        <v>44965</v>
      </c>
      <c r="B894" s="59" t="s">
        <v>1125</v>
      </c>
      <c r="C894" s="59" t="s">
        <v>1126</v>
      </c>
      <c r="D894" s="1" t="s">
        <v>1127</v>
      </c>
      <c r="E894" s="1"/>
      <c r="F894" s="3">
        <v>34560</v>
      </c>
      <c r="G894" s="5"/>
      <c r="H894" s="2">
        <v>11.15</v>
      </c>
      <c r="I894" s="2"/>
      <c r="J894" s="2">
        <v>0.9</v>
      </c>
      <c r="K894" s="2"/>
      <c r="L894" s="2"/>
      <c r="M894" s="26">
        <f>Таблица2[[#This Row],[Сумма ЮА]]*Таблица2[[#This Row],[Курс ЮА]]</f>
        <v>385344</v>
      </c>
      <c r="N894" s="24">
        <f>Таблица2[[#This Row],[Сумма ЮА]]*Таблица2[[#This Row],[Курс ЮА]]/Таблица2[[#This Row],[% за перевод]]</f>
        <v>428160</v>
      </c>
      <c r="O89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9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42816</v>
      </c>
      <c r="Q894" s="30"/>
      <c r="R894" s="12">
        <f>Таблица2[[#This Row],[Сумма в руб]]-Таблица2[[#This Row],[Оплата от клиента]]</f>
        <v>428160</v>
      </c>
      <c r="S894" s="32"/>
      <c r="T894" s="32" t="s">
        <v>720</v>
      </c>
      <c r="U894" s="24" t="s">
        <v>1128</v>
      </c>
      <c r="V894" s="2"/>
      <c r="W894" s="28"/>
      <c r="X894" s="9"/>
      <c r="Y894" s="16"/>
      <c r="Z894" s="2"/>
      <c r="AA894" s="26">
        <f>Таблица2[[#This Row],[Сумма перевода Долл/Евро]]*Таблица2[[#This Row],[Курс ДОЛЛ перевод]]+Таблица2[[#This Row],[Сумма за перевод руб]]</f>
        <v>42816</v>
      </c>
      <c r="AB89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94" s="9"/>
      <c r="AD894" s="41"/>
    </row>
    <row r="895" spans="1:30" ht="30" x14ac:dyDescent="0.25">
      <c r="A895" s="6">
        <v>44965</v>
      </c>
      <c r="B895" s="28"/>
      <c r="C895" s="28" t="s">
        <v>831</v>
      </c>
      <c r="D895" s="1" t="s">
        <v>1129</v>
      </c>
      <c r="E895" s="1"/>
      <c r="F895" s="3"/>
      <c r="G895" s="5">
        <v>5997.28</v>
      </c>
      <c r="H895" s="2"/>
      <c r="I895" s="2">
        <v>78.59</v>
      </c>
      <c r="J895" s="2">
        <v>0.99</v>
      </c>
      <c r="K895" s="2"/>
      <c r="L895" s="2"/>
      <c r="M895" s="26">
        <f>Таблица2[[#This Row],[Сумма Долл]]*Таблица2[[#This Row],[Курс ДОЛЛ]]</f>
        <v>471326.2352</v>
      </c>
      <c r="N895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476087.10626262624</v>
      </c>
      <c r="O89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5819.3884265684183</v>
      </c>
      <c r="P89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4760.8710626262473</v>
      </c>
      <c r="Q895" s="30"/>
      <c r="R895" s="12">
        <f>Таблица2[[#This Row],[Сумма в руб]]-Таблица2[[#This Row],[Оплата от клиента]]</f>
        <v>476087.10626262624</v>
      </c>
      <c r="S895" s="32"/>
      <c r="T895" s="32" t="s">
        <v>277</v>
      </c>
      <c r="U895" s="24"/>
      <c r="V895" s="2"/>
      <c r="W895" s="28">
        <v>80.992400000000004</v>
      </c>
      <c r="X895" s="9"/>
      <c r="Y895" s="16"/>
      <c r="Z895" s="2"/>
      <c r="AA895" s="26">
        <f>Таблица2[[#This Row],[Сумма перевода Долл/Евро]]*Таблица2[[#This Row],[Курс ДОЛЛ перевод]]+Таблица2[[#This Row],[Сумма за перевод руб]]</f>
        <v>4760.8710626262473</v>
      </c>
      <c r="AB89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5819.3884265684183</v>
      </c>
      <c r="AC895" s="9"/>
      <c r="AD895" s="41"/>
    </row>
    <row r="896" spans="1:30" x14ac:dyDescent="0.25">
      <c r="A896" s="6">
        <v>44965</v>
      </c>
      <c r="B896" s="38" t="s">
        <v>1135</v>
      </c>
      <c r="C896" s="38" t="s">
        <v>1136</v>
      </c>
      <c r="D896" s="1"/>
      <c r="E896" s="1"/>
      <c r="F896" s="3"/>
      <c r="G896" s="5"/>
      <c r="H896" s="2"/>
      <c r="I896" s="2"/>
      <c r="J896" s="2"/>
      <c r="K896" s="2"/>
      <c r="L896" s="2"/>
      <c r="M896" s="26">
        <f>Таблица2[[#This Row],[Сумма Долл]]*Таблица2[[#This Row],[Курс ДОЛЛ]]</f>
        <v>0</v>
      </c>
      <c r="N896" s="24">
        <v>338531.95</v>
      </c>
      <c r="O89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0</v>
      </c>
      <c r="P89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896" s="30">
        <v>338531.95</v>
      </c>
      <c r="R896" s="12">
        <f>Таблица2[[#This Row],[Сумма в руб]]-Таблица2[[#This Row],[Оплата от клиента]]</f>
        <v>0</v>
      </c>
      <c r="S896" s="32">
        <v>44966</v>
      </c>
      <c r="T896" s="32" t="s">
        <v>720</v>
      </c>
      <c r="U896" s="24" t="s">
        <v>375</v>
      </c>
      <c r="V896" s="2"/>
      <c r="W896" s="28">
        <v>73.685199999999995</v>
      </c>
      <c r="X896" s="9">
        <v>4432.2299999999996</v>
      </c>
      <c r="Y896" s="16"/>
      <c r="Z896" s="2"/>
      <c r="AA896" s="26">
        <f>Таблица2[[#This Row],[Сумма перевода Долл/Евро]]*Таблица2[[#This Row],[Курс ДОЛЛ перевод]]+Таблица2[[#This Row],[Сумма за перевод руб]]</f>
        <v>326589.75399599993</v>
      </c>
      <c r="AB89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-4432.2299999999996</v>
      </c>
      <c r="AC896" s="9"/>
      <c r="AD896" s="41"/>
    </row>
    <row r="897" spans="1:30" ht="30" x14ac:dyDescent="0.25">
      <c r="A897" s="6">
        <v>44966</v>
      </c>
      <c r="B897" s="38" t="s">
        <v>1097</v>
      </c>
      <c r="C897" s="38" t="s">
        <v>1134</v>
      </c>
      <c r="D897" s="1" t="s">
        <v>1130</v>
      </c>
      <c r="E897" s="1"/>
      <c r="F897" s="3">
        <v>11568</v>
      </c>
      <c r="G897" s="5"/>
      <c r="H897" s="2">
        <v>11.02</v>
      </c>
      <c r="I897" s="2"/>
      <c r="J897" s="2">
        <v>0.97</v>
      </c>
      <c r="K897" s="2"/>
      <c r="L897" s="2"/>
      <c r="M897" s="26">
        <f>Таблица2[[#This Row],[Сумма ЮА]]*Таблица2[[#This Row],[Курс ЮА]]</f>
        <v>127479.36</v>
      </c>
      <c r="N897" s="24">
        <f>Таблица2[[#This Row],[Сумма ЮА]]*Таблица2[[#This Row],[Курс ЮА]]/Таблица2[[#This Row],[% за перевод]]</f>
        <v>131422.02061855671</v>
      </c>
      <c r="O89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89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3942.660618556707</v>
      </c>
      <c r="Q897" s="30">
        <v>131422.01999999999</v>
      </c>
      <c r="R897" s="12">
        <f>Таблица2[[#This Row],[Сумма в руб]]-Таблица2[[#This Row],[Оплата от клиента]]</f>
        <v>6.1855671810917556E-4</v>
      </c>
      <c r="S897" s="32">
        <v>44967</v>
      </c>
      <c r="T897" s="32" t="s">
        <v>730</v>
      </c>
      <c r="U897" s="24" t="s">
        <v>31</v>
      </c>
      <c r="V897" s="2">
        <v>10.9369</v>
      </c>
      <c r="W897" s="28"/>
      <c r="X897" s="9"/>
      <c r="Y897" s="3">
        <v>11568</v>
      </c>
      <c r="Z897" s="10">
        <v>44973</v>
      </c>
      <c r="AA897" s="26">
        <f>Таблица2[[#This Row],[Сумма перевода Долл/Евро]]*Таблица2[[#This Row],[Курс ДОЛЛ перевод]]+Таблица2[[#This Row],[Сумма за перевод руб]]</f>
        <v>3942.660618556707</v>
      </c>
      <c r="AB89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897" s="9"/>
      <c r="AD897" s="41"/>
    </row>
    <row r="898" spans="1:30" ht="30" x14ac:dyDescent="0.25">
      <c r="A898" s="6">
        <v>44967</v>
      </c>
      <c r="B898" s="38" t="s">
        <v>72</v>
      </c>
      <c r="C898" s="38" t="s">
        <v>73</v>
      </c>
      <c r="D898" s="1" t="s">
        <v>1021</v>
      </c>
      <c r="E898" s="1"/>
      <c r="F898" s="3">
        <v>150000</v>
      </c>
      <c r="G898" s="5"/>
      <c r="H898" s="2">
        <v>10.93</v>
      </c>
      <c r="I898" s="2"/>
      <c r="J898" s="2">
        <v>0.9</v>
      </c>
      <c r="K898" s="2"/>
      <c r="L898" s="2"/>
      <c r="M898" s="26">
        <f>Таблица2[[#This Row],[Сумма ЮА]]*Таблица2[[#This Row],[Курс ЮА]]</f>
        <v>1639500</v>
      </c>
      <c r="N898" s="24">
        <f>Таблица2[[#This Row],[Сумма ЮА]]*Таблица2[[#This Row],[Курс ЮА]]/Таблица2[[#This Row],[% за перевод]]</f>
        <v>1821666.6666666665</v>
      </c>
      <c r="O89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21952.934087637666</v>
      </c>
      <c r="P89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182166.66666666651</v>
      </c>
      <c r="Q898" s="30">
        <v>1821666.67</v>
      </c>
      <c r="R898" s="12">
        <f>Таблица2[[#This Row],[Сумма в руб]]-Таблица2[[#This Row],[Оплата от клиента]]</f>
        <v>-3.3333334140479565E-3</v>
      </c>
      <c r="S898" s="32">
        <v>44967</v>
      </c>
      <c r="T898" s="32" t="s">
        <v>720</v>
      </c>
      <c r="U898" s="24" t="s">
        <v>375</v>
      </c>
      <c r="V898" s="2"/>
      <c r="W898" s="28">
        <v>74.682500000000005</v>
      </c>
      <c r="X898" s="9">
        <v>22867.63</v>
      </c>
      <c r="Y898" s="16"/>
      <c r="Z898" s="2"/>
      <c r="AA898" s="26">
        <f>Таблица2[[#This Row],[Сумма перевода Долл/Евро]]*Таблица2[[#This Row],[Курс ДОЛЛ перевод]]+Таблица2[[#This Row],[Сумма за перевод руб]]</f>
        <v>1889978.4441416666</v>
      </c>
      <c r="AB89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-914.69591236233464</v>
      </c>
      <c r="AC898" s="9"/>
      <c r="AD898" s="41"/>
    </row>
    <row r="899" spans="1:30" ht="45" x14ac:dyDescent="0.25">
      <c r="A899" s="6">
        <v>44967</v>
      </c>
      <c r="B899" s="38" t="s">
        <v>1106</v>
      </c>
      <c r="C899" s="38" t="s">
        <v>1107</v>
      </c>
      <c r="D899" s="1" t="s">
        <v>1133</v>
      </c>
      <c r="E899" s="1"/>
      <c r="F899" s="3">
        <v>1408</v>
      </c>
      <c r="G899" s="5"/>
      <c r="H899" s="2">
        <v>10.93</v>
      </c>
      <c r="I899" s="2">
        <v>73.87</v>
      </c>
      <c r="J899" s="2"/>
      <c r="K899" s="2">
        <v>80</v>
      </c>
      <c r="L899" s="2"/>
      <c r="M899" s="26">
        <f>Таблица2[[#This Row],[Сумма ЮА]]*Таблица2[[#This Row],[Курс ЮА]]</f>
        <v>15389.439999999999</v>
      </c>
      <c r="N899" s="24">
        <f>Таблица2[[#This Row],[Сумма ЮА]]*Таблица2[[#This Row],[Курс ЮА]]+Таблица2[[#This Row],[Долл за перевод]]*Таблица2[[#This Row],[Курс ДОЛЛ]]</f>
        <v>21299.040000000001</v>
      </c>
      <c r="O89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208.33139298768103</v>
      </c>
      <c r="P899" s="12">
        <f>Таблица2[[#This Row],[Долл за перевод]]*Таблица2[[#This Row],[Курс ДОЛЛ]]</f>
        <v>5909.6</v>
      </c>
      <c r="Q899" s="30"/>
      <c r="R899" s="12">
        <f>Таблица2[[#This Row],[Сумма в руб]]-Таблица2[[#This Row],[Оплата от клиента]]</f>
        <v>21299.040000000001</v>
      </c>
      <c r="S899" s="32"/>
      <c r="T899" s="32" t="s">
        <v>107</v>
      </c>
      <c r="U899" s="24"/>
      <c r="V899" s="2"/>
      <c r="W899" s="28"/>
      <c r="X899" s="9"/>
      <c r="Y899" s="16"/>
      <c r="Z899" s="2"/>
      <c r="AA899" s="26">
        <f>Таблица2[[#This Row],[Сумма перевода Долл/Евро]]*Таблица2[[#This Row],[Курс ДОЛЛ перевод]]+Таблица2[[#This Row],[Сумма за перевод руб]]</f>
        <v>5909.6</v>
      </c>
      <c r="AB89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208.33139298768103</v>
      </c>
      <c r="AC899" s="9"/>
      <c r="AD899" s="41"/>
    </row>
    <row r="900" spans="1:30" ht="30" x14ac:dyDescent="0.25">
      <c r="A900" s="6">
        <v>44999</v>
      </c>
      <c r="B900" s="38">
        <v>2010</v>
      </c>
      <c r="C900" s="38" t="s">
        <v>1017</v>
      </c>
      <c r="D900" s="1" t="s">
        <v>1147</v>
      </c>
      <c r="E900" s="1"/>
      <c r="F900" s="3">
        <v>131100</v>
      </c>
      <c r="G900" s="5"/>
      <c r="H900" s="2">
        <v>11.06</v>
      </c>
      <c r="I900" s="2"/>
      <c r="J900" s="2">
        <v>0.97</v>
      </c>
      <c r="K900" s="2"/>
      <c r="L900" s="2"/>
      <c r="M900" s="26">
        <f>Таблица2[[#This Row],[Сумма ЮА]]*Таблица2[[#This Row],[Курс ЮА]]</f>
        <v>1449966</v>
      </c>
      <c r="N900" s="24">
        <f>Таблица2[[#This Row],[Сумма ЮА]]*Таблица2[[#This Row],[Курс ЮА]]/Таблица2[[#This Row],[% за перевод]]</f>
        <v>1494810.3092783506</v>
      </c>
      <c r="O90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0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44844.309278350556</v>
      </c>
      <c r="Q900" s="30">
        <v>1494810.31</v>
      </c>
      <c r="R900" s="12">
        <f>Таблица2[[#This Row],[Сумма в руб]]-Таблица2[[#This Row],[Оплата от клиента]]</f>
        <v>-7.2164949961006641E-4</v>
      </c>
      <c r="S900" s="32">
        <v>44971</v>
      </c>
      <c r="T900" s="32" t="s">
        <v>1027</v>
      </c>
      <c r="U900" s="24" t="s">
        <v>31</v>
      </c>
      <c r="V900" s="2">
        <v>10.926</v>
      </c>
      <c r="W900" s="28"/>
      <c r="X900" s="9"/>
      <c r="Y900" s="16">
        <v>131100</v>
      </c>
      <c r="Z900" s="10">
        <v>44985</v>
      </c>
      <c r="AA900" s="26">
        <f>Таблица2[[#This Row],[Сумма перевода Долл/Евро]]*Таблица2[[#This Row],[Курс ДОЛЛ перевод]]+Таблица2[[#This Row],[Сумма за перевод руб]]</f>
        <v>44844.309278350556</v>
      </c>
      <c r="AB90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00" s="9"/>
      <c r="AD900" s="41"/>
    </row>
    <row r="901" spans="1:30" ht="30" x14ac:dyDescent="0.25">
      <c r="A901" s="6">
        <v>44999</v>
      </c>
      <c r="B901" s="38" t="s">
        <v>209</v>
      </c>
      <c r="C901" s="38" t="s">
        <v>210</v>
      </c>
      <c r="D901" s="1" t="s">
        <v>999</v>
      </c>
      <c r="E901" s="1"/>
      <c r="F901" s="3">
        <v>82320</v>
      </c>
      <c r="G901" s="5"/>
      <c r="H901" s="2">
        <v>11.06</v>
      </c>
      <c r="I901" s="2"/>
      <c r="J901" s="2">
        <v>0.97</v>
      </c>
      <c r="K901" s="2"/>
      <c r="L901" s="2"/>
      <c r="M901" s="26">
        <f>Таблица2[[#This Row],[Сумма ЮА]]*Таблица2[[#This Row],[Курс ЮА]]</f>
        <v>910459.20000000007</v>
      </c>
      <c r="N901" s="24">
        <f>Таблица2[[#This Row],[Сумма ЮА]]*Таблица2[[#This Row],[Курс ЮА]]/Таблица2[[#This Row],[% за перевод]]</f>
        <v>938617.73195876298</v>
      </c>
      <c r="O90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0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28158.531958762906</v>
      </c>
      <c r="Q901" s="30">
        <v>938617.73</v>
      </c>
      <c r="R901" s="12">
        <f>Таблица2[[#This Row],[Сумма в руб]]-Таблица2[[#This Row],[Оплата от клиента]]</f>
        <v>1.9587629940360785E-3</v>
      </c>
      <c r="S901" s="32">
        <v>44971</v>
      </c>
      <c r="T901" s="32" t="s">
        <v>107</v>
      </c>
      <c r="U901" s="24" t="s">
        <v>31</v>
      </c>
      <c r="V901" s="2">
        <v>10.975199999999999</v>
      </c>
      <c r="W901" s="28"/>
      <c r="X901" s="9"/>
      <c r="Y901" s="16">
        <v>82320</v>
      </c>
      <c r="Z901" s="10">
        <v>44971</v>
      </c>
      <c r="AA901" s="26">
        <f>Таблица2[[#This Row],[Сумма перевода Долл/Евро]]*Таблица2[[#This Row],[Курс ДОЛЛ перевод]]+Таблица2[[#This Row],[Сумма за перевод руб]]</f>
        <v>28158.531958762906</v>
      </c>
      <c r="AB90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01" s="9"/>
      <c r="AD901" s="41"/>
    </row>
    <row r="902" spans="1:30" x14ac:dyDescent="0.25">
      <c r="A902" s="6">
        <v>44999</v>
      </c>
      <c r="B902" s="2" t="s">
        <v>126</v>
      </c>
      <c r="C902" s="2" t="s">
        <v>52</v>
      </c>
      <c r="D902" s="1" t="s">
        <v>854</v>
      </c>
      <c r="E902" s="1"/>
      <c r="F902" s="3"/>
      <c r="G902" s="5">
        <v>4000</v>
      </c>
      <c r="H902" s="2"/>
      <c r="I902" s="2">
        <v>75.05</v>
      </c>
      <c r="J902" s="2">
        <v>0.97</v>
      </c>
      <c r="K902" s="2"/>
      <c r="L902" s="2"/>
      <c r="M902" s="26">
        <f>Таблица2[[#This Row],[Сумма Долл]]*Таблица2[[#This Row],[Курс ДОЛЛ]]</f>
        <v>300200</v>
      </c>
      <c r="N90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309484.53608247422</v>
      </c>
      <c r="O90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4026.6277864143558</v>
      </c>
      <c r="P90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9284.5360824742238</v>
      </c>
      <c r="Q902" s="30">
        <v>309484.53999999998</v>
      </c>
      <c r="R902" s="12">
        <f>Таблица2[[#This Row],[Сумма в руб]]-Таблица2[[#This Row],[Оплата от клиента]]</f>
        <v>-3.9175257552415133E-3</v>
      </c>
      <c r="S902" s="32">
        <v>44971</v>
      </c>
      <c r="T902" s="32" t="s">
        <v>164</v>
      </c>
      <c r="U902" s="24" t="s">
        <v>31</v>
      </c>
      <c r="V902" s="2"/>
      <c r="W902" s="28">
        <v>74.553700000000006</v>
      </c>
      <c r="X902" s="9">
        <v>4000</v>
      </c>
      <c r="Y902" s="16"/>
      <c r="Z902" s="10">
        <v>44974</v>
      </c>
      <c r="AA902" s="26">
        <f>Таблица2[[#This Row],[Сумма перевода Долл/Евро]]*Таблица2[[#This Row],[Курс ДОЛЛ перевод]]+Таблица2[[#This Row],[Сумма за перевод руб]]</f>
        <v>307499.33608247427</v>
      </c>
      <c r="AB90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26.627786414355796</v>
      </c>
      <c r="AC902" s="9"/>
      <c r="AD902" s="41"/>
    </row>
    <row r="903" spans="1:30" x14ac:dyDescent="0.25">
      <c r="A903" s="6">
        <v>44999</v>
      </c>
      <c r="B903" s="38" t="s">
        <v>139</v>
      </c>
      <c r="C903" s="38" t="s">
        <v>140</v>
      </c>
      <c r="D903" s="1" t="s">
        <v>986</v>
      </c>
      <c r="E903" s="1"/>
      <c r="F903" s="3">
        <v>11350</v>
      </c>
      <c r="G903" s="5"/>
      <c r="H903" s="2">
        <v>11.06</v>
      </c>
      <c r="I903" s="2"/>
      <c r="J903" s="2">
        <v>0.93</v>
      </c>
      <c r="K903" s="2"/>
      <c r="L903" s="2"/>
      <c r="M903" s="26">
        <f>Таблица2[[#This Row],[Сумма ЮА]]*Таблица2[[#This Row],[Курс ЮА]]</f>
        <v>125531</v>
      </c>
      <c r="N903" s="24">
        <f>Таблица2[[#This Row],[Сумма ЮА]]*Таблица2[[#This Row],[Курс ЮА]]/Таблица2[[#This Row],[% за перевод]]</f>
        <v>134979.56989247311</v>
      </c>
      <c r="O90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1677.3227187029411</v>
      </c>
      <c r="P90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9448.5698924731114</v>
      </c>
      <c r="Q903" s="30">
        <v>134979.57</v>
      </c>
      <c r="R903" s="12">
        <f>Таблица2[[#This Row],[Сумма в руб]]-Таблица2[[#This Row],[Оплата от клиента]]</f>
        <v>-1.0752689559012651E-4</v>
      </c>
      <c r="S903" s="32">
        <v>44971</v>
      </c>
      <c r="T903" s="32" t="s">
        <v>720</v>
      </c>
      <c r="U903" s="24" t="s">
        <v>375</v>
      </c>
      <c r="V903" s="2"/>
      <c r="W903" s="28">
        <v>74.840100000000007</v>
      </c>
      <c r="X903" s="9">
        <v>1747.21</v>
      </c>
      <c r="Y903" s="16"/>
      <c r="Z903" s="2"/>
      <c r="AA903" s="26">
        <f>Таблица2[[#This Row],[Сумма перевода Долл/Евро]]*Таблица2[[#This Row],[Курс ДОЛЛ перевод]]+Таблица2[[#This Row],[Сумма за перевод руб]]</f>
        <v>140209.94101347314</v>
      </c>
      <c r="AB90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-69.887281297058962</v>
      </c>
      <c r="AC903" s="9"/>
      <c r="AD903" s="41"/>
    </row>
    <row r="904" spans="1:30" ht="45" x14ac:dyDescent="0.25">
      <c r="A904" s="6">
        <v>44999</v>
      </c>
      <c r="B904" s="38">
        <v>626638</v>
      </c>
      <c r="C904" s="38" t="s">
        <v>1148</v>
      </c>
      <c r="D904" s="1" t="s">
        <v>1149</v>
      </c>
      <c r="E904" s="1"/>
      <c r="F904" s="3"/>
      <c r="G904" s="5">
        <v>20435.71</v>
      </c>
      <c r="H904" s="2"/>
      <c r="I904" s="2">
        <v>75.150000000000006</v>
      </c>
      <c r="J904" s="2">
        <v>0.9</v>
      </c>
      <c r="K904" s="2"/>
      <c r="L904" s="2"/>
      <c r="M904" s="26">
        <f>Таблица2[[#This Row],[Сумма Долл]]*Таблица2[[#This Row],[Курс ДОЛЛ]]</f>
        <v>1535743.6065</v>
      </c>
      <c r="N904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1706381.7849999999</v>
      </c>
      <c r="O904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20599.16015569985</v>
      </c>
      <c r="P90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170638.17849999992</v>
      </c>
      <c r="Q904" s="30">
        <v>1706381.79</v>
      </c>
      <c r="R904" s="12">
        <f>Таблица2[[#This Row],[Сумма в руб]]-Таблица2[[#This Row],[Оплата от клиента]]</f>
        <v>-5.0000001210719347E-3</v>
      </c>
      <c r="S904" s="32">
        <v>44971</v>
      </c>
      <c r="T904" s="32" t="s">
        <v>720</v>
      </c>
      <c r="U904" s="24" t="s">
        <v>375</v>
      </c>
      <c r="V904" s="2"/>
      <c r="W904" s="28">
        <v>74.553700000000006</v>
      </c>
      <c r="X904" s="9">
        <v>20435.71</v>
      </c>
      <c r="Y904" s="16"/>
      <c r="Z904" s="2"/>
      <c r="AA904" s="26">
        <f>Таблица2[[#This Row],[Сумма перевода Долл/Евро]]*Таблица2[[#This Row],[Курс ДОЛЛ перевод]]+Таблица2[[#This Row],[Сумма за перевод руб]]</f>
        <v>1694195.9711269999</v>
      </c>
      <c r="AB904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163.45015569985117</v>
      </c>
      <c r="AC904" s="9"/>
      <c r="AD904" s="41"/>
    </row>
    <row r="905" spans="1:30" ht="30" x14ac:dyDescent="0.25">
      <c r="A905" s="6">
        <v>44999</v>
      </c>
      <c r="B905" s="38" t="s">
        <v>803</v>
      </c>
      <c r="C905" s="38" t="s">
        <v>802</v>
      </c>
      <c r="D905" s="1" t="s">
        <v>1150</v>
      </c>
      <c r="E905" s="1"/>
      <c r="F905" s="3">
        <v>15030</v>
      </c>
      <c r="G905" s="5"/>
      <c r="H905" s="2">
        <v>11.08</v>
      </c>
      <c r="I905" s="2"/>
      <c r="J905" s="2">
        <v>0.97</v>
      </c>
      <c r="K905" s="2"/>
      <c r="L905" s="2"/>
      <c r="M905" s="26">
        <f>Таблица2[[#This Row],[Сумма ЮА]]*Таблица2[[#This Row],[Курс ЮА]]</f>
        <v>166532.4</v>
      </c>
      <c r="N905" s="24">
        <f>Таблица2[[#This Row],[Сумма ЮА]]*Таблица2[[#This Row],[Курс ЮА]]/Таблица2[[#This Row],[% за перевод]]</f>
        <v>171682.88659793814</v>
      </c>
      <c r="O90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0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5150.4865979381429</v>
      </c>
      <c r="Q905" s="30">
        <v>171682.89</v>
      </c>
      <c r="R905" s="12">
        <f>Таблица2[[#This Row],[Сумма в руб]]-Таблица2[[#This Row],[Оплата от клиента]]</f>
        <v>-3.4020618768408895E-3</v>
      </c>
      <c r="S905" s="32">
        <v>44971</v>
      </c>
      <c r="T905" s="32" t="s">
        <v>107</v>
      </c>
      <c r="U905" s="24" t="s">
        <v>31</v>
      </c>
      <c r="V905" s="2">
        <v>10.926</v>
      </c>
      <c r="W905" s="28"/>
      <c r="X905" s="9"/>
      <c r="Y905" s="16">
        <v>15030</v>
      </c>
      <c r="Z905" s="10">
        <v>44973</v>
      </c>
      <c r="AA905" s="26">
        <f>Таблица2[[#This Row],[Сумма перевода Долл/Евро]]*Таблица2[[#This Row],[Курс ДОЛЛ перевод]]+Таблица2[[#This Row],[Сумма за перевод руб]]</f>
        <v>5150.4865979381429</v>
      </c>
      <c r="AB90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05" s="9"/>
      <c r="AD905" s="41"/>
    </row>
    <row r="906" spans="1:30" x14ac:dyDescent="0.25">
      <c r="A906" s="6">
        <v>44999</v>
      </c>
      <c r="B906" s="38" t="s">
        <v>895</v>
      </c>
      <c r="C906" s="38" t="s">
        <v>896</v>
      </c>
      <c r="D906" s="1" t="s">
        <v>1151</v>
      </c>
      <c r="E906" s="1"/>
      <c r="F906" s="3"/>
      <c r="G906" s="5"/>
      <c r="H906" s="2"/>
      <c r="I906" s="2"/>
      <c r="J906" s="2"/>
      <c r="K906" s="2"/>
      <c r="L906" s="2"/>
      <c r="M906" s="26">
        <f>Таблица2[[#This Row],[Сумма Долл]]*Таблица2[[#This Row],[Курс ДОЛЛ]]</f>
        <v>0</v>
      </c>
      <c r="N906" s="24">
        <v>450000</v>
      </c>
      <c r="O90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0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906" s="30">
        <v>450000</v>
      </c>
      <c r="R906" s="12">
        <f>Таблица2[[#This Row],[Сумма в руб]]-Таблица2[[#This Row],[Оплата от клиента]]</f>
        <v>0</v>
      </c>
      <c r="S906" s="32">
        <v>44971</v>
      </c>
      <c r="T906" s="32" t="s">
        <v>730</v>
      </c>
      <c r="U906" s="24" t="s">
        <v>31</v>
      </c>
      <c r="V906" s="2">
        <v>11.0245</v>
      </c>
      <c r="W906" s="28"/>
      <c r="X906" s="9"/>
      <c r="Y906" s="16">
        <v>39593.629999999997</v>
      </c>
      <c r="Z906" s="10">
        <v>44973</v>
      </c>
      <c r="AA906" s="26">
        <f>Таблица2[[#This Row],[Сумма перевода Долл/Евро]]*Таблица2[[#This Row],[Курс ДОЛЛ перевод]]+Таблица2[[#This Row],[Сумма за перевод руб]]</f>
        <v>0</v>
      </c>
      <c r="AB90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06" s="9"/>
      <c r="AD906" s="41"/>
    </row>
    <row r="907" spans="1:30" x14ac:dyDescent="0.25">
      <c r="A907" s="6">
        <v>44999</v>
      </c>
      <c r="B907" s="38" t="s">
        <v>502</v>
      </c>
      <c r="C907" s="38" t="s">
        <v>503</v>
      </c>
      <c r="D907" s="1" t="s">
        <v>1152</v>
      </c>
      <c r="E907" s="1"/>
      <c r="F907" s="3">
        <v>36295</v>
      </c>
      <c r="G907" s="5"/>
      <c r="H907" s="2">
        <v>11.08</v>
      </c>
      <c r="I907" s="2"/>
      <c r="J907" s="2">
        <v>0.9</v>
      </c>
      <c r="K907" s="2"/>
      <c r="L907" s="2"/>
      <c r="M907" s="26">
        <f>Таблица2[[#This Row],[Сумма ЮА]]*Таблица2[[#This Row],[Курс ЮА]]</f>
        <v>402148.6</v>
      </c>
      <c r="N907" s="24">
        <f>Таблица2[[#This Row],[Сумма ЮА]]*Таблица2[[#This Row],[Курс ЮА]]/Таблица2[[#This Row],[% за перевод]]</f>
        <v>446831.77777777775</v>
      </c>
      <c r="O90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5312.2656102422798</v>
      </c>
      <c r="P90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44683.177777777775</v>
      </c>
      <c r="Q907" s="30">
        <v>446831.78</v>
      </c>
      <c r="R907" s="12">
        <f>Таблица2[[#This Row],[Сумма в руб]]-Таблица2[[#This Row],[Оплата от клиента]]</f>
        <v>-2.222222276031971E-3</v>
      </c>
      <c r="S907" s="32">
        <v>44971</v>
      </c>
      <c r="T907" s="32" t="s">
        <v>720</v>
      </c>
      <c r="U907" s="24" t="s">
        <v>375</v>
      </c>
      <c r="V907" s="2"/>
      <c r="W907" s="28">
        <v>75.701899999999995</v>
      </c>
      <c r="X907" s="9">
        <v>5533.6</v>
      </c>
      <c r="Y907" s="16"/>
      <c r="Z907" s="2"/>
      <c r="AA907" s="26">
        <f>Таблица2[[#This Row],[Сумма перевода Долл/Евро]]*Таблица2[[#This Row],[Курс ДОЛЛ перевод]]+Таблица2[[#This Row],[Сумма за перевод руб]]</f>
        <v>463587.21161777776</v>
      </c>
      <c r="AB90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-221.3343897577206</v>
      </c>
      <c r="AC907" s="9"/>
      <c r="AD907" s="41"/>
    </row>
    <row r="908" spans="1:30" ht="30" x14ac:dyDescent="0.25">
      <c r="A908" s="6">
        <v>44999</v>
      </c>
      <c r="B908" s="2" t="s">
        <v>783</v>
      </c>
      <c r="C908" s="2" t="s">
        <v>784</v>
      </c>
      <c r="D908" s="1" t="s">
        <v>853</v>
      </c>
      <c r="E908" s="1"/>
      <c r="F908" s="3"/>
      <c r="G908" s="5">
        <v>1200</v>
      </c>
      <c r="H908" s="2"/>
      <c r="I908" s="2">
        <v>75.150000000000006</v>
      </c>
      <c r="J908" s="2"/>
      <c r="K908" s="2">
        <v>80</v>
      </c>
      <c r="L908" s="2"/>
      <c r="M908" s="26">
        <f>Таблица2[[#This Row],[Сумма Долл]]*Таблица2[[#This Row],[Курс ДОЛЛ]]</f>
        <v>90180</v>
      </c>
      <c r="N908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96192</v>
      </c>
      <c r="O90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1191.3034058754058</v>
      </c>
      <c r="P90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6055.8879999999999</v>
      </c>
      <c r="Q908" s="30">
        <v>96192</v>
      </c>
      <c r="R908" s="12">
        <f>Таблица2[[#This Row],[Сумма в руб]]-Таблица2[[#This Row],[Оплата от клиента]]</f>
        <v>0</v>
      </c>
      <c r="S908" s="32">
        <v>44972</v>
      </c>
      <c r="T908" s="32" t="s">
        <v>164</v>
      </c>
      <c r="U908" s="24" t="s">
        <v>31</v>
      </c>
      <c r="V908" s="2"/>
      <c r="W908" s="28">
        <v>75.698599999999999</v>
      </c>
      <c r="X908" s="9">
        <v>1200</v>
      </c>
      <c r="Y908" s="16"/>
      <c r="Z908" s="10">
        <v>44973</v>
      </c>
      <c r="AA908" s="26">
        <f>Таблица2[[#This Row],[Сумма перевода Долл/Евро]]*Таблица2[[#This Row],[Курс ДОЛЛ перевод]]+Таблица2[[#This Row],[Сумма за перевод руб]]</f>
        <v>96894.207999999999</v>
      </c>
      <c r="AB90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-8.6965941245941849</v>
      </c>
      <c r="AC908" s="9"/>
      <c r="AD908" s="41"/>
    </row>
    <row r="909" spans="1:30" x14ac:dyDescent="0.25">
      <c r="A909" s="6">
        <v>44973</v>
      </c>
      <c r="B909" s="38" t="s">
        <v>1162</v>
      </c>
      <c r="C909" s="38" t="s">
        <v>308</v>
      </c>
      <c r="D909" s="1" t="s">
        <v>1161</v>
      </c>
      <c r="E909" s="1"/>
      <c r="F909" s="3"/>
      <c r="G909" s="5">
        <v>5367</v>
      </c>
      <c r="H909" s="2"/>
      <c r="I909" s="2">
        <v>76.040000000000006</v>
      </c>
      <c r="J909" s="2"/>
      <c r="K909" s="2"/>
      <c r="L909" s="2"/>
      <c r="M909" s="26">
        <f>Таблица2[[#This Row],[Сумма Долл]]*Таблица2[[#This Row],[Курс ДОЛЛ]]</f>
        <v>408106.68000000005</v>
      </c>
      <c r="N909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408106.68000000005</v>
      </c>
      <c r="O90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5367</v>
      </c>
      <c r="P90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0</v>
      </c>
      <c r="Q909" s="30">
        <v>408106.68</v>
      </c>
      <c r="R909" s="12">
        <f>Таблица2[[#This Row],[Сумма в руб]]-Таблица2[[#This Row],[Оплата от клиента]]</f>
        <v>0</v>
      </c>
      <c r="S909" s="32">
        <v>44973</v>
      </c>
      <c r="T909" s="32" t="s">
        <v>130</v>
      </c>
      <c r="U909" s="24" t="s">
        <v>947</v>
      </c>
      <c r="V909" s="2">
        <v>10.951000000000001</v>
      </c>
      <c r="W909" s="28"/>
      <c r="X909" s="9"/>
      <c r="Y909" s="16">
        <v>30250</v>
      </c>
      <c r="Z909" s="10">
        <v>44974</v>
      </c>
      <c r="AA909" s="26">
        <f>Таблица2[[#This Row],[Сумма перевода Долл/Евро]]*Таблица2[[#This Row],[Курс ДОЛЛ перевод]]+Таблица2[[#This Row],[Сумма за перевод руб]]</f>
        <v>0</v>
      </c>
      <c r="AB90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2604.6951876540957</v>
      </c>
      <c r="AC909" s="9"/>
      <c r="AD909" s="41" t="s">
        <v>1164</v>
      </c>
    </row>
    <row r="910" spans="1:30" ht="30" x14ac:dyDescent="0.25">
      <c r="A910" s="6">
        <v>44974</v>
      </c>
      <c r="B910" s="38" t="s">
        <v>847</v>
      </c>
      <c r="C910" s="38" t="s">
        <v>848</v>
      </c>
      <c r="D910" s="1" t="s">
        <v>1163</v>
      </c>
      <c r="E910" s="1"/>
      <c r="F910" s="3">
        <v>230100</v>
      </c>
      <c r="G910" s="5"/>
      <c r="H910" s="2">
        <v>11.19</v>
      </c>
      <c r="I910" s="2"/>
      <c r="J910" s="2">
        <v>0.97</v>
      </c>
      <c r="K910" s="2"/>
      <c r="L910" s="2"/>
      <c r="M910" s="26">
        <f>Таблица2[[#This Row],[Сумма ЮА]]*Таблица2[[#This Row],[Курс ЮА]]</f>
        <v>2574819</v>
      </c>
      <c r="N910" s="24">
        <f>Таблица2[[#This Row],[Сумма ЮА]]*Таблица2[[#This Row],[Курс ЮА]]/Таблица2[[#This Row],[% за перевод]]</f>
        <v>2654452.5773195876</v>
      </c>
      <c r="O91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1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79633.577319587581</v>
      </c>
      <c r="Q910" s="30">
        <v>2654452.2799999998</v>
      </c>
      <c r="R910" s="12">
        <f>Таблица2[[#This Row],[Сумма в руб]]-Таблица2[[#This Row],[Оплата от клиента]]</f>
        <v>0.29731958778575063</v>
      </c>
      <c r="S910" s="32">
        <v>44974</v>
      </c>
      <c r="T910" s="32" t="s">
        <v>107</v>
      </c>
      <c r="U910" s="24" t="s">
        <v>31</v>
      </c>
      <c r="V910" s="2">
        <v>10.9407</v>
      </c>
      <c r="W910" s="28"/>
      <c r="X910" s="9"/>
      <c r="Y910" s="16">
        <v>230100</v>
      </c>
      <c r="Z910" s="10">
        <v>44978</v>
      </c>
      <c r="AA910" s="26">
        <f>Таблица2[[#This Row],[Сумма перевода Долл/Евро]]*Таблица2[[#This Row],[Курс ДОЛЛ перевод]]+Таблица2[[#This Row],[Сумма за перевод руб]]</f>
        <v>79633.577319587581</v>
      </c>
      <c r="AB91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10" s="9"/>
      <c r="AD910" s="41"/>
    </row>
    <row r="911" spans="1:30" ht="30" x14ac:dyDescent="0.25">
      <c r="A911" s="6">
        <v>44974</v>
      </c>
      <c r="B911" s="38" t="s">
        <v>755</v>
      </c>
      <c r="C911" s="38" t="s">
        <v>354</v>
      </c>
      <c r="D911" s="1" t="s">
        <v>1035</v>
      </c>
      <c r="E911" s="1"/>
      <c r="F911" s="3">
        <v>1354.96</v>
      </c>
      <c r="G911" s="5"/>
      <c r="H911" s="2">
        <v>11.19</v>
      </c>
      <c r="I911" s="2"/>
      <c r="J911" s="2">
        <v>0.97</v>
      </c>
      <c r="K911" s="2"/>
      <c r="L911" s="2"/>
      <c r="M911" s="26">
        <f>Таблица2[[#This Row],[Сумма ЮА]]*Таблица2[[#This Row],[Курс ЮА]]</f>
        <v>15162.002399999999</v>
      </c>
      <c r="N911" s="24">
        <f>Таблица2[[#This Row],[Сумма ЮА]]*Таблица2[[#This Row],[Курс ЮА]]/Таблица2[[#This Row],[% за перевод]]</f>
        <v>15630.93030927835</v>
      </c>
      <c r="O91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1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468.92790927835085</v>
      </c>
      <c r="Q911" s="30">
        <v>15630.93</v>
      </c>
      <c r="R911" s="12">
        <f>Таблица2[[#This Row],[Сумма в руб]]-Таблица2[[#This Row],[Оплата от клиента]]</f>
        <v>3.0927834995964076E-4</v>
      </c>
      <c r="S911" s="32">
        <v>44978</v>
      </c>
      <c r="T911" s="32" t="s">
        <v>107</v>
      </c>
      <c r="U911" s="24" t="s">
        <v>31</v>
      </c>
      <c r="V911" s="2">
        <v>10.9702</v>
      </c>
      <c r="W911" s="28"/>
      <c r="X911" s="9"/>
      <c r="Y911" s="16">
        <v>1354.96</v>
      </c>
      <c r="Z911" s="10">
        <v>44978</v>
      </c>
      <c r="AA911" s="26">
        <f>Таблица2[[#This Row],[Сумма перевода Долл/Евро]]*Таблица2[[#This Row],[Курс ДОЛЛ перевод]]+Таблица2[[#This Row],[Сумма за перевод руб]]</f>
        <v>468.92790927835085</v>
      </c>
      <c r="AB91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11" s="9"/>
      <c r="AD911" s="41"/>
    </row>
    <row r="912" spans="1:30" ht="30" x14ac:dyDescent="0.25">
      <c r="A912" s="6">
        <v>44974</v>
      </c>
      <c r="B912" s="38" t="s">
        <v>755</v>
      </c>
      <c r="C912" s="38" t="s">
        <v>354</v>
      </c>
      <c r="D912" s="1" t="s">
        <v>1035</v>
      </c>
      <c r="E912" s="1"/>
      <c r="F912" s="3">
        <v>7323.02</v>
      </c>
      <c r="G912" s="5"/>
      <c r="H912" s="2">
        <v>11.19</v>
      </c>
      <c r="I912" s="2"/>
      <c r="J912" s="2">
        <v>0.97</v>
      </c>
      <c r="K912" s="2"/>
      <c r="L912" s="2"/>
      <c r="M912" s="26">
        <f>Таблица2[[#This Row],[Сумма ЮА]]*Таблица2[[#This Row],[Курс ЮА]]</f>
        <v>81944.593800000002</v>
      </c>
      <c r="N912" s="24">
        <f>Таблица2[[#This Row],[Сумма ЮА]]*Таблица2[[#This Row],[Курс ЮА]]/Таблица2[[#This Row],[% за перевод]]</f>
        <v>84478.962680412369</v>
      </c>
      <c r="O91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1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2534.3688804123667</v>
      </c>
      <c r="Q912" s="30">
        <v>84478.96</v>
      </c>
      <c r="R912" s="12">
        <f>Таблица2[[#This Row],[Сумма в руб]]-Таблица2[[#This Row],[Оплата от клиента]]</f>
        <v>2.6804123626789078E-3</v>
      </c>
      <c r="S912" s="32">
        <v>44978</v>
      </c>
      <c r="T912" s="32" t="s">
        <v>107</v>
      </c>
      <c r="U912" s="24" t="s">
        <v>31</v>
      </c>
      <c r="V912" s="2">
        <v>10.9702</v>
      </c>
      <c r="W912" s="28"/>
      <c r="X912" s="9"/>
      <c r="Y912" s="16">
        <v>7323.02</v>
      </c>
      <c r="Z912" s="10">
        <v>44978</v>
      </c>
      <c r="AA912" s="26">
        <f>Таблица2[[#This Row],[Сумма перевода Долл/Евро]]*Таблица2[[#This Row],[Курс ДОЛЛ перевод]]+Таблица2[[#This Row],[Сумма за перевод руб]]</f>
        <v>2534.3688804123667</v>
      </c>
      <c r="AB91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12" s="9"/>
      <c r="AD912" s="41"/>
    </row>
    <row r="913" spans="1:30" ht="30" x14ac:dyDescent="0.25">
      <c r="A913" s="6">
        <v>44974</v>
      </c>
      <c r="B913" s="38" t="s">
        <v>755</v>
      </c>
      <c r="C913" s="38" t="s">
        <v>354</v>
      </c>
      <c r="D913" s="1" t="s">
        <v>1035</v>
      </c>
      <c r="E913" s="1"/>
      <c r="F913" s="3">
        <v>5881.2</v>
      </c>
      <c r="G913" s="5"/>
      <c r="H913" s="2">
        <v>11.19</v>
      </c>
      <c r="I913" s="2"/>
      <c r="J913" s="2">
        <v>0.97</v>
      </c>
      <c r="K913" s="2"/>
      <c r="L913" s="2"/>
      <c r="M913" s="26">
        <f>Таблица2[[#This Row],[Сумма ЮА]]*Таблица2[[#This Row],[Курс ЮА]]</f>
        <v>65810.627999999997</v>
      </c>
      <c r="N913" s="24">
        <f>Таблица2[[#This Row],[Сумма ЮА]]*Таблица2[[#This Row],[Курс ЮА]]/Таблица2[[#This Row],[% за перевод]]</f>
        <v>67846.00824742268</v>
      </c>
      <c r="O91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1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2035.3802474226832</v>
      </c>
      <c r="Q913" s="30">
        <v>67846.009999999995</v>
      </c>
      <c r="R913" s="12">
        <f>Таблица2[[#This Row],[Сумма в руб]]-Таблица2[[#This Row],[Оплата от клиента]]</f>
        <v>-1.7525773146189749E-3</v>
      </c>
      <c r="S913" s="32">
        <v>44978</v>
      </c>
      <c r="T913" s="32" t="s">
        <v>107</v>
      </c>
      <c r="U913" s="24" t="s">
        <v>31</v>
      </c>
      <c r="V913" s="2">
        <v>10.9702</v>
      </c>
      <c r="W913" s="28"/>
      <c r="X913" s="9"/>
      <c r="Y913" s="16">
        <v>5881.2</v>
      </c>
      <c r="Z913" s="10">
        <v>44978</v>
      </c>
      <c r="AA913" s="26">
        <f>Таблица2[[#This Row],[Сумма перевода Долл/Евро]]*Таблица2[[#This Row],[Курс ДОЛЛ перевод]]+Таблица2[[#This Row],[Сумма за перевод руб]]</f>
        <v>2035.3802474226832</v>
      </c>
      <c r="AB91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13" s="9"/>
      <c r="AD913" s="41"/>
    </row>
    <row r="914" spans="1:30" ht="30" x14ac:dyDescent="0.25">
      <c r="A914" s="6">
        <v>44974</v>
      </c>
      <c r="B914" s="38" t="s">
        <v>755</v>
      </c>
      <c r="C914" s="38" t="s">
        <v>354</v>
      </c>
      <c r="D914" s="1" t="s">
        <v>1035</v>
      </c>
      <c r="E914" s="1"/>
      <c r="F914" s="3">
        <v>948.42</v>
      </c>
      <c r="G914" s="5"/>
      <c r="H914" s="2">
        <v>11.19</v>
      </c>
      <c r="I914" s="2"/>
      <c r="J914" s="2">
        <v>0.97</v>
      </c>
      <c r="K914" s="2"/>
      <c r="L914" s="2"/>
      <c r="M914" s="26">
        <f>Таблица2[[#This Row],[Сумма ЮА]]*Таблица2[[#This Row],[Курс ЮА]]</f>
        <v>10612.819799999999</v>
      </c>
      <c r="N914" s="24">
        <f>Таблица2[[#This Row],[Сумма ЮА]]*Таблица2[[#This Row],[Курс ЮА]]/Таблица2[[#This Row],[% за перевод]]</f>
        <v>10941.051340206184</v>
      </c>
      <c r="O91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1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328.23154020618495</v>
      </c>
      <c r="Q914" s="30">
        <v>10941.05</v>
      </c>
      <c r="R914" s="12">
        <f>Таблица2[[#This Row],[Сумма в руб]]-Таблица2[[#This Row],[Оплата от клиента]]</f>
        <v>1.3402061849774327E-3</v>
      </c>
      <c r="S914" s="32">
        <v>44978</v>
      </c>
      <c r="T914" s="32" t="s">
        <v>107</v>
      </c>
      <c r="U914" s="24" t="s">
        <v>31</v>
      </c>
      <c r="V914" s="2">
        <v>10.9702</v>
      </c>
      <c r="W914" s="28"/>
      <c r="X914" s="9"/>
      <c r="Y914" s="16">
        <v>948.42</v>
      </c>
      <c r="Z914" s="10">
        <v>44978</v>
      </c>
      <c r="AA914" s="26">
        <f>Таблица2[[#This Row],[Сумма перевода Долл/Евро]]*Таблица2[[#This Row],[Курс ДОЛЛ перевод]]+Таблица2[[#This Row],[Сумма за перевод руб]]</f>
        <v>328.23154020618495</v>
      </c>
      <c r="AB91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14" s="9"/>
      <c r="AD914" s="41"/>
    </row>
    <row r="915" spans="1:30" ht="30" x14ac:dyDescent="0.25">
      <c r="A915" s="6">
        <v>44977</v>
      </c>
      <c r="B915" s="38" t="s">
        <v>755</v>
      </c>
      <c r="C915" s="38" t="s">
        <v>354</v>
      </c>
      <c r="D915" s="1" t="s">
        <v>1035</v>
      </c>
      <c r="E915" s="1"/>
      <c r="F915" s="3">
        <v>1579.84</v>
      </c>
      <c r="G915" s="5"/>
      <c r="H915" s="2">
        <v>11.19</v>
      </c>
      <c r="I915" s="2"/>
      <c r="J915" s="2">
        <v>0.97</v>
      </c>
      <c r="K915" s="2"/>
      <c r="L915" s="2"/>
      <c r="M915" s="26">
        <f>Таблица2[[#This Row],[Сумма ЮА]]*Таблица2[[#This Row],[Курс ЮА]]</f>
        <v>17678.409599999999</v>
      </c>
      <c r="N915" s="24">
        <f>Таблица2[[#This Row],[Сумма ЮА]]*Таблица2[[#This Row],[Курс ЮА]]/Таблица2[[#This Row],[% за перевод]]</f>
        <v>18225.164536082473</v>
      </c>
      <c r="O91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1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546.75493608247416</v>
      </c>
      <c r="Q915" s="30">
        <v>18225.16</v>
      </c>
      <c r="R915" s="12">
        <f>Таблица2[[#This Row],[Сумма в руб]]-Таблица2[[#This Row],[Оплата от клиента]]</f>
        <v>4.5360824733506888E-3</v>
      </c>
      <c r="S915" s="32">
        <v>44978</v>
      </c>
      <c r="T915" s="32" t="s">
        <v>107</v>
      </c>
      <c r="U915" s="24" t="s">
        <v>31</v>
      </c>
      <c r="V915" s="2">
        <v>10.9702</v>
      </c>
      <c r="W915" s="28"/>
      <c r="X915" s="9"/>
      <c r="Y915" s="16">
        <v>1579.84</v>
      </c>
      <c r="Z915" s="10">
        <v>44978</v>
      </c>
      <c r="AA915" s="26">
        <f>Таблица2[[#This Row],[Сумма перевода Долл/Евро]]*Таблица2[[#This Row],[Курс ДОЛЛ перевод]]+Таблица2[[#This Row],[Сумма за перевод руб]]</f>
        <v>546.75493608247416</v>
      </c>
      <c r="AB91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15" s="9"/>
      <c r="AD915" s="41"/>
    </row>
    <row r="916" spans="1:30" ht="30" x14ac:dyDescent="0.25">
      <c r="A916" s="6">
        <v>44978</v>
      </c>
      <c r="B916" s="2" t="s">
        <v>783</v>
      </c>
      <c r="C916" s="2" t="s">
        <v>784</v>
      </c>
      <c r="D916" s="1" t="s">
        <v>853</v>
      </c>
      <c r="E916" s="1"/>
      <c r="F916" s="3"/>
      <c r="G916" s="5">
        <v>6400</v>
      </c>
      <c r="H916" s="2"/>
      <c r="I916" s="2">
        <v>76.98</v>
      </c>
      <c r="J916" s="2"/>
      <c r="K916" s="2">
        <v>80</v>
      </c>
      <c r="L916" s="2"/>
      <c r="M916" s="26">
        <f>Таблица2[[#This Row],[Сумма Долл]]*Таблица2[[#This Row],[Курс ДОЛЛ]]</f>
        <v>492672</v>
      </c>
      <c r="N916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498830.4</v>
      </c>
      <c r="O916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6500.5568075662504</v>
      </c>
      <c r="P91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6063.1359999999995</v>
      </c>
      <c r="Q916" s="30">
        <v>498830.4</v>
      </c>
      <c r="R916" s="12">
        <f>Таблица2[[#This Row],[Сумма в руб]]-Таблица2[[#This Row],[Оплата от клиента]]</f>
        <v>0</v>
      </c>
      <c r="S916" s="32">
        <v>44978</v>
      </c>
      <c r="T916" s="32" t="s">
        <v>164</v>
      </c>
      <c r="U916" s="24" t="s">
        <v>31</v>
      </c>
      <c r="V916" s="2"/>
      <c r="W916" s="40">
        <v>75.789199999999994</v>
      </c>
      <c r="X916" s="9">
        <v>6400</v>
      </c>
      <c r="Y916" s="16"/>
      <c r="Z916" s="10">
        <v>44978</v>
      </c>
      <c r="AA916" s="26">
        <f>Таблица2[[#This Row],[Сумма перевода Долл/Евро]]*Таблица2[[#This Row],[Курс ДОЛЛ перевод]]+Таблица2[[#This Row],[Сумма за перевод руб]]</f>
        <v>491114.01599999995</v>
      </c>
      <c r="AB916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100.55680756625043</v>
      </c>
      <c r="AC916" s="9"/>
      <c r="AD916" s="41"/>
    </row>
    <row r="917" spans="1:30" x14ac:dyDescent="0.25">
      <c r="A917" s="6">
        <v>44978</v>
      </c>
      <c r="B917" s="38" t="s">
        <v>298</v>
      </c>
      <c r="C917" s="38" t="s">
        <v>56</v>
      </c>
      <c r="D917" s="1"/>
      <c r="E917" s="1"/>
      <c r="F917" s="3">
        <v>320500</v>
      </c>
      <c r="G917" s="5"/>
      <c r="H917" s="2">
        <v>11.17</v>
      </c>
      <c r="I917" s="2"/>
      <c r="J917" s="2">
        <v>0.97</v>
      </c>
      <c r="K917" s="2"/>
      <c r="L917" s="2"/>
      <c r="M917" s="26">
        <f>Таблица2[[#This Row],[Сумма ЮА]]*Таблица2[[#This Row],[Курс ЮА]]</f>
        <v>3579985</v>
      </c>
      <c r="N917" s="24">
        <f>Таблица2[[#This Row],[Сумма ЮА]]*Таблица2[[#This Row],[Курс ЮА]]/Таблица2[[#This Row],[% за перевод]]</f>
        <v>3690706.1855670102</v>
      </c>
      <c r="O917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1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110721.18556701019</v>
      </c>
      <c r="Q917" s="30">
        <v>3690706.18</v>
      </c>
      <c r="R917" s="12">
        <f>Таблица2[[#This Row],[Сумма в руб]]-Таблица2[[#This Row],[Оплата от клиента]]</f>
        <v>5.5670100264251232E-3</v>
      </c>
      <c r="S917" s="32">
        <v>44978</v>
      </c>
      <c r="T917" s="32" t="s">
        <v>107</v>
      </c>
      <c r="U917" s="24" t="s">
        <v>31</v>
      </c>
      <c r="V917" s="2">
        <v>11.005800000000001</v>
      </c>
      <c r="W917" s="28"/>
      <c r="X917" s="9"/>
      <c r="Y917" s="16">
        <v>320500</v>
      </c>
      <c r="Z917" s="10">
        <v>44978</v>
      </c>
      <c r="AA917" s="26">
        <f>Таблица2[[#This Row],[Сумма перевода Долл/Евро]]*Таблица2[[#This Row],[Курс ДОЛЛ перевод]]+Таблица2[[#This Row],[Сумма за перевод руб]]</f>
        <v>110721.18556701019</v>
      </c>
      <c r="AB917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17" s="9"/>
      <c r="AD917" s="41"/>
    </row>
    <row r="918" spans="1:30" ht="45" x14ac:dyDescent="0.25">
      <c r="A918" s="6">
        <v>44978</v>
      </c>
      <c r="B918" s="38" t="s">
        <v>32</v>
      </c>
      <c r="C918" s="38" t="s">
        <v>33</v>
      </c>
      <c r="D918" s="1" t="s">
        <v>1168</v>
      </c>
      <c r="E918" s="1"/>
      <c r="F918" s="3">
        <v>6560</v>
      </c>
      <c r="G918" s="5"/>
      <c r="H918" s="2">
        <v>11.17</v>
      </c>
      <c r="I918" s="2">
        <v>76.98</v>
      </c>
      <c r="J918" s="2"/>
      <c r="K918" s="2">
        <v>80</v>
      </c>
      <c r="L918" s="2"/>
      <c r="M918" s="26">
        <f>Таблица2[[#This Row],[Сумма ЮА]]*Таблица2[[#This Row],[Курс ЮА]]</f>
        <v>73275.199999999997</v>
      </c>
      <c r="N918" s="24">
        <f>Таблица2[[#This Row],[Сумма ЮА]]*Таблица2[[#This Row],[Курс ЮА]]+Таблица2[[#This Row],[Долл за перевод]]*Таблица2[[#This Row],[Курс ДОЛЛ]]</f>
        <v>79433.599999999991</v>
      </c>
      <c r="O918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951.87321382177186</v>
      </c>
      <c r="P918" s="12">
        <f>Таблица2[[#This Row],[Долл за перевод]]*Таблица2[[#This Row],[Курс ДОЛЛ]]</f>
        <v>6158.4000000000005</v>
      </c>
      <c r="Q918" s="30">
        <v>79433.600000000006</v>
      </c>
      <c r="R918" s="12">
        <f>Таблица2[[#This Row],[Сумма в руб]]-Таблица2[[#This Row],[Оплата от клиента]]</f>
        <v>0</v>
      </c>
      <c r="S918" s="32">
        <v>44978</v>
      </c>
      <c r="T918" s="32" t="s">
        <v>107</v>
      </c>
      <c r="U918" s="24" t="s">
        <v>31</v>
      </c>
      <c r="V918" s="2">
        <v>10.9702</v>
      </c>
      <c r="W918" s="28"/>
      <c r="X918" s="9"/>
      <c r="Y918" s="3">
        <v>6560</v>
      </c>
      <c r="Z918" s="10">
        <v>44978</v>
      </c>
      <c r="AA918" s="26">
        <f>Таблица2[[#This Row],[Сумма перевода Долл/Евро]]*Таблица2[[#This Row],[Курс ДОЛЛ перевод]]+Таблица2[[#This Row],[Сумма за перевод руб]]</f>
        <v>6158.4000000000005</v>
      </c>
      <c r="AB918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353.88958544671948</v>
      </c>
      <c r="AC918" s="9"/>
      <c r="AD918" s="41"/>
    </row>
    <row r="919" spans="1:30" ht="75" x14ac:dyDescent="0.25">
      <c r="A919" s="6">
        <v>44979</v>
      </c>
      <c r="B919" s="38" t="s">
        <v>139</v>
      </c>
      <c r="C919" s="38" t="s">
        <v>140</v>
      </c>
      <c r="D919" s="1" t="s">
        <v>1174</v>
      </c>
      <c r="E919" s="1"/>
      <c r="F919" s="3">
        <v>16890</v>
      </c>
      <c r="G919" s="5"/>
      <c r="H919" s="2">
        <v>11.13</v>
      </c>
      <c r="I919" s="2"/>
      <c r="J919" s="2">
        <v>0.93</v>
      </c>
      <c r="K919" s="2"/>
      <c r="L919" s="2"/>
      <c r="M919" s="26">
        <f>Таблица2[[#This Row],[Сумма ЮА]]*Таблица2[[#This Row],[Курс ЮА]]</f>
        <v>187985.7</v>
      </c>
      <c r="N919" s="24">
        <f>Таблица2[[#This Row],[Сумма ЮА]]*Таблица2[[#This Row],[Курс ЮА]]/Таблица2[[#This Row],[% за перевод]]</f>
        <v>202135.16129032258</v>
      </c>
      <c r="O91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2460.1111060218418</v>
      </c>
      <c r="P91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14149.461290322564</v>
      </c>
      <c r="Q919" s="30">
        <v>202135.16</v>
      </c>
      <c r="R919" s="12">
        <f>Таблица2[[#This Row],[Сумма в руб]]-Таблица2[[#This Row],[Оплата от клиента]]</f>
        <v>1.2903225724585354E-3</v>
      </c>
      <c r="S919" s="32">
        <v>44979</v>
      </c>
      <c r="T919" s="32" t="s">
        <v>720</v>
      </c>
      <c r="U919" s="24" t="s">
        <v>375</v>
      </c>
      <c r="V919" s="2"/>
      <c r="W919" s="28">
        <v>76.413499999999999</v>
      </c>
      <c r="X919" s="9">
        <v>2562.61</v>
      </c>
      <c r="Y919" s="16"/>
      <c r="Z919" s="2"/>
      <c r="AA919" s="26">
        <f>Таблица2[[#This Row],[Сумма перевода Долл/Евро]]*Таблица2[[#This Row],[Курс ДОЛЛ перевод]]+Таблица2[[#This Row],[Сумма за перевод руб]]</f>
        <v>209967.46052532256</v>
      </c>
      <c r="AB91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-102.49889397815832</v>
      </c>
      <c r="AC919" s="9"/>
      <c r="AD919" s="41"/>
    </row>
    <row r="920" spans="1:30" ht="30" x14ac:dyDescent="0.25">
      <c r="A920" s="6">
        <v>44979</v>
      </c>
      <c r="B920" s="2" t="s">
        <v>158</v>
      </c>
      <c r="C920" s="2" t="s">
        <v>322</v>
      </c>
      <c r="D920" s="1" t="s">
        <v>1103</v>
      </c>
      <c r="E920" s="1"/>
      <c r="F920" s="3"/>
      <c r="G920" s="5">
        <v>3958</v>
      </c>
      <c r="H920" s="2"/>
      <c r="I920" s="2">
        <v>76.78</v>
      </c>
      <c r="J920" s="2">
        <v>0.97</v>
      </c>
      <c r="K920" s="2"/>
      <c r="L920" s="2"/>
      <c r="M920" s="26">
        <f>Таблица2[[#This Row],[Сумма Долл]]*Таблица2[[#This Row],[Курс ДОЛЛ]]</f>
        <v>303895.24</v>
      </c>
      <c r="N920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313294.06185567012</v>
      </c>
      <c r="O920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3972.6114283323918</v>
      </c>
      <c r="P92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9398.8218556701322</v>
      </c>
      <c r="Q920" s="30">
        <v>313294.06</v>
      </c>
      <c r="R920" s="12">
        <f>Таблица2[[#This Row],[Сумма в руб]]-Таблица2[[#This Row],[Оплата от клиента]]</f>
        <v>1.8556701252236962E-3</v>
      </c>
      <c r="S920" s="32">
        <v>44979</v>
      </c>
      <c r="T920" s="32" t="s">
        <v>164</v>
      </c>
      <c r="U920" s="24" t="s">
        <v>31</v>
      </c>
      <c r="V920" s="2"/>
      <c r="W920" s="28">
        <v>76.497600000000006</v>
      </c>
      <c r="X920" s="9">
        <v>3958</v>
      </c>
      <c r="Y920" s="16"/>
      <c r="Z920" s="10">
        <v>44984</v>
      </c>
      <c r="AA920" s="26">
        <f>Таблица2[[#This Row],[Сумма перевода Долл/Евро]]*Таблица2[[#This Row],[Курс ДОЛЛ перевод]]+Таблица2[[#This Row],[Сумма за перевод руб]]</f>
        <v>312176.32265567017</v>
      </c>
      <c r="AB920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14.611428332391824</v>
      </c>
      <c r="AC920" s="9"/>
      <c r="AD920" s="41"/>
    </row>
    <row r="921" spans="1:30" ht="30" x14ac:dyDescent="0.25">
      <c r="A921" s="6">
        <v>44984</v>
      </c>
      <c r="B921" s="38">
        <v>2010</v>
      </c>
      <c r="C921" s="38" t="s">
        <v>1017</v>
      </c>
      <c r="D921" s="40" t="s">
        <v>769</v>
      </c>
      <c r="E921" s="1"/>
      <c r="F921" s="3">
        <v>123480</v>
      </c>
      <c r="G921" s="5"/>
      <c r="H921" s="2">
        <v>11.08</v>
      </c>
      <c r="I921" s="2"/>
      <c r="J921" s="2">
        <v>0.97</v>
      </c>
      <c r="K921" s="2"/>
      <c r="L921" s="2"/>
      <c r="M921" s="26">
        <f>Таблица2[[#This Row],[Сумма ЮА]]*Таблица2[[#This Row],[Курс ЮА]]</f>
        <v>1368158.4</v>
      </c>
      <c r="N921" s="24">
        <f>Таблица2[[#This Row],[Сумма ЮА]]*Таблица2[[#This Row],[Курс ЮА]]/Таблица2[[#This Row],[% за перевод]]</f>
        <v>1410472.5773195876</v>
      </c>
      <c r="O92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2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42314.177319587674</v>
      </c>
      <c r="Q921" s="30">
        <v>1410472.57</v>
      </c>
      <c r="R921" s="12">
        <f>Таблица2[[#This Row],[Сумма в руб]]-Таблица2[[#This Row],[Оплата от клиента]]</f>
        <v>7.3195875156670809E-3</v>
      </c>
      <c r="S921" s="32">
        <v>44984</v>
      </c>
      <c r="T921" s="32" t="s">
        <v>1027</v>
      </c>
      <c r="U921" s="24" t="s">
        <v>31</v>
      </c>
      <c r="V921" s="2">
        <v>10.8887</v>
      </c>
      <c r="W921" s="28"/>
      <c r="X921" s="9"/>
      <c r="Y921" s="16">
        <v>123480</v>
      </c>
      <c r="Z921" s="10">
        <v>44985</v>
      </c>
      <c r="AA921" s="26">
        <f>Таблица2[[#This Row],[Сумма перевода Долл/Евро]]*Таблица2[[#This Row],[Курс ДОЛЛ перевод]]+Таблица2[[#This Row],[Сумма за перевод руб]]</f>
        <v>42314.177319587674</v>
      </c>
      <c r="AB92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21" s="9"/>
      <c r="AD921" s="41"/>
    </row>
    <row r="922" spans="1:30" ht="45" x14ac:dyDescent="0.25">
      <c r="A922" s="6">
        <v>44985</v>
      </c>
      <c r="B922" s="2" t="s">
        <v>202</v>
      </c>
      <c r="C922" s="2" t="s">
        <v>203</v>
      </c>
      <c r="D922" s="1" t="s">
        <v>1175</v>
      </c>
      <c r="E922" s="1"/>
      <c r="F922" s="3"/>
      <c r="G922" s="5">
        <v>256</v>
      </c>
      <c r="H922" s="2"/>
      <c r="I922" s="2">
        <v>76.08</v>
      </c>
      <c r="J922" s="2"/>
      <c r="K922" s="2">
        <v>80</v>
      </c>
      <c r="L922" s="2"/>
      <c r="M922" s="26">
        <f>Таблица2[[#This Row],[Сумма Долл]]*Таблица2[[#This Row],[Курс ДОЛЛ]]</f>
        <v>19476.48</v>
      </c>
      <c r="N922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25562.880000000001</v>
      </c>
      <c r="O922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256.1151306186535</v>
      </c>
      <c r="P92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6083.6639999999998</v>
      </c>
      <c r="Q922" s="30">
        <v>25562.880000000001</v>
      </c>
      <c r="R922" s="12">
        <f>Таблица2[[#This Row],[Сумма в руб]]-Таблица2[[#This Row],[Оплата от клиента]]</f>
        <v>0</v>
      </c>
      <c r="S922" s="32">
        <v>44986</v>
      </c>
      <c r="T922" s="32" t="s">
        <v>164</v>
      </c>
      <c r="U922" s="24" t="s">
        <v>31</v>
      </c>
      <c r="V922" s="2"/>
      <c r="W922" s="28">
        <v>76.0458</v>
      </c>
      <c r="X922" s="9">
        <v>256</v>
      </c>
      <c r="Y922" s="16"/>
      <c r="Z922" s="10">
        <v>44986</v>
      </c>
      <c r="AA922" s="26">
        <f>Таблица2[[#This Row],[Сумма перевода Долл/Евро]]*Таблица2[[#This Row],[Курс ДОЛЛ перевод]]+Таблица2[[#This Row],[Сумма за перевод руб]]</f>
        <v>25551.388800000001</v>
      </c>
      <c r="AB922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0.11513061865349528</v>
      </c>
      <c r="AC922" s="9"/>
      <c r="AD922" s="41"/>
    </row>
    <row r="923" spans="1:30" ht="45" x14ac:dyDescent="0.25">
      <c r="A923" s="6">
        <v>44986</v>
      </c>
      <c r="B923" s="38" t="s">
        <v>1122</v>
      </c>
      <c r="C923" s="38" t="s">
        <v>1123</v>
      </c>
      <c r="D923" s="1" t="s">
        <v>1178</v>
      </c>
      <c r="E923" s="1"/>
      <c r="F923" s="3">
        <v>132758</v>
      </c>
      <c r="G923" s="5"/>
      <c r="H923" s="2">
        <v>11.12</v>
      </c>
      <c r="I923" s="2"/>
      <c r="J923" s="2">
        <v>0.99</v>
      </c>
      <c r="K923" s="2"/>
      <c r="L923" s="2"/>
      <c r="M923" s="26">
        <f>Таблица2[[#This Row],[Сумма ЮА]]*Таблица2[[#This Row],[Курс ЮА]]</f>
        <v>1476268.96</v>
      </c>
      <c r="N923" s="24">
        <f>Таблица2[[#This Row],[Сумма ЮА]]*Таблица2[[#This Row],[Курс ЮА]]/Таблица2[[#This Row],[% за перевод]]</f>
        <v>1491180.7676767677</v>
      </c>
      <c r="O923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2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14911.807676767698</v>
      </c>
      <c r="Q923" s="30">
        <v>1491180.97</v>
      </c>
      <c r="R923" s="12">
        <f>Таблица2[[#This Row],[Сумма в руб]]-Таблица2[[#This Row],[Оплата от клиента]]</f>
        <v>-0.20232323231175542</v>
      </c>
      <c r="S923" s="32">
        <v>44986</v>
      </c>
      <c r="T923" s="32" t="s">
        <v>107</v>
      </c>
      <c r="U923" s="24" t="s">
        <v>31</v>
      </c>
      <c r="V923" s="2">
        <v>11.041399999999999</v>
      </c>
      <c r="W923" s="28"/>
      <c r="X923" s="9"/>
      <c r="Y923" s="16">
        <v>132758</v>
      </c>
      <c r="Z923" s="10">
        <v>44986</v>
      </c>
      <c r="AA923" s="26">
        <f>Таблица2[[#This Row],[Сумма перевода Долл/Евро]]*Таблица2[[#This Row],[Курс ДОЛЛ перевод]]+Таблица2[[#This Row],[Сумма за перевод руб]]</f>
        <v>14911.807676767698</v>
      </c>
      <c r="AB923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23" s="9"/>
      <c r="AD923" s="41"/>
    </row>
    <row r="924" spans="1:30" ht="30" x14ac:dyDescent="0.25">
      <c r="A924" s="6">
        <v>44986</v>
      </c>
      <c r="B924" s="38" t="s">
        <v>1097</v>
      </c>
      <c r="C924" s="38" t="s">
        <v>1134</v>
      </c>
      <c r="D924" s="1" t="s">
        <v>1099</v>
      </c>
      <c r="E924" s="1"/>
      <c r="F924" s="3">
        <v>13279.5</v>
      </c>
      <c r="G924" s="5"/>
      <c r="H924" s="2">
        <v>11.12</v>
      </c>
      <c r="I924" s="2"/>
      <c r="J924" s="2"/>
      <c r="K924" s="2"/>
      <c r="L924" s="2">
        <v>5000</v>
      </c>
      <c r="M924" s="26">
        <f>Таблица2[[#This Row],[Сумма ЮА]]*Таблица2[[#This Row],[Курс ЮА]]</f>
        <v>147668.03999999998</v>
      </c>
      <c r="N924" s="24">
        <f>Таблица2[[#This Row],[Сумма ЮА]]*Таблица2[[#This Row],[Курс ЮА]]+Таблица2[[#This Row],[Руб за перевод]]</f>
        <v>152668.03999999998</v>
      </c>
      <c r="O92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2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5000</v>
      </c>
      <c r="Q924" s="30">
        <v>152668.04</v>
      </c>
      <c r="R924" s="12">
        <f>Таблица2[[#This Row],[Сумма в руб]]-Таблица2[[#This Row],[Оплата от клиента]]</f>
        <v>0</v>
      </c>
      <c r="S924" s="32">
        <v>44986</v>
      </c>
      <c r="T924" s="32" t="s">
        <v>730</v>
      </c>
      <c r="U924" s="24"/>
      <c r="V924" s="2">
        <v>11.0283</v>
      </c>
      <c r="W924" s="28"/>
      <c r="X924" s="9"/>
      <c r="Y924" s="16">
        <v>13279.5</v>
      </c>
      <c r="Z924" s="2"/>
      <c r="AA924" s="26">
        <f>Таблица2[[#This Row],[Сумма перевода Долл/Евро]]*Таблица2[[#This Row],[Курс ДОЛЛ перевод]]+Таблица2[[#This Row],[Сумма за перевод руб]]</f>
        <v>5000</v>
      </c>
      <c r="AB92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24" s="9"/>
      <c r="AD924" s="41"/>
    </row>
    <row r="925" spans="1:30" ht="30" x14ac:dyDescent="0.25">
      <c r="A925" s="6">
        <v>44986</v>
      </c>
      <c r="B925" s="38" t="s">
        <v>1122</v>
      </c>
      <c r="C925" s="38" t="s">
        <v>1123</v>
      </c>
      <c r="D925" s="1" t="s">
        <v>1179</v>
      </c>
      <c r="E925" s="1"/>
      <c r="F925" s="3">
        <v>112047</v>
      </c>
      <c r="G925" s="5"/>
      <c r="H925" s="2">
        <v>11.15</v>
      </c>
      <c r="I925" s="2"/>
      <c r="J925" s="2">
        <v>0.99</v>
      </c>
      <c r="K925" s="2"/>
      <c r="L925" s="2"/>
      <c r="M925" s="26">
        <f>Таблица2[[#This Row],[Сумма ЮА]]*Таблица2[[#This Row],[Курс ЮА]]</f>
        <v>1249324.05</v>
      </c>
      <c r="N925" s="24">
        <f>Таблица2[[#This Row],[Сумма ЮА]]*Таблица2[[#This Row],[Курс ЮА]]/Таблица2[[#This Row],[% за перевод]]</f>
        <v>1261943.4848484849</v>
      </c>
      <c r="O925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25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12619.434848484816</v>
      </c>
      <c r="Q925" s="30">
        <v>1261943.48</v>
      </c>
      <c r="R925" s="12">
        <f>Таблица2[[#This Row],[Сумма в руб]]-Таблица2[[#This Row],[Оплата от клиента]]</f>
        <v>4.8484848812222481E-3</v>
      </c>
      <c r="S925" s="32">
        <v>44987</v>
      </c>
      <c r="T925" s="32" t="s">
        <v>107</v>
      </c>
      <c r="U925" s="24" t="s">
        <v>31</v>
      </c>
      <c r="V925" s="2">
        <v>11.0311</v>
      </c>
      <c r="W925" s="28"/>
      <c r="X925" s="9"/>
      <c r="Y925" s="16">
        <v>112047</v>
      </c>
      <c r="Z925" s="10">
        <v>44987</v>
      </c>
      <c r="AA925" s="26">
        <f>Таблица2[[#This Row],[Сумма перевода Долл/Евро]]*Таблица2[[#This Row],[Курс ДОЛЛ перевод]]+Таблица2[[#This Row],[Сумма за перевод руб]]</f>
        <v>12619.434848484816</v>
      </c>
      <c r="AB925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25" s="9"/>
      <c r="AD925" s="41"/>
    </row>
    <row r="926" spans="1:30" ht="90" x14ac:dyDescent="0.25">
      <c r="A926" s="6">
        <v>44986</v>
      </c>
      <c r="B926" s="38" t="s">
        <v>202</v>
      </c>
      <c r="C926" s="38" t="s">
        <v>203</v>
      </c>
      <c r="D926" s="1" t="s">
        <v>1180</v>
      </c>
      <c r="E926" s="1"/>
      <c r="F926" s="3">
        <v>81360</v>
      </c>
      <c r="G926" s="5"/>
      <c r="H926" s="2">
        <v>11.15</v>
      </c>
      <c r="I926" s="2"/>
      <c r="J926" s="2">
        <v>0.97</v>
      </c>
      <c r="K926" s="2"/>
      <c r="L926" s="2"/>
      <c r="M926" s="26">
        <f>Таблица2[[#This Row],[Сумма ЮА]]*Таблица2[[#This Row],[Курс ЮА]]</f>
        <v>907164</v>
      </c>
      <c r="N926" s="24">
        <f>Таблица2[[#This Row],[Сумма ЮА]]*Таблица2[[#This Row],[Курс ЮА]]/Таблица2[[#This Row],[% за перевод]]</f>
        <v>935220.61855670111</v>
      </c>
      <c r="O92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2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28056.618556701113</v>
      </c>
      <c r="Q926" s="30">
        <v>935220.62</v>
      </c>
      <c r="R926" s="12">
        <f>Таблица2[[#This Row],[Сумма в руб]]-Таблица2[[#This Row],[Оплата от клиента]]</f>
        <v>-1.443298882804811E-3</v>
      </c>
      <c r="S926" s="32">
        <v>44987</v>
      </c>
      <c r="T926" s="32" t="s">
        <v>107</v>
      </c>
      <c r="U926" s="24" t="s">
        <v>31</v>
      </c>
      <c r="V926" s="2">
        <v>11.0283</v>
      </c>
      <c r="W926" s="28"/>
      <c r="X926" s="9"/>
      <c r="Y926" s="16">
        <v>81360</v>
      </c>
      <c r="Z926" s="10">
        <v>44987</v>
      </c>
      <c r="AA926" s="26">
        <f>Таблица2[[#This Row],[Сумма перевода Долл/Евро]]*Таблица2[[#This Row],[Курс ДОЛЛ перевод]]+Таблица2[[#This Row],[Сумма за перевод руб]]</f>
        <v>28056.618556701113</v>
      </c>
      <c r="AB92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26" s="9"/>
      <c r="AD926" s="41"/>
    </row>
    <row r="927" spans="1:30" ht="30" x14ac:dyDescent="0.25">
      <c r="A927" s="6">
        <v>44986</v>
      </c>
      <c r="B927" s="43" t="s">
        <v>783</v>
      </c>
      <c r="C927" s="43" t="s">
        <v>784</v>
      </c>
      <c r="D927" s="1" t="s">
        <v>853</v>
      </c>
      <c r="E927" s="1"/>
      <c r="F927" s="3"/>
      <c r="G927" s="5">
        <v>3350</v>
      </c>
      <c r="H927" s="2"/>
      <c r="I927" s="2">
        <v>76.22</v>
      </c>
      <c r="J927" s="2"/>
      <c r="K927" s="2">
        <v>80</v>
      </c>
      <c r="L927" s="2"/>
      <c r="M927" s="26">
        <f>Таблица2[[#This Row],[Сумма Долл]]*Таблица2[[#This Row],[Курс ДОЛЛ]]</f>
        <v>255337</v>
      </c>
      <c r="N927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261434.6</v>
      </c>
      <c r="O92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3338.0396401766957</v>
      </c>
      <c r="P92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6119.4480000000003</v>
      </c>
      <c r="Q927" s="30">
        <v>261434.6</v>
      </c>
      <c r="R927" s="12">
        <f>Таблица2[[#This Row],[Сумма в руб]]-Таблица2[[#This Row],[Оплата от клиента]]</f>
        <v>0</v>
      </c>
      <c r="S927" s="32">
        <v>44986</v>
      </c>
      <c r="T927" s="32" t="s">
        <v>164</v>
      </c>
      <c r="U927" s="24"/>
      <c r="V927" s="2"/>
      <c r="W927" s="28">
        <v>76.493099999999998</v>
      </c>
      <c r="X927" s="9">
        <v>3350</v>
      </c>
      <c r="Y927" s="16"/>
      <c r="Z927" s="2"/>
      <c r="AA927" s="26">
        <f>Таблица2[[#This Row],[Сумма перевода Долл/Евро]]*Таблица2[[#This Row],[Курс ДОЛЛ перевод]]+Таблица2[[#This Row],[Сумма за перевод руб]]</f>
        <v>262371.33299999998</v>
      </c>
      <c r="AB92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-11.960359823304316</v>
      </c>
      <c r="AC927" s="9"/>
      <c r="AD927" s="41"/>
    </row>
    <row r="928" spans="1:30" ht="60" x14ac:dyDescent="0.25">
      <c r="A928" s="6">
        <v>44987</v>
      </c>
      <c r="B928" s="38" t="s">
        <v>117</v>
      </c>
      <c r="C928" s="38" t="s">
        <v>334</v>
      </c>
      <c r="D928" s="1" t="s">
        <v>1084</v>
      </c>
      <c r="E928" s="1"/>
      <c r="F928" s="3">
        <v>66151.5</v>
      </c>
      <c r="G928" s="5"/>
      <c r="H928" s="2">
        <v>11.19</v>
      </c>
      <c r="I928" s="2"/>
      <c r="J928" s="2">
        <v>0.94</v>
      </c>
      <c r="K928" s="2"/>
      <c r="L928" s="2"/>
      <c r="M928" s="26">
        <f>Таблица2[[#This Row],[Сумма ЮА]]*Таблица2[[#This Row],[Курс ЮА]]</f>
        <v>740235.28499999992</v>
      </c>
      <c r="N928" s="24">
        <f>Таблица2[[#This Row],[Сумма ЮА]]*Таблица2[[#This Row],[Курс ЮА]]/Таблица2[[#This Row],[% за перевод]]</f>
        <v>787484.34574468085</v>
      </c>
      <c r="O92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2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47249.06074468093</v>
      </c>
      <c r="Q928" s="30">
        <v>787484.35</v>
      </c>
      <c r="R928" s="12">
        <f>Таблица2[[#This Row],[Сумма в руб]]-Таблица2[[#This Row],[Оплата от клиента]]</f>
        <v>-4.2553191306069493E-3</v>
      </c>
      <c r="S928" s="32">
        <v>44988</v>
      </c>
      <c r="T928" s="32" t="s">
        <v>720</v>
      </c>
      <c r="U928" s="24"/>
      <c r="V928" s="2"/>
      <c r="W928" s="28"/>
      <c r="X928" s="9"/>
      <c r="Y928" s="16"/>
      <c r="Z928" s="2"/>
      <c r="AA928" s="26">
        <f>Таблица2[[#This Row],[Сумма перевода Долл/Евро]]*Таблица2[[#This Row],[Курс ДОЛЛ перевод]]+Таблица2[[#This Row],[Сумма за перевод руб]]</f>
        <v>47249.06074468093</v>
      </c>
      <c r="AB92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28" s="9"/>
      <c r="AD928" s="41"/>
    </row>
    <row r="929" spans="1:30" ht="30" x14ac:dyDescent="0.25">
      <c r="A929" s="6">
        <v>44987</v>
      </c>
      <c r="B929" s="38" t="s">
        <v>755</v>
      </c>
      <c r="C929" s="38" t="s">
        <v>354</v>
      </c>
      <c r="D929" s="1" t="s">
        <v>1035</v>
      </c>
      <c r="E929" s="1"/>
      <c r="F929" s="3">
        <v>4721.92</v>
      </c>
      <c r="G929" s="5"/>
      <c r="H929" s="2">
        <v>11.19</v>
      </c>
      <c r="I929" s="2">
        <v>76.98</v>
      </c>
      <c r="J929" s="2"/>
      <c r="K929" s="2">
        <v>80</v>
      </c>
      <c r="L929" s="2"/>
      <c r="M929" s="26">
        <f>Таблица2[[#This Row],[Сумма ЮА]]*Таблица2[[#This Row],[Курс ЮА]]</f>
        <v>52838.284800000001</v>
      </c>
      <c r="N929" s="24">
        <f>Таблица2[[#This Row],[Сумма ЮА]]*Таблица2[[#This Row],[Курс ЮА]]+Таблица2[[#This Row],[Долл за перевод]]*Таблица2[[#This Row],[Курс ДОЛЛ]]</f>
        <v>58996.684800000003</v>
      </c>
      <c r="O929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686.3897739672642</v>
      </c>
      <c r="P929" s="12">
        <f>Таблица2[[#This Row],[Долл за перевод]]*Таблица2[[#This Row],[Курс ДОЛЛ]]</f>
        <v>6158.4000000000005</v>
      </c>
      <c r="Q929" s="30">
        <v>58996.68</v>
      </c>
      <c r="R929" s="12">
        <f>Таблица2[[#This Row],[Сумма в руб]]-Таблица2[[#This Row],[Оплата от клиента]]</f>
        <v>4.8000000024330802E-3</v>
      </c>
      <c r="S929" s="32">
        <v>44988</v>
      </c>
      <c r="T929" s="32" t="s">
        <v>107</v>
      </c>
      <c r="U929" s="24" t="s">
        <v>31</v>
      </c>
      <c r="V929" s="2">
        <v>11.0525</v>
      </c>
      <c r="W929" s="28"/>
      <c r="X929" s="9"/>
      <c r="Y929" s="16">
        <v>4721.92</v>
      </c>
      <c r="Z929" s="10">
        <v>44988</v>
      </c>
      <c r="AA929" s="26">
        <f>Таблица2[[#This Row],[Сумма перевода Долл/Евро]]*Таблица2[[#This Row],[Курс ДОЛЛ перевод]]+Таблица2[[#This Row],[Сумма за перевод руб]]</f>
        <v>6158.4000000000005</v>
      </c>
      <c r="AB929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259.16335460512892</v>
      </c>
      <c r="AC929" s="9"/>
      <c r="AD929" s="41"/>
    </row>
    <row r="930" spans="1:30" ht="30" x14ac:dyDescent="0.25">
      <c r="A930" s="6">
        <v>44987</v>
      </c>
      <c r="B930" s="38" t="s">
        <v>755</v>
      </c>
      <c r="C930" s="38" t="s">
        <v>354</v>
      </c>
      <c r="D930" s="1" t="s">
        <v>1035</v>
      </c>
      <c r="E930" s="1"/>
      <c r="F930" s="3">
        <v>263977.3</v>
      </c>
      <c r="G930" s="5"/>
      <c r="H930" s="2">
        <v>11.19</v>
      </c>
      <c r="I930" s="2"/>
      <c r="J930" s="2">
        <v>0.97</v>
      </c>
      <c r="K930" s="2"/>
      <c r="L930" s="2"/>
      <c r="M930" s="26">
        <f>Таблица2[[#This Row],[Сумма ЮА]]*Таблица2[[#This Row],[Курс ЮА]]</f>
        <v>2953905.9869999997</v>
      </c>
      <c r="N930" s="24">
        <f>Таблица2[[#This Row],[Сумма ЮА]]*Таблица2[[#This Row],[Курс ЮА]]/Таблица2[[#This Row],[% за перевод]]</f>
        <v>3045263.9041237109</v>
      </c>
      <c r="O93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3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91357.917123711202</v>
      </c>
      <c r="Q930" s="30">
        <v>3045263.9</v>
      </c>
      <c r="R930" s="12">
        <f>Таблица2[[#This Row],[Сумма в руб]]-Таблица2[[#This Row],[Оплата от клиента]]</f>
        <v>4.1237110272049904E-3</v>
      </c>
      <c r="S930" s="32">
        <v>44988</v>
      </c>
      <c r="T930" s="32" t="s">
        <v>107</v>
      </c>
      <c r="U930" s="24" t="s">
        <v>31</v>
      </c>
      <c r="V930" s="2">
        <v>11.0525</v>
      </c>
      <c r="W930" s="28"/>
      <c r="X930" s="9"/>
      <c r="Y930" s="16">
        <v>263977.3</v>
      </c>
      <c r="Z930" s="10">
        <v>44988</v>
      </c>
      <c r="AA930" s="26">
        <f>Таблица2[[#This Row],[Сумма перевода Долл/Евро]]*Таблица2[[#This Row],[Курс ДОЛЛ перевод]]+Таблица2[[#This Row],[Сумма за перевод руб]]</f>
        <v>91357.917123711202</v>
      </c>
      <c r="AB93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30" s="9"/>
      <c r="AD930" s="41"/>
    </row>
    <row r="931" spans="1:30" ht="30" x14ac:dyDescent="0.25">
      <c r="A931" s="6">
        <v>44987</v>
      </c>
      <c r="B931" s="38" t="s">
        <v>755</v>
      </c>
      <c r="C931" s="38" t="s">
        <v>354</v>
      </c>
      <c r="D931" s="1" t="s">
        <v>1035</v>
      </c>
      <c r="E931" s="1"/>
      <c r="F931" s="3">
        <v>39350</v>
      </c>
      <c r="G931" s="5"/>
      <c r="H931" s="2">
        <v>11.19</v>
      </c>
      <c r="I931" s="2"/>
      <c r="J931" s="2">
        <v>0.97</v>
      </c>
      <c r="K931" s="2"/>
      <c r="L931" s="2"/>
      <c r="M931" s="26">
        <f>Таблица2[[#This Row],[Сумма ЮА]]*Таблица2[[#This Row],[Курс ЮА]]</f>
        <v>440326.5</v>
      </c>
      <c r="N931" s="24">
        <f>Таблица2[[#This Row],[Сумма ЮА]]*Таблица2[[#This Row],[Курс ЮА]]/Таблица2[[#This Row],[% за перевод]]</f>
        <v>453944.84536082478</v>
      </c>
      <c r="O931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3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13618.34536082478</v>
      </c>
      <c r="Q931" s="30">
        <v>453944.85</v>
      </c>
      <c r="R931" s="12">
        <f>Таблица2[[#This Row],[Сумма в руб]]-Таблица2[[#This Row],[Оплата от клиента]]</f>
        <v>-4.6391751966439188E-3</v>
      </c>
      <c r="S931" s="32">
        <v>44988</v>
      </c>
      <c r="T931" s="32" t="s">
        <v>107</v>
      </c>
      <c r="U931" s="24" t="s">
        <v>31</v>
      </c>
      <c r="V931" s="2">
        <v>11.0525</v>
      </c>
      <c r="W931" s="28"/>
      <c r="X931" s="9"/>
      <c r="Y931" s="16">
        <v>39350</v>
      </c>
      <c r="Z931" s="10">
        <v>44988</v>
      </c>
      <c r="AA931" s="26">
        <f>Таблица2[[#This Row],[Сумма перевода Долл/Евро]]*Таблица2[[#This Row],[Курс ДОЛЛ перевод]]+Таблица2[[#This Row],[Сумма за перевод руб]]</f>
        <v>13618.34536082478</v>
      </c>
      <c r="AB931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31" s="9"/>
      <c r="AD931" s="41"/>
    </row>
    <row r="932" spans="1:30" ht="30" x14ac:dyDescent="0.25">
      <c r="A932" s="6">
        <v>44987</v>
      </c>
      <c r="B932" s="38" t="s">
        <v>755</v>
      </c>
      <c r="C932" s="38" t="s">
        <v>354</v>
      </c>
      <c r="D932" s="1" t="s">
        <v>1035</v>
      </c>
      <c r="E932" s="1"/>
      <c r="F932" s="3">
        <v>5856.26</v>
      </c>
      <c r="G932" s="5"/>
      <c r="H932" s="2">
        <v>11.19</v>
      </c>
      <c r="I932" s="2"/>
      <c r="J932" s="2">
        <v>0.97</v>
      </c>
      <c r="K932" s="2"/>
      <c r="L932" s="2"/>
      <c r="M932" s="26">
        <f>Таблица2[[#This Row],[Сумма ЮА]]*Таблица2[[#This Row],[Курс ЮА]]</f>
        <v>65531.549399999996</v>
      </c>
      <c r="N932" s="24">
        <f>Таблица2[[#This Row],[Сумма ЮА]]*Таблица2[[#This Row],[Курс ЮА]]/Таблица2[[#This Row],[% за перевод]]</f>
        <v>67558.298350515455</v>
      </c>
      <c r="O932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32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2026.748950515459</v>
      </c>
      <c r="Q932" s="30">
        <v>67558.3</v>
      </c>
      <c r="R932" s="12">
        <f>Таблица2[[#This Row],[Сумма в руб]]-Таблица2[[#This Row],[Оплата от клиента]]</f>
        <v>-1.6494845476699993E-3</v>
      </c>
      <c r="S932" s="32">
        <v>44988</v>
      </c>
      <c r="T932" s="32" t="s">
        <v>107</v>
      </c>
      <c r="U932" s="24" t="s">
        <v>31</v>
      </c>
      <c r="V932" s="2">
        <v>11.0525</v>
      </c>
      <c r="W932" s="28"/>
      <c r="X932" s="9"/>
      <c r="Y932" s="3">
        <v>5856.26</v>
      </c>
      <c r="Z932" s="10">
        <v>44988</v>
      </c>
      <c r="AA932" s="26">
        <f>Таблица2[[#This Row],[Сумма перевода Долл/Евро]]*Таблица2[[#This Row],[Курс ДОЛЛ перевод]]+Таблица2[[#This Row],[Сумма за перевод руб]]</f>
        <v>2026.748950515459</v>
      </c>
      <c r="AB932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32" s="9"/>
      <c r="AD932" s="41"/>
    </row>
    <row r="933" spans="1:30" ht="45" x14ac:dyDescent="0.25">
      <c r="A933" s="6">
        <v>44987</v>
      </c>
      <c r="B933" s="2" t="s">
        <v>994</v>
      </c>
      <c r="C933" s="2" t="s">
        <v>995</v>
      </c>
      <c r="D933" s="1" t="s">
        <v>1181</v>
      </c>
      <c r="E933" s="1"/>
      <c r="F933" s="3"/>
      <c r="G933" s="5">
        <v>2160</v>
      </c>
      <c r="H933" s="2"/>
      <c r="I933" s="2">
        <v>76.64</v>
      </c>
      <c r="J933" s="2"/>
      <c r="K933" s="2"/>
      <c r="L933" s="2">
        <v>5500</v>
      </c>
      <c r="M933" s="26">
        <f>Таблица2[[#This Row],[Сумма Долл]]*Таблица2[[#This Row],[Курс ДОЛЛ]]</f>
        <v>165542.39999999999</v>
      </c>
      <c r="N933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171042.4</v>
      </c>
      <c r="O933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2165.5665005298065</v>
      </c>
      <c r="P933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5500</v>
      </c>
      <c r="Q933" s="30">
        <v>171042.4</v>
      </c>
      <c r="R933" s="12">
        <f>Таблица2[[#This Row],[Сумма в руб]]-Таблица2[[#This Row],[Оплата от клиента]]</f>
        <v>0</v>
      </c>
      <c r="S933" s="32">
        <v>44987</v>
      </c>
      <c r="T933" s="32" t="s">
        <v>164</v>
      </c>
      <c r="U933" s="24"/>
      <c r="V933" s="2"/>
      <c r="W933" s="28">
        <v>76.442999999999998</v>
      </c>
      <c r="X933" s="9">
        <v>2160</v>
      </c>
      <c r="Y933" s="16"/>
      <c r="Z933" s="2"/>
      <c r="AA933" s="26">
        <f>Таблица2[[#This Row],[Сумма перевода Долл/Евро]]*Таблица2[[#This Row],[Курс ДОЛЛ перевод]]+Таблица2[[#This Row],[Сумма за перевод руб]]</f>
        <v>170616.88</v>
      </c>
      <c r="AB933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5.5665005298064898</v>
      </c>
      <c r="AC933" s="9"/>
      <c r="AD933" s="41"/>
    </row>
    <row r="934" spans="1:30" ht="60" x14ac:dyDescent="0.25">
      <c r="A934" s="6">
        <v>44987</v>
      </c>
      <c r="B934" s="38" t="s">
        <v>919</v>
      </c>
      <c r="C934" s="38" t="s">
        <v>680</v>
      </c>
      <c r="D934" s="1" t="s">
        <v>980</v>
      </c>
      <c r="E934" s="1"/>
      <c r="F934" s="3">
        <v>57730</v>
      </c>
      <c r="G934" s="5"/>
      <c r="H934" s="2">
        <v>11.19</v>
      </c>
      <c r="I934" s="2"/>
      <c r="J934" s="2">
        <v>0.97</v>
      </c>
      <c r="K934" s="2"/>
      <c r="L934" s="2"/>
      <c r="M934" s="26">
        <f>Таблица2[[#This Row],[Сумма ЮА]]*Таблица2[[#This Row],[Курс ЮА]]</f>
        <v>645998.69999999995</v>
      </c>
      <c r="N934" s="24">
        <f>Таблица2[[#This Row],[Сумма ЮА]]*Таблица2[[#This Row],[Курс ЮА]]/Таблица2[[#This Row],[% за перевод]]</f>
        <v>665978.04123711342</v>
      </c>
      <c r="O934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34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19979.341237113462</v>
      </c>
      <c r="Q934" s="30">
        <v>665978.04</v>
      </c>
      <c r="R934" s="12">
        <f>Таблица2[[#This Row],[Сумма в руб]]-Таблица2[[#This Row],[Оплата от клиента]]</f>
        <v>1.2371133780106902E-3</v>
      </c>
      <c r="S934" s="32">
        <v>44988</v>
      </c>
      <c r="T934" s="32" t="s">
        <v>107</v>
      </c>
      <c r="U934" s="24" t="s">
        <v>31</v>
      </c>
      <c r="V934" s="2">
        <v>11.042899999999999</v>
      </c>
      <c r="W934" s="28"/>
      <c r="X934" s="9"/>
      <c r="Y934" s="16">
        <v>57730</v>
      </c>
      <c r="Z934" s="10">
        <v>44988</v>
      </c>
      <c r="AA934" s="26">
        <f>Таблица2[[#This Row],[Сумма перевода Долл/Евро]]*Таблица2[[#This Row],[Курс ДОЛЛ перевод]]+Таблица2[[#This Row],[Сумма за перевод руб]]</f>
        <v>19979.341237113462</v>
      </c>
      <c r="AB934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34" s="9"/>
      <c r="AD934" s="41"/>
    </row>
    <row r="935" spans="1:30" ht="45" x14ac:dyDescent="0.25">
      <c r="A935" s="6">
        <v>44987</v>
      </c>
      <c r="B935" s="38" t="s">
        <v>755</v>
      </c>
      <c r="C935" s="38" t="s">
        <v>354</v>
      </c>
      <c r="D935" s="1" t="s">
        <v>1182</v>
      </c>
      <c r="E935" s="1"/>
      <c r="F935" s="3">
        <v>3668.16</v>
      </c>
      <c r="G935" s="5"/>
      <c r="H935" s="2">
        <v>11.19</v>
      </c>
      <c r="I935" s="2">
        <v>76.98</v>
      </c>
      <c r="J935" s="2"/>
      <c r="K935" s="2">
        <v>80</v>
      </c>
      <c r="L935" s="2"/>
      <c r="M935" s="26">
        <f>Таблица2[[#This Row],[Сумма ЮА]]*Таблица2[[#This Row],[Курс ЮА]]</f>
        <v>41046.710399999996</v>
      </c>
      <c r="N935" s="24">
        <f>Таблица2[[#This Row],[Сумма ЮА]]*Таблица2[[#This Row],[Курс ЮА]]+Таблица2[[#This Row],[Долл за перевод]]*Таблица2[[#This Row],[Курс ДОЛЛ]]</f>
        <v>47205.110399999998</v>
      </c>
      <c r="O935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533.21265783320337</v>
      </c>
      <c r="P935" s="12">
        <f>Таблица2[[#This Row],[Долл за перевод]]*Таблица2[[#This Row],[Курс ДОЛЛ]]</f>
        <v>6158.4000000000005</v>
      </c>
      <c r="Q935" s="30">
        <v>47205.11</v>
      </c>
      <c r="R935" s="12">
        <f>Таблица2[[#This Row],[Сумма в руб]]-Таблица2[[#This Row],[Оплата от клиента]]</f>
        <v>3.9999999717110768E-4</v>
      </c>
      <c r="S935" s="32">
        <v>44988</v>
      </c>
      <c r="T935" s="32" t="s">
        <v>107</v>
      </c>
      <c r="U935" s="24" t="s">
        <v>31</v>
      </c>
      <c r="V935" s="2">
        <v>11.0525</v>
      </c>
      <c r="W935" s="28"/>
      <c r="X935" s="9"/>
      <c r="Y935" s="3">
        <v>3668.16</v>
      </c>
      <c r="Z935" s="10">
        <v>44988</v>
      </c>
      <c r="AA935" s="26">
        <f>Таблица2[[#This Row],[Сумма перевода Долл/Евро]]*Таблица2[[#This Row],[Курс ДОЛЛ перевод]]+Таблица2[[#This Row],[Сумма за перевод руб]]</f>
        <v>6158.4000000000005</v>
      </c>
      <c r="AB935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201.32756396303824</v>
      </c>
      <c r="AC935" s="9"/>
      <c r="AD935" s="41"/>
    </row>
    <row r="936" spans="1:30" ht="30" x14ac:dyDescent="0.25">
      <c r="A936" s="6">
        <v>44987</v>
      </c>
      <c r="B936" s="38" t="s">
        <v>958</v>
      </c>
      <c r="C936" s="38" t="s">
        <v>959</v>
      </c>
      <c r="D936" s="1" t="s">
        <v>1183</v>
      </c>
      <c r="E936" s="1"/>
      <c r="F936" s="3">
        <v>60000</v>
      </c>
      <c r="G936" s="5"/>
      <c r="H936" s="2">
        <v>11.19</v>
      </c>
      <c r="I936" s="2"/>
      <c r="J936" s="2">
        <v>0.97</v>
      </c>
      <c r="K936" s="2"/>
      <c r="L936" s="2"/>
      <c r="M936" s="26">
        <f>Таблица2[[#This Row],[Сумма ЮА]]*Таблица2[[#This Row],[Курс ЮА]]</f>
        <v>671400</v>
      </c>
      <c r="N936" s="24">
        <f>Таблица2[[#This Row],[Сумма ЮА]]*Таблица2[[#This Row],[Курс ЮА]]/Таблица2[[#This Row],[% за перевод]]</f>
        <v>692164.94845360832</v>
      </c>
      <c r="O936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36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20764.948453608318</v>
      </c>
      <c r="Q936" s="30"/>
      <c r="R936" s="12">
        <f>Таблица2[[#This Row],[Сумма в руб]]-Таблица2[[#This Row],[Оплата от клиента]]</f>
        <v>692164.94845360832</v>
      </c>
      <c r="S936" s="32"/>
      <c r="T936" s="32" t="s">
        <v>107</v>
      </c>
      <c r="U936" s="24"/>
      <c r="V936" s="2"/>
      <c r="W936" s="28"/>
      <c r="X936" s="9"/>
      <c r="Y936" s="16"/>
      <c r="Z936" s="2"/>
      <c r="AA936" s="26">
        <f>Таблица2[[#This Row],[Сумма перевода Долл/Евро]]*Таблица2[[#This Row],[Курс ДОЛЛ перевод]]+Таблица2[[#This Row],[Сумма за перевод руб]]</f>
        <v>20764.948453608318</v>
      </c>
      <c r="AB936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36" s="9"/>
      <c r="AD936" s="41"/>
    </row>
    <row r="937" spans="1:30" ht="30" x14ac:dyDescent="0.25">
      <c r="A937" s="6">
        <v>44987</v>
      </c>
      <c r="B937" s="38" t="s">
        <v>72</v>
      </c>
      <c r="C937" s="38" t="s">
        <v>73</v>
      </c>
      <c r="D937" s="1" t="s">
        <v>826</v>
      </c>
      <c r="E937" s="1"/>
      <c r="F937" s="3">
        <v>400000</v>
      </c>
      <c r="G937" s="5"/>
      <c r="H937" s="2">
        <v>11.19</v>
      </c>
      <c r="I937" s="2"/>
      <c r="J937" s="2">
        <v>0.9</v>
      </c>
      <c r="K937" s="2"/>
      <c r="L937" s="2"/>
      <c r="M937" s="26">
        <f>Таблица2[[#This Row],[Сумма ЮА]]*Таблица2[[#This Row],[Курс ЮА]]</f>
        <v>4476000</v>
      </c>
      <c r="N937" s="24">
        <f>Таблица2[[#This Row],[Сумма ЮА]]*Таблица2[[#This Row],[Курс ЮА]]/Таблица2[[#This Row],[% за перевод]]</f>
        <v>4973333.333333333</v>
      </c>
      <c r="O937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58534.059211464097</v>
      </c>
      <c r="P937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497333.33333333302</v>
      </c>
      <c r="Q937" s="30">
        <v>4973333.33</v>
      </c>
      <c r="R937" s="12">
        <f>Таблица2[[#This Row],[Сумма в руб]]-Таблица2[[#This Row],[Оплата от клиента]]</f>
        <v>3.3333329483866692E-3</v>
      </c>
      <c r="S937" s="32">
        <v>44988</v>
      </c>
      <c r="T937" s="32" t="s">
        <v>720</v>
      </c>
      <c r="U937" s="24" t="s">
        <v>375</v>
      </c>
      <c r="V937" s="2"/>
      <c r="W937" s="28">
        <v>76.468299999999999</v>
      </c>
      <c r="X937" s="9">
        <v>60972.97</v>
      </c>
      <c r="Y937" s="16"/>
      <c r="Z937" s="2"/>
      <c r="AA937" s="26">
        <f>Таблица2[[#This Row],[Сумма перевода Долл/Евро]]*Таблица2[[#This Row],[Курс ДОЛЛ перевод]]+Таблица2[[#This Row],[Сумма за перевод руб]]</f>
        <v>5159832.6951843332</v>
      </c>
      <c r="AB937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-2438.9107885359044</v>
      </c>
      <c r="AC937" s="9"/>
      <c r="AD937" s="41"/>
    </row>
    <row r="938" spans="1:30" ht="30" x14ac:dyDescent="0.25">
      <c r="A938" s="6">
        <v>44988</v>
      </c>
      <c r="B938" s="38" t="s">
        <v>32</v>
      </c>
      <c r="C938" s="38" t="s">
        <v>33</v>
      </c>
      <c r="D938" s="1" t="s">
        <v>1184</v>
      </c>
      <c r="E938" s="1"/>
      <c r="F938" s="3">
        <v>36000</v>
      </c>
      <c r="G938" s="5"/>
      <c r="H938" s="2">
        <v>11.15</v>
      </c>
      <c r="I938" s="2"/>
      <c r="J938" s="2">
        <v>0.97</v>
      </c>
      <c r="K938" s="2"/>
      <c r="L938" s="2"/>
      <c r="M938" s="26">
        <f>Таблица2[[#This Row],[Сумма ЮА]]*Таблица2[[#This Row],[Курс ЮА]]</f>
        <v>401400</v>
      </c>
      <c r="N938" s="24">
        <f>Таблица2[[#This Row],[Сумма ЮА]]*Таблица2[[#This Row],[Курс ЮА]]/Таблица2[[#This Row],[% за перевод]]</f>
        <v>413814.43298969074</v>
      </c>
      <c r="O938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38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12414.432989690744</v>
      </c>
      <c r="Q938" s="30"/>
      <c r="R938" s="12">
        <f>Таблица2[[#This Row],[Сумма в руб]]-Таблица2[[#This Row],[Оплата от клиента]]</f>
        <v>413814.43298969074</v>
      </c>
      <c r="S938" s="32"/>
      <c r="T938" s="32" t="s">
        <v>107</v>
      </c>
      <c r="U938" s="24"/>
      <c r="V938" s="2"/>
      <c r="W938" s="28"/>
      <c r="X938" s="9"/>
      <c r="Y938" s="16"/>
      <c r="Z938" s="2"/>
      <c r="AA938" s="26">
        <f>Таблица2[[#This Row],[Сумма перевода Долл/Евро]]*Таблица2[[#This Row],[Курс ДОЛЛ перевод]]+Таблица2[[#This Row],[Сумма за перевод руб]]</f>
        <v>12414.432989690744</v>
      </c>
      <c r="AB938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38" s="9"/>
      <c r="AD938" s="41"/>
    </row>
    <row r="939" spans="1:30" ht="30" x14ac:dyDescent="0.25">
      <c r="A939" s="6">
        <v>44988</v>
      </c>
      <c r="B939" s="38" t="s">
        <v>1122</v>
      </c>
      <c r="C939" s="38" t="s">
        <v>1123</v>
      </c>
      <c r="D939" s="1" t="s">
        <v>1185</v>
      </c>
      <c r="E939" s="1"/>
      <c r="F939" s="3">
        <v>191499.4</v>
      </c>
      <c r="G939" s="5"/>
      <c r="H939" s="2">
        <v>11.15</v>
      </c>
      <c r="I939" s="2"/>
      <c r="J939" s="2">
        <v>0.99</v>
      </c>
      <c r="K939" s="2"/>
      <c r="L939" s="2"/>
      <c r="M939" s="26">
        <f>Таблица2[[#This Row],[Сумма ЮА]]*Таблица2[[#This Row],[Курс ЮА]]</f>
        <v>2135218.31</v>
      </c>
      <c r="N939" s="24">
        <f>Таблица2[[#This Row],[Сумма ЮА]]*Таблица2[[#This Row],[Курс ЮА]]/Таблица2[[#This Row],[% за перевод]]</f>
        <v>2156786.171717172</v>
      </c>
      <c r="O939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39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21567.861717171967</v>
      </c>
      <c r="Q939" s="30">
        <v>2156786.17</v>
      </c>
      <c r="R939" s="12">
        <f>Таблица2[[#This Row],[Сумма в руб]]-Таблица2[[#This Row],[Оплата от клиента]]</f>
        <v>1.717172097414732E-3</v>
      </c>
      <c r="S939" s="32">
        <v>44988</v>
      </c>
      <c r="T939" s="32" t="s">
        <v>107</v>
      </c>
      <c r="U939" s="24" t="s">
        <v>31</v>
      </c>
      <c r="V939" s="2">
        <v>11.042899999999999</v>
      </c>
      <c r="W939" s="28"/>
      <c r="X939" s="9"/>
      <c r="Y939" s="16">
        <v>191499.4</v>
      </c>
      <c r="Z939" s="10">
        <v>44988</v>
      </c>
      <c r="AA939" s="26">
        <f>Таблица2[[#This Row],[Сумма перевода Долл/Евро]]*Таблица2[[#This Row],[Курс ДОЛЛ перевод]]+Таблица2[[#This Row],[Сумма за перевод руб]]</f>
        <v>21567.861717171967</v>
      </c>
      <c r="AB939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39" s="9"/>
      <c r="AD939" s="41"/>
    </row>
    <row r="940" spans="1:30" ht="30" x14ac:dyDescent="0.25">
      <c r="A940" s="6">
        <v>44988</v>
      </c>
      <c r="B940" s="38" t="s">
        <v>1187</v>
      </c>
      <c r="C940" s="38" t="s">
        <v>1186</v>
      </c>
      <c r="D940" s="1" t="s">
        <v>853</v>
      </c>
      <c r="E940" s="1"/>
      <c r="F940" s="3">
        <v>146729.4</v>
      </c>
      <c r="G940" s="5"/>
      <c r="H940" s="2">
        <v>11.15</v>
      </c>
      <c r="I940" s="2"/>
      <c r="J940" s="2">
        <v>0.97</v>
      </c>
      <c r="K940" s="2"/>
      <c r="L940" s="2"/>
      <c r="M940" s="26">
        <f>Таблица2[[#This Row],[Сумма ЮА]]*Таблица2[[#This Row],[Курс ЮА]]</f>
        <v>1636032.81</v>
      </c>
      <c r="N940" s="24">
        <f>Таблица2[[#This Row],[Сумма ЮА]]*Таблица2[[#This Row],[Курс ЮА]]/Таблица2[[#This Row],[% за перевод]]</f>
        <v>1686631.762886598</v>
      </c>
      <c r="O940" s="27" t="e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#DIV/0!</v>
      </c>
      <c r="P940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50598.952886597952</v>
      </c>
      <c r="Q940" s="30">
        <v>1686631.76</v>
      </c>
      <c r="R940" s="12">
        <f>Таблица2[[#This Row],[Сумма в руб]]-Таблица2[[#This Row],[Оплата от клиента]]</f>
        <v>2.8865979984402657E-3</v>
      </c>
      <c r="S940" s="32">
        <v>44988</v>
      </c>
      <c r="T940" s="32" t="s">
        <v>107</v>
      </c>
      <c r="U940" s="24" t="s">
        <v>31</v>
      </c>
      <c r="V940" s="2">
        <v>11.0525</v>
      </c>
      <c r="W940" s="28"/>
      <c r="X940" s="9"/>
      <c r="Y940" s="16">
        <v>146729.4</v>
      </c>
      <c r="Z940" s="10">
        <v>44988</v>
      </c>
      <c r="AA940" s="26">
        <f>Таблица2[[#This Row],[Сумма перевода Долл/Евро]]*Таблица2[[#This Row],[Курс ДОЛЛ перевод]]+Таблица2[[#This Row],[Сумма за перевод руб]]</f>
        <v>50598.952886597952</v>
      </c>
      <c r="AB940" s="9" t="e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#DIV/0!</v>
      </c>
      <c r="AC940" s="9"/>
      <c r="AD940" s="41"/>
    </row>
    <row r="941" spans="1:30" ht="30" x14ac:dyDescent="0.25">
      <c r="A941" s="6">
        <v>44991</v>
      </c>
      <c r="B941" s="38" t="s">
        <v>783</v>
      </c>
      <c r="C941" s="38" t="s">
        <v>784</v>
      </c>
      <c r="D941" s="1" t="s">
        <v>853</v>
      </c>
      <c r="E941" s="1"/>
      <c r="F941" s="3"/>
      <c r="G941" s="5">
        <v>21675</v>
      </c>
      <c r="H941" s="2"/>
      <c r="I941" s="2">
        <v>81.290000000000006</v>
      </c>
      <c r="J941" s="2">
        <v>0.99</v>
      </c>
      <c r="K941" s="74"/>
      <c r="L941" s="74"/>
      <c r="M941" s="26">
        <f>Таблица2[[#This Row],[Сумма Долл]]*Таблица2[[#This Row],[Курс ДОЛЛ]]</f>
        <v>1761960.7500000002</v>
      </c>
      <c r="N941" s="24">
        <f>IF((Таблица2[[#This Row],[% за перевод]]+Таблица2[[#This Row],[Долл за перевод]]+Таблица2[[#This Row],[Руб за перевод]])=0,Таблица2[[#This Row],[Сумма Долл]]*Таблица2[[#This Row],[Курс ДОЛЛ]],
IF((Таблица2[[#This Row],[Долл за перевод]]+Таблица2[[#This Row],[Руб за перевод]]) = 0,Таблица2[[#This Row],[Сумма Долл]]*Таблица2[[#This Row],[Курс ДОЛЛ]]/Таблица2[[#This Row],[% за перевод]],
IF((Таблица2[[#This Row],[% за перевод]]+Таблица2[[#This Row],[Руб за перевод]])= 0,(Таблица2[[#This Row],[Сумма Долл]]+Таблица2[[#This Row],[Долл за перевод]])*Таблица2[[#This Row],[Курс ДОЛЛ]],
IF((Таблица2[[#This Row],[Долл за перевод]]+Таблица2[[#This Row],[% за перевод]])=0,Таблица2[[#This Row],[Сумма Долл]]*Таблица2[[#This Row],[Курс ДОЛЛ]]+Таблица2[[#This Row],[Руб за перевод]]))))</f>
        <v>1779758.3333333335</v>
      </c>
      <c r="O941" s="27">
        <f>IF(Таблица2[[#This Row],[Курс ДОЛЛ перевод]]="",Таблица2[[#This Row],[Сумма без %]]/Таблица2[[#This Row],[Курс ДОЛЛ]],Таблица2[[#This Row],[Сумма без %]]/Таблица2[[#This Row],[Курс ДОЛЛ перевод]])</f>
        <v>21675</v>
      </c>
      <c r="P941" s="12">
        <f>IF((Таблица2[[#This Row],[% за перевод]]+Таблица2[[#This Row],[Долл за перевод]]+Таблица2[[#This Row],[Руб за перевод]])=0,0,
IF((Таблица2[[#This Row],[Долл за перевод]]+Таблица2[[#This Row],[Руб за перевод]]) = 0,Таблица2[[#This Row],[Сумма в руб]]-Таблица2[[#This Row],[Сумма без %]],
IF(Таблица2[[#This Row],[% за перевод]]+Таблица2[[#This Row],[Руб за перевод]]+Таблица2[[#This Row],[Курс ДОЛЛ перевод]]=0,Таблица2[[#This Row],[Долл за перевод]]*Таблица2[[#This Row],[Курс ДОЛЛ]],
IF((Таблица2[[#This Row],[% за перевод]]+Таблица2[[#This Row],[Руб за перевод]])= 0,Таблица2[[#This Row],[Долл за перевод]]*Таблица2[[#This Row],[Курс ДОЛЛ перевод]],
IF((Таблица2[[#This Row],[Долл за перевод]]+Таблица2[[#This Row],[% за перевод]])=0,Таблица2[[#This Row],[Руб за перевод]])))))</f>
        <v>17797.583333333256</v>
      </c>
      <c r="Q941" s="30"/>
      <c r="R941" s="12">
        <f>Таблица2[[#This Row],[Сумма в руб]]-Таблица2[[#This Row],[Оплата от клиента]]</f>
        <v>1779758.3333333335</v>
      </c>
      <c r="S941" s="32"/>
      <c r="T941" s="32" t="s">
        <v>277</v>
      </c>
      <c r="U941" s="24"/>
      <c r="V941" s="74"/>
      <c r="W941" s="75"/>
      <c r="X941" s="9"/>
      <c r="Y941" s="16"/>
      <c r="Z941" s="2"/>
      <c r="AA941" s="26">
        <f>Таблица2[[#This Row],[Сумма перевода Долл/Евро]]*Таблица2[[#This Row],[Курс ДОЛЛ перевод]]+Таблица2[[#This Row],[Сумма за перевод руб]]</f>
        <v>17797.583333333256</v>
      </c>
      <c r="AB941" s="9">
        <f>IF(Таблица2[[#This Row],[Курс ЮА перевод]]+Таблица2[[#This Row],[Сумма перевода ЮА]]=0,Таблица2[[#This Row],[Долл без %]]-Таблица2[[#This Row],[Сумма перевода Долл/Евро]],Таблица2[[#This Row],[Долл без %]]-Таблица2[[#This Row],[Сумма перевода ЮА]]/Таблица2[[#This Row],[Курс ЮА перевод]])</f>
        <v>21675</v>
      </c>
      <c r="AC941" s="9"/>
      <c r="AD941" s="41"/>
    </row>
  </sheetData>
  <mergeCells count="2">
    <mergeCell ref="A1:N1"/>
    <mergeCell ref="O1:AC1"/>
  </mergeCells>
  <conditionalFormatting sqref="U3:U240 U242:U1048576">
    <cfRule type="containsText" dxfId="334" priority="133" operator="containsText" text="Оплачено">
      <formula>NOT(ISERROR(SEARCH("Оплачено",U3)))</formula>
    </cfRule>
  </conditionalFormatting>
  <conditionalFormatting sqref="J3:L227 K228:L228 J229:L262 K263:L265 J266:L267 K268:L269 K275:L275 J270:L274 J276:L283 J285:L285 K284:L284 K286:L286 J287:L287 J289:L289 K290:L290 J328:L343 L327 J327 K344:L345 X349 J346:L348 J349:K349 J291:L326 K436:L437 J350:L435 J476:L476 K471:L473 K477:L480 J481:L481 J483:L483 K482:L482 J486:L486 K484:L485 K487:L487 J488:L488 K489:L489 J490:L493 K494:L494 F1:F473 J495:L510 J513:L515 K511:L512 F475:F515 K475:L475 J517:L533 K534:L534 J438:L469 J535:L554 K555:L555 J556:L651 K652:L652 J653:L661 K662:L663 Y3:Y554 J677:K677 J678:L708 F710:F742 J710:L742 F744:F813 K743:L743 J744:L803 J810:L812 J815:L816 K813:L813 J819:L829 F517:F708 J664:L676 K830:L830 J832:L846 L847:L850 J851:L863 K864:L864 F815:F1048576 J865:L910 J916:L925 K911:L915 J928:L930 K926:L927 J933:L933 K934:L936 J937:L1048576 Y556:Y1048576">
    <cfRule type="notContainsBlanks" dxfId="333" priority="132">
      <formula>LEN(TRIM(F1))&gt;0</formula>
    </cfRule>
  </conditionalFormatting>
  <conditionalFormatting sqref="Y85:Y89">
    <cfRule type="notContainsBlanks" dxfId="332" priority="131">
      <formula>LEN(TRIM(Y85))&gt;0</formula>
    </cfRule>
  </conditionalFormatting>
  <conditionalFormatting sqref="R85:R89 R3:R69 R71:R82">
    <cfRule type="cellIs" priority="130" operator="between">
      <formula>$N$82</formula>
      <formula>$Q$82</formula>
    </cfRule>
  </conditionalFormatting>
  <conditionalFormatting sqref="Q349 R450 R3:R447 R452:R813 R815:R1048576">
    <cfRule type="cellIs" dxfId="331" priority="129" operator="greaterThan">
      <formula>1</formula>
    </cfRule>
  </conditionalFormatting>
  <conditionalFormatting sqref="AB83:AC83 AA349 AB3:AB1048576">
    <cfRule type="cellIs" dxfId="330" priority="127" operator="lessThan">
      <formula>0</formula>
    </cfRule>
    <cfRule type="cellIs" dxfId="329" priority="128" operator="greaterThan">
      <formula>0</formula>
    </cfRule>
  </conditionalFormatting>
  <conditionalFormatting sqref="J83:L83">
    <cfRule type="notContainsBlanks" dxfId="328" priority="125">
      <formula>LEN(TRIM(J83))&gt;0</formula>
    </cfRule>
  </conditionalFormatting>
  <conditionalFormatting sqref="Y83">
    <cfRule type="notContainsBlanks" dxfId="327" priority="124">
      <formula>LEN(TRIM(Y83))&gt;0</formula>
    </cfRule>
  </conditionalFormatting>
  <conditionalFormatting sqref="R83">
    <cfRule type="cellIs" priority="123" operator="between">
      <formula>$N$82</formula>
      <formula>$Q$82</formula>
    </cfRule>
  </conditionalFormatting>
  <conditionalFormatting sqref="R83">
    <cfRule type="cellIs" dxfId="326" priority="122" operator="greaterThan">
      <formula>1</formula>
    </cfRule>
  </conditionalFormatting>
  <conditionalFormatting sqref="AB84:AC84">
    <cfRule type="cellIs" dxfId="325" priority="120" operator="lessThan">
      <formula>0</formula>
    </cfRule>
    <cfRule type="cellIs" dxfId="324" priority="121" operator="greaterThan">
      <formula>0</formula>
    </cfRule>
  </conditionalFormatting>
  <conditionalFormatting sqref="J84:L92">
    <cfRule type="notContainsBlanks" dxfId="323" priority="118">
      <formula>LEN(TRIM(J84))&gt;0</formula>
    </cfRule>
  </conditionalFormatting>
  <conditionalFormatting sqref="Y84">
    <cfRule type="notContainsBlanks" dxfId="322" priority="117">
      <formula>LEN(TRIM(Y84))&gt;0</formula>
    </cfRule>
  </conditionalFormatting>
  <conditionalFormatting sqref="R84">
    <cfRule type="cellIs" priority="116" operator="between">
      <formula>$N$82</formula>
      <formula>$Q$82</formula>
    </cfRule>
  </conditionalFormatting>
  <conditionalFormatting sqref="R84">
    <cfRule type="cellIs" dxfId="321" priority="115" operator="greaterThan">
      <formula>1</formula>
    </cfRule>
  </conditionalFormatting>
  <conditionalFormatting sqref="AB70:AC70">
    <cfRule type="cellIs" dxfId="320" priority="113" operator="lessThan">
      <formula>0</formula>
    </cfRule>
    <cfRule type="cellIs" dxfId="319" priority="114" operator="greaterThan">
      <formula>0</formula>
    </cfRule>
  </conditionalFormatting>
  <conditionalFormatting sqref="R70">
    <cfRule type="cellIs" priority="110" operator="between">
      <formula>$N$82</formula>
      <formula>$Q$82</formula>
    </cfRule>
  </conditionalFormatting>
  <conditionalFormatting sqref="Q349 R450 R3:R447 R452:R813 R815:R1048576">
    <cfRule type="cellIs" dxfId="318" priority="106" operator="lessThanOrEqual">
      <formula>-1</formula>
    </cfRule>
  </conditionalFormatting>
  <conditionalFormatting sqref="T3:T240 T242:T813 T815:T1048576">
    <cfRule type="containsText" dxfId="317" priority="105" operator="containsText" text="Юа">
      <formula>NOT(ISERROR(SEARCH("Юа",T3)))</formula>
    </cfRule>
  </conditionalFormatting>
  <conditionalFormatting sqref="U3:U240 U242:U1048576">
    <cfRule type="containsText" dxfId="316" priority="104" operator="containsText" text="Отправлено">
      <formula>NOT(ISERROR(SEARCH("Отправлено",U3)))</formula>
    </cfRule>
  </conditionalFormatting>
  <conditionalFormatting sqref="U3:U240 U242:U1048576">
    <cfRule type="containsBlanks" dxfId="315" priority="103">
      <formula>LEN(TRIM(U3))=0</formula>
    </cfRule>
  </conditionalFormatting>
  <conditionalFormatting sqref="J205">
    <cfRule type="notContainsBlanks" dxfId="314" priority="102">
      <formula>LEN(TRIM(J205))&gt;0</formula>
    </cfRule>
  </conditionalFormatting>
  <conditionalFormatting sqref="J228">
    <cfRule type="notContainsBlanks" dxfId="313" priority="101">
      <formula>LEN(TRIM(J228))&gt;0</formula>
    </cfRule>
  </conditionalFormatting>
  <conditionalFormatting sqref="U241">
    <cfRule type="containsText" dxfId="312" priority="100" operator="containsText" text="Оплачено">
      <formula>NOT(ISERROR(SEARCH("Оплачено",U241)))</formula>
    </cfRule>
  </conditionalFormatting>
  <conditionalFormatting sqref="T241">
    <cfRule type="containsText" dxfId="311" priority="99" operator="containsText" text="Юа">
      <formula>NOT(ISERROR(SEARCH("Юа",T241)))</formula>
    </cfRule>
  </conditionalFormatting>
  <conditionalFormatting sqref="U241">
    <cfRule type="containsText" dxfId="310" priority="98" operator="containsText" text="Отправлено">
      <formula>NOT(ISERROR(SEARCH("Отправлено",U241)))</formula>
    </cfRule>
  </conditionalFormatting>
  <conditionalFormatting sqref="U241">
    <cfRule type="containsBlanks" dxfId="309" priority="97">
      <formula>LEN(TRIM(U241))=0</formula>
    </cfRule>
  </conditionalFormatting>
  <conditionalFormatting sqref="J263:J265">
    <cfRule type="notContainsBlanks" dxfId="308" priority="87">
      <formula>LEN(TRIM(J263))&gt;0</formula>
    </cfRule>
  </conditionalFormatting>
  <conditionalFormatting sqref="J268">
    <cfRule type="notContainsBlanks" dxfId="307" priority="86">
      <formula>LEN(TRIM(J268))&gt;0</formula>
    </cfRule>
  </conditionalFormatting>
  <conditionalFormatting sqref="J269">
    <cfRule type="notContainsBlanks" dxfId="306" priority="84">
      <formula>LEN(TRIM(J269))&gt;0</formula>
    </cfRule>
  </conditionalFormatting>
  <conditionalFormatting sqref="J275">
    <cfRule type="notContainsBlanks" dxfId="305" priority="82">
      <formula>LEN(TRIM(J275))&gt;0</formula>
    </cfRule>
  </conditionalFormatting>
  <conditionalFormatting sqref="J284">
    <cfRule type="notContainsBlanks" dxfId="304" priority="81">
      <formula>LEN(TRIM(J284))&gt;0</formula>
    </cfRule>
  </conditionalFormatting>
  <conditionalFormatting sqref="J286">
    <cfRule type="notContainsBlanks" dxfId="303" priority="80">
      <formula>LEN(TRIM(J286))&gt;0</formula>
    </cfRule>
  </conditionalFormatting>
  <conditionalFormatting sqref="J288:L288">
    <cfRule type="notContainsBlanks" dxfId="302" priority="79">
      <formula>LEN(TRIM(J288))&gt;0</formula>
    </cfRule>
  </conditionalFormatting>
  <conditionalFormatting sqref="J290">
    <cfRule type="notContainsBlanks" dxfId="301" priority="78">
      <formula>LEN(TRIM(J290))&gt;0</formula>
    </cfRule>
  </conditionalFormatting>
  <conditionalFormatting sqref="J344">
    <cfRule type="notContainsBlanks" dxfId="300" priority="77">
      <formula>LEN(TRIM(J344))&gt;0</formula>
    </cfRule>
  </conditionalFormatting>
  <conditionalFormatting sqref="J345">
    <cfRule type="notContainsBlanks" dxfId="299" priority="76">
      <formula>LEN(TRIM(J345))&gt;0</formula>
    </cfRule>
  </conditionalFormatting>
  <conditionalFormatting sqref="J436">
    <cfRule type="notContainsBlanks" dxfId="298" priority="75">
      <formula>LEN(TRIM(J436))&gt;0</formula>
    </cfRule>
  </conditionalFormatting>
  <conditionalFormatting sqref="J437">
    <cfRule type="notContainsBlanks" dxfId="297" priority="74">
      <formula>LEN(TRIM(J437))&gt;0</formula>
    </cfRule>
  </conditionalFormatting>
  <conditionalFormatting sqref="R448">
    <cfRule type="cellIs" dxfId="296" priority="71" operator="greaterThan">
      <formula>1</formula>
    </cfRule>
  </conditionalFormatting>
  <conditionalFormatting sqref="R448">
    <cfRule type="cellIs" dxfId="295" priority="70" operator="lessThanOrEqual">
      <formula>-1</formula>
    </cfRule>
  </conditionalFormatting>
  <conditionalFormatting sqref="R449">
    <cfRule type="cellIs" dxfId="294" priority="69" operator="greaterThan">
      <formula>1</formula>
    </cfRule>
  </conditionalFormatting>
  <conditionalFormatting sqref="R449">
    <cfRule type="cellIs" dxfId="293" priority="68" operator="lessThanOrEqual">
      <formula>-1</formula>
    </cfRule>
  </conditionalFormatting>
  <conditionalFormatting sqref="R451">
    <cfRule type="cellIs" dxfId="292" priority="67" operator="greaterThan">
      <formula>1</formula>
    </cfRule>
  </conditionalFormatting>
  <conditionalFormatting sqref="R451">
    <cfRule type="cellIs" dxfId="291" priority="66" operator="lessThanOrEqual">
      <formula>-1</formula>
    </cfRule>
  </conditionalFormatting>
  <conditionalFormatting sqref="X1:X845 X849 X851:X1048576">
    <cfRule type="notContainsBlanks" dxfId="290" priority="65">
      <formula>LEN(TRIM(X1))&gt;0</formula>
    </cfRule>
  </conditionalFormatting>
  <conditionalFormatting sqref="J470:L470">
    <cfRule type="notContainsBlanks" dxfId="289" priority="63">
      <formula>LEN(TRIM(J470))&gt;0</formula>
    </cfRule>
  </conditionalFormatting>
  <conditionalFormatting sqref="J471">
    <cfRule type="notContainsBlanks" dxfId="288" priority="62">
      <formula>LEN(TRIM(J471))&gt;0</formula>
    </cfRule>
  </conditionalFormatting>
  <conditionalFormatting sqref="J472">
    <cfRule type="notContainsBlanks" dxfId="287" priority="61">
      <formula>LEN(TRIM(J472))&gt;0</formula>
    </cfRule>
  </conditionalFormatting>
  <conditionalFormatting sqref="J473">
    <cfRule type="notContainsBlanks" dxfId="286" priority="60">
      <formula>LEN(TRIM(J473))&gt;0</formula>
    </cfRule>
  </conditionalFormatting>
  <conditionalFormatting sqref="U1:U1048576">
    <cfRule type="containsText" dxfId="285" priority="10" operator="containsText" text="ОПЛАТА НА ТГ">
      <formula>NOT(ISERROR(SEARCH("ОПЛАТА НА ТГ",U1)))</formula>
    </cfRule>
    <cfRule type="containsText" dxfId="284" priority="11" operator="containsText" text="ОПЛАТА НА ИП">
      <formula>NOT(ISERROR(SEARCH("ОПЛАТА НА ИП",U1)))</formula>
    </cfRule>
    <cfRule type="containsText" dxfId="283" priority="59" operator="containsText" text="Возврат">
      <formula>NOT(ISERROR(SEARCH("Возврат",U1)))</formula>
    </cfRule>
  </conditionalFormatting>
  <conditionalFormatting sqref="J475">
    <cfRule type="notContainsBlanks" dxfId="282" priority="58">
      <formula>LEN(TRIM(J475))&gt;0</formula>
    </cfRule>
  </conditionalFormatting>
  <conditionalFormatting sqref="J477">
    <cfRule type="notContainsBlanks" dxfId="281" priority="57">
      <formula>LEN(TRIM(J477))&gt;0</formula>
    </cfRule>
  </conditionalFormatting>
  <conditionalFormatting sqref="J478">
    <cfRule type="notContainsBlanks" dxfId="280" priority="56">
      <formula>LEN(TRIM(J478))&gt;0</formula>
    </cfRule>
  </conditionalFormatting>
  <conditionalFormatting sqref="J479">
    <cfRule type="notContainsBlanks" dxfId="279" priority="55">
      <formula>LEN(TRIM(J479))&gt;0</formula>
    </cfRule>
  </conditionalFormatting>
  <conditionalFormatting sqref="J480">
    <cfRule type="notContainsBlanks" dxfId="278" priority="54">
      <formula>LEN(TRIM(J480))&gt;0</formula>
    </cfRule>
  </conditionalFormatting>
  <conditionalFormatting sqref="J482">
    <cfRule type="notContainsBlanks" dxfId="277" priority="53">
      <formula>LEN(TRIM(J482))&gt;0</formula>
    </cfRule>
  </conditionalFormatting>
  <conditionalFormatting sqref="J484">
    <cfRule type="notContainsBlanks" dxfId="276" priority="52">
      <formula>LEN(TRIM(J484))&gt;0</formula>
    </cfRule>
  </conditionalFormatting>
  <conditionalFormatting sqref="J485">
    <cfRule type="notContainsBlanks" dxfId="275" priority="51">
      <formula>LEN(TRIM(J485))&gt;0</formula>
    </cfRule>
  </conditionalFormatting>
  <conditionalFormatting sqref="J487">
    <cfRule type="notContainsBlanks" dxfId="274" priority="49">
      <formula>LEN(TRIM(J487))&gt;0</formula>
    </cfRule>
  </conditionalFormatting>
  <conditionalFormatting sqref="J489">
    <cfRule type="notContainsBlanks" dxfId="273" priority="48">
      <formula>LEN(TRIM(J489))&gt;0</formula>
    </cfRule>
  </conditionalFormatting>
  <conditionalFormatting sqref="J494">
    <cfRule type="notContainsBlanks" dxfId="272" priority="47">
      <formula>LEN(TRIM(J494))&gt;0</formula>
    </cfRule>
  </conditionalFormatting>
  <conditionalFormatting sqref="J511">
    <cfRule type="notContainsBlanks" dxfId="271" priority="46">
      <formula>LEN(TRIM(J511))&gt;0</formula>
    </cfRule>
  </conditionalFormatting>
  <conditionalFormatting sqref="J512">
    <cfRule type="notContainsBlanks" dxfId="270" priority="45">
      <formula>LEN(TRIM(J512))&gt;0</formula>
    </cfRule>
  </conditionalFormatting>
  <conditionalFormatting sqref="F516 J516:L516">
    <cfRule type="notContainsBlanks" dxfId="269" priority="44">
      <formula>LEN(TRIM(F516))&gt;0</formula>
    </cfRule>
  </conditionalFormatting>
  <conditionalFormatting sqref="J474:L474 F474">
    <cfRule type="notContainsBlanks" dxfId="268" priority="42">
      <formula>LEN(TRIM(F474))&gt;0</formula>
    </cfRule>
  </conditionalFormatting>
  <conditionalFormatting sqref="J534">
    <cfRule type="notContainsBlanks" dxfId="267" priority="40">
      <formula>LEN(TRIM(J534))&gt;0</formula>
    </cfRule>
  </conditionalFormatting>
  <conditionalFormatting sqref="J555">
    <cfRule type="notContainsBlanks" dxfId="266" priority="39">
      <formula>LEN(TRIM(J555))&gt;0</formula>
    </cfRule>
  </conditionalFormatting>
  <conditionalFormatting sqref="J652">
    <cfRule type="notContainsBlanks" dxfId="265" priority="38">
      <formula>LEN(TRIM(J652))&gt;0</formula>
    </cfRule>
  </conditionalFormatting>
  <conditionalFormatting sqref="J662">
    <cfRule type="notContainsBlanks" dxfId="264" priority="37">
      <formula>LEN(TRIM(J662))&gt;0</formula>
    </cfRule>
  </conditionalFormatting>
  <conditionalFormatting sqref="J663">
    <cfRule type="notContainsBlanks" dxfId="263" priority="36">
      <formula>LEN(TRIM(J663))&gt;0</formula>
    </cfRule>
  </conditionalFormatting>
  <conditionalFormatting sqref="F709 J709:L709">
    <cfRule type="notContainsBlanks" dxfId="262" priority="33">
      <formula>LEN(TRIM(F709))&gt;0</formula>
    </cfRule>
  </conditionalFormatting>
  <conditionalFormatting sqref="E743 J743">
    <cfRule type="notContainsBlanks" dxfId="261" priority="32">
      <formula>LEN(TRIM(E743))&gt;0</formula>
    </cfRule>
  </conditionalFormatting>
  <conditionalFormatting sqref="T1:T813 T815:T1048576">
    <cfRule type="containsText" dxfId="260" priority="30" operator="containsText" text="Долл">
      <formula>NOT(ISERROR(SEARCH("Долл",T1)))</formula>
    </cfRule>
    <cfRule type="containsText" dxfId="259" priority="31" operator="containsText" text="Евро">
      <formula>NOT(ISERROR(SEARCH("Евро",T1)))</formula>
    </cfRule>
  </conditionalFormatting>
  <conditionalFormatting sqref="J804:L809">
    <cfRule type="notContainsBlanks" dxfId="258" priority="29">
      <formula>LEN(TRIM(J804))&gt;0</formula>
    </cfRule>
  </conditionalFormatting>
  <conditionalFormatting sqref="J813">
    <cfRule type="notContainsBlanks" dxfId="257" priority="28">
      <formula>LEN(TRIM(J813))&gt;0</formula>
    </cfRule>
  </conditionalFormatting>
  <conditionalFormatting sqref="F814 J814:L814">
    <cfRule type="notContainsBlanks" dxfId="256" priority="27">
      <formula>LEN(TRIM(F814))&gt;0</formula>
    </cfRule>
  </conditionalFormatting>
  <conditionalFormatting sqref="R814">
    <cfRule type="cellIs" dxfId="255" priority="26" operator="greaterThan">
      <formula>1</formula>
    </cfRule>
  </conditionalFormatting>
  <conditionalFormatting sqref="R814">
    <cfRule type="cellIs" dxfId="254" priority="25" operator="lessThanOrEqual">
      <formula>-1</formula>
    </cfRule>
  </conditionalFormatting>
  <conditionalFormatting sqref="T814">
    <cfRule type="containsText" dxfId="253" priority="24" operator="containsText" text="Юа">
      <formula>NOT(ISERROR(SEARCH("Юа",T814)))</formula>
    </cfRule>
  </conditionalFormatting>
  <conditionalFormatting sqref="T814">
    <cfRule type="containsText" dxfId="252" priority="22" operator="containsText" text="Долл">
      <formula>NOT(ISERROR(SEARCH("Долл",T814)))</formula>
    </cfRule>
    <cfRule type="containsText" dxfId="251" priority="23" operator="containsText" text="Евро">
      <formula>NOT(ISERROR(SEARCH("Евро",T814)))</formula>
    </cfRule>
  </conditionalFormatting>
  <conditionalFormatting sqref="K817:L818">
    <cfRule type="notContainsBlanks" dxfId="250" priority="19">
      <formula>LEN(TRIM(K817))&gt;0</formula>
    </cfRule>
  </conditionalFormatting>
  <conditionalFormatting sqref="J817:J818">
    <cfRule type="notContainsBlanks" dxfId="249" priority="18">
      <formula>LEN(TRIM(J817))&gt;0</formula>
    </cfRule>
  </conditionalFormatting>
  <conditionalFormatting sqref="E830">
    <cfRule type="notContainsBlanks" dxfId="248" priority="17">
      <formula>LEN(TRIM(E830))&gt;0</formula>
    </cfRule>
  </conditionalFormatting>
  <conditionalFormatting sqref="J830">
    <cfRule type="notContainsBlanks" dxfId="247" priority="16">
      <formula>LEN(TRIM(J830))&gt;0</formula>
    </cfRule>
  </conditionalFormatting>
  <conditionalFormatting sqref="K831:L831">
    <cfRule type="notContainsBlanks" dxfId="246" priority="15">
      <formula>LEN(TRIM(K831))&gt;0</formula>
    </cfRule>
  </conditionalFormatting>
  <conditionalFormatting sqref="J831">
    <cfRule type="notContainsBlanks" dxfId="245" priority="14">
      <formula>LEN(TRIM(J831))&gt;0</formula>
    </cfRule>
  </conditionalFormatting>
  <conditionalFormatting sqref="J847:K850">
    <cfRule type="notContainsBlanks" dxfId="244" priority="13">
      <formula>LEN(TRIM(J847))&gt;0</formula>
    </cfRule>
  </conditionalFormatting>
  <conditionalFormatting sqref="J864">
    <cfRule type="notContainsBlanks" dxfId="243" priority="12">
      <formula>LEN(TRIM(J864))&gt;0</formula>
    </cfRule>
  </conditionalFormatting>
  <conditionalFormatting sqref="J911:J914">
    <cfRule type="notContainsBlanks" dxfId="242" priority="9">
      <formula>LEN(TRIM(J911))&gt;0</formula>
    </cfRule>
  </conditionalFormatting>
  <conditionalFormatting sqref="J915">
    <cfRule type="notContainsBlanks" dxfId="241" priority="8">
      <formula>LEN(TRIM(J915))&gt;0</formula>
    </cfRule>
  </conditionalFormatting>
  <conditionalFormatting sqref="J926">
    <cfRule type="notContainsBlanks" dxfId="240" priority="6">
      <formula>LEN(TRIM(J926))&gt;0</formula>
    </cfRule>
  </conditionalFormatting>
  <conditionalFormatting sqref="J927">
    <cfRule type="notContainsBlanks" dxfId="239" priority="5">
      <formula>LEN(TRIM(J927))&gt;0</formula>
    </cfRule>
  </conditionalFormatting>
  <conditionalFormatting sqref="J931:L932">
    <cfRule type="notContainsBlanks" dxfId="238" priority="4">
      <formula>LEN(TRIM(J931))&gt;0</formula>
    </cfRule>
  </conditionalFormatting>
  <conditionalFormatting sqref="J934">
    <cfRule type="notContainsBlanks" dxfId="237" priority="3">
      <formula>LEN(TRIM(J934))&gt;0</formula>
    </cfRule>
  </conditionalFormatting>
  <conditionalFormatting sqref="J935">
    <cfRule type="notContainsBlanks" dxfId="236" priority="2">
      <formula>LEN(TRIM(J935))&gt;0</formula>
    </cfRule>
  </conditionalFormatting>
  <conditionalFormatting sqref="J936">
    <cfRule type="notContainsBlanks" dxfId="235" priority="1">
      <formula>LEN(TRIM(J936))&gt;0</formula>
    </cfRule>
  </conditionalFormatting>
  <hyperlinks>
    <hyperlink ref="E215" r:id="rId1"/>
    <hyperlink ref="E219" r:id="rId2"/>
    <hyperlink ref="E217" r:id="rId3"/>
    <hyperlink ref="E221" r:id="rId4"/>
    <hyperlink ref="E225" r:id="rId5"/>
    <hyperlink ref="E227" r:id="rId6"/>
    <hyperlink ref="E228" r:id="rId7"/>
    <hyperlink ref="E229" r:id="rId8"/>
    <hyperlink ref="E231" r:id="rId9" display="C:\Users\Никита\OneDrive\ФИНАНСЫ ПОТАМОЖНЕ\ФАСТ ИМПОРТ\Финансы\Папка по датам\FA-837\15.10.2021\PI FA-837 19680 долл.pdf"/>
    <hyperlink ref="E232" r:id="rId10"/>
    <hyperlink ref="E234" r:id="rId11"/>
    <hyperlink ref="E233" r:id="rId12"/>
    <hyperlink ref="E235" r:id="rId13"/>
    <hyperlink ref="E237" r:id="rId14"/>
    <hyperlink ref="E238" r:id="rId15"/>
    <hyperlink ref="E240" r:id="rId16"/>
    <hyperlink ref="E241" r:id="rId17"/>
    <hyperlink ref="E242" r:id="rId18"/>
    <hyperlink ref="E243" r:id="rId19"/>
    <hyperlink ref="E244" r:id="rId20" display="https://d.docs.live.net/d55ee048d67a7f79/ФИНАНСЫ%20ПОТАМОЖНЕ/ФАСТ%20ИМПОРТ/Финансы/Папка%20по%20датам/FA-841/25.10.2021/PI%20FA-841%2053%20550%20юа.jpg"/>
    <hyperlink ref="E245" r:id="rId21"/>
    <hyperlink ref="E119" r:id="rId22"/>
    <hyperlink ref="E152" r:id="rId23"/>
    <hyperlink ref="E159" r:id="rId24"/>
    <hyperlink ref="E247" r:id="rId25"/>
    <hyperlink ref="E248" r:id="rId26"/>
    <hyperlink ref="E249" r:id="rId27"/>
    <hyperlink ref="E250" r:id="rId28"/>
    <hyperlink ref="E246" r:id="rId29"/>
    <hyperlink ref="E251" r:id="rId30"/>
    <hyperlink ref="E254" r:id="rId31"/>
    <hyperlink ref="E253" r:id="rId32"/>
    <hyperlink ref="E255" r:id="rId33"/>
    <hyperlink ref="E256" r:id="rId34"/>
    <hyperlink ref="E259" r:id="rId35"/>
  </hyperlinks>
  <pageMargins left="0.7" right="0.7" top="0.75" bottom="0.75" header="0.3" footer="0.3"/>
  <pageSetup paperSize="9" orientation="portrait" r:id="rId36"/>
  <rowBreaks count="1" manualBreakCount="1">
    <brk id="197" max="16383" man="1"/>
  </rowBreaks>
  <colBreaks count="1" manualBreakCount="1">
    <brk id="1" max="1048575" man="1"/>
  </colBreaks>
  <tableParts count="1">
    <tablePart r:id="rId3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id="{3DA8836B-8BF5-4133-AEC7-FDFD2D51D332}">
            <xm:f>NOT(ISERROR(SEARCH(IF($U$485 = "Возврат с Китая", ),D485)))</xm:f>
            <xm:f>IF($U$485 = "Возврат с Китая", )</xm:f>
            <x14:dxf>
              <fill>
                <patternFill>
                  <bgColor rgb="FF00B0F0"/>
                </patternFill>
              </fill>
            </x14:dxf>
          </x14:cfRule>
          <xm:sqref>D485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E10"/>
  <sheetViews>
    <sheetView workbookViewId="0">
      <selection activeCell="D19" sqref="D19"/>
    </sheetView>
  </sheetViews>
  <sheetFormatPr defaultRowHeight="15" x14ac:dyDescent="0.25"/>
  <cols>
    <col min="1" max="1" width="19.42578125" bestFit="1" customWidth="1"/>
    <col min="2" max="2" width="14.28515625" bestFit="1" customWidth="1"/>
    <col min="3" max="3" width="21.28515625" bestFit="1" customWidth="1"/>
    <col min="4" max="4" width="11" bestFit="1" customWidth="1"/>
    <col min="5" max="16" width="10.28515625" bestFit="1" customWidth="1"/>
    <col min="17" max="17" width="11.7109375" bestFit="1" customWidth="1"/>
    <col min="18" max="22" width="10.28515625" bestFit="1" customWidth="1"/>
    <col min="23" max="23" width="35.28515625" bestFit="1" customWidth="1"/>
    <col min="24" max="24" width="44.7109375" bestFit="1" customWidth="1"/>
    <col min="25" max="25" width="30.42578125" bestFit="1" customWidth="1"/>
    <col min="26" max="26" width="34.42578125" bestFit="1" customWidth="1"/>
    <col min="27" max="27" width="30.42578125" bestFit="1" customWidth="1"/>
    <col min="28" max="28" width="34.42578125" bestFit="1" customWidth="1"/>
    <col min="29" max="29" width="30.42578125" bestFit="1" customWidth="1"/>
    <col min="30" max="30" width="34.42578125" bestFit="1" customWidth="1"/>
    <col min="31" max="31" width="30.42578125" bestFit="1" customWidth="1"/>
    <col min="32" max="32" width="34.42578125" bestFit="1" customWidth="1"/>
    <col min="33" max="33" width="30.42578125" bestFit="1" customWidth="1"/>
    <col min="34" max="34" width="34.42578125" bestFit="1" customWidth="1"/>
    <col min="35" max="35" width="30.42578125" bestFit="1" customWidth="1"/>
    <col min="36" max="36" width="34.42578125" bestFit="1" customWidth="1"/>
    <col min="37" max="37" width="30.42578125" bestFit="1" customWidth="1"/>
    <col min="38" max="38" width="34.42578125" bestFit="1" customWidth="1"/>
    <col min="39" max="39" width="30.42578125" bestFit="1" customWidth="1"/>
    <col min="40" max="40" width="34.42578125" bestFit="1" customWidth="1"/>
    <col min="41" max="41" width="30.42578125" bestFit="1" customWidth="1"/>
    <col min="42" max="42" width="34.42578125" bestFit="1" customWidth="1"/>
    <col min="43" max="43" width="30.42578125" bestFit="1" customWidth="1"/>
    <col min="44" max="44" width="34.42578125" bestFit="1" customWidth="1"/>
    <col min="45" max="45" width="30.42578125" bestFit="1" customWidth="1"/>
    <col min="46" max="46" width="34.42578125" bestFit="1" customWidth="1"/>
    <col min="47" max="47" width="30.42578125" bestFit="1" customWidth="1"/>
    <col min="48" max="48" width="39.42578125" bestFit="1" customWidth="1"/>
    <col min="49" max="49" width="35.28515625" bestFit="1" customWidth="1"/>
  </cols>
  <sheetData>
    <row r="2" spans="1:5" ht="13.9" customHeight="1" x14ac:dyDescent="0.25"/>
    <row r="3" spans="1:5" s="18" customFormat="1" ht="45" x14ac:dyDescent="0.25">
      <c r="A3" s="20" t="s">
        <v>259</v>
      </c>
      <c r="B3" s="22" t="s">
        <v>260</v>
      </c>
      <c r="C3" s="23" t="s">
        <v>261</v>
      </c>
      <c r="D3"/>
      <c r="E3" s="1"/>
    </row>
    <row r="4" spans="1:5" x14ac:dyDescent="0.25">
      <c r="A4" s="19" t="s">
        <v>38</v>
      </c>
      <c r="B4" s="21">
        <v>1</v>
      </c>
      <c r="C4" s="21">
        <v>1</v>
      </c>
    </row>
    <row r="5" spans="1:5" x14ac:dyDescent="0.25">
      <c r="A5" s="19" t="s">
        <v>72</v>
      </c>
      <c r="B5" s="21">
        <v>1</v>
      </c>
      <c r="C5" s="21"/>
    </row>
    <row r="6" spans="1:5" x14ac:dyDescent="0.25">
      <c r="A6" s="19" t="s">
        <v>47</v>
      </c>
      <c r="B6" s="21"/>
      <c r="C6" s="21">
        <v>1</v>
      </c>
    </row>
    <row r="7" spans="1:5" x14ac:dyDescent="0.25">
      <c r="A7" s="19" t="s">
        <v>89</v>
      </c>
    </row>
    <row r="8" spans="1:5" x14ac:dyDescent="0.25">
      <c r="A8" s="34" t="s">
        <v>90</v>
      </c>
    </row>
    <row r="9" spans="1:5" x14ac:dyDescent="0.25">
      <c r="A9" s="35">
        <v>44355</v>
      </c>
      <c r="B9">
        <v>2</v>
      </c>
      <c r="C9">
        <v>2</v>
      </c>
    </row>
    <row r="10" spans="1:5" x14ac:dyDescent="0.25">
      <c r="A10" s="17" t="s">
        <v>262</v>
      </c>
      <c r="B10">
        <v>4</v>
      </c>
      <c r="C10">
        <v>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Счета и Платежи</vt:lpstr>
      <vt:lpstr>Лист1</vt:lpstr>
      <vt:lpstr>Финансы по клиентам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Никита</dc:creator>
  <cp:keywords/>
  <dc:description/>
  <cp:lastModifiedBy>Никита</cp:lastModifiedBy>
  <cp:revision/>
  <cp:lastPrinted>2022-09-29T10:20:13Z</cp:lastPrinted>
  <dcterms:created xsi:type="dcterms:W3CDTF">2015-06-05T18:19:34Z</dcterms:created>
  <dcterms:modified xsi:type="dcterms:W3CDTF">2023-03-06T11:06:15Z</dcterms:modified>
  <cp:category/>
  <cp:contentStatus/>
</cp:coreProperties>
</file>